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ведомость'!$9:$9</definedName>
    <definedName name="_xlnm.Print_Titles" localSheetId="0">'Смета 12 гр. ТЕР МО'!$40:$40</definedName>
    <definedName name="_xlnm.Print_Area" localSheetId="1">'Дефектная ведомость'!$A$1:$E$45</definedName>
    <definedName name="_xlnm.Print_Area" localSheetId="0">'Смета 12 гр. ТЕР МО'!$A$1:$L$263</definedName>
  </definedNames>
  <calcPr calcId="125725"/>
</workbook>
</file>

<file path=xl/calcChain.xml><?xml version="1.0" encoding="utf-8"?>
<calcChain xmlns="http://schemas.openxmlformats.org/spreadsheetml/2006/main">
  <c r="D40" i="6"/>
  <c r="C40"/>
  <c r="B40"/>
  <c r="A40"/>
  <c r="D39"/>
  <c r="C39"/>
  <c r="B39"/>
  <c r="A39"/>
  <c r="D38"/>
  <c r="C38"/>
  <c r="B38"/>
  <c r="A38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A12"/>
  <c r="A11"/>
  <c r="A10"/>
  <c r="A3"/>
  <c r="A2"/>
  <c r="AF249" i="5"/>
  <c r="I261"/>
  <c r="I258"/>
  <c r="I255"/>
  <c r="D261"/>
  <c r="D258"/>
  <c r="D255"/>
  <c r="C252"/>
  <c r="C251"/>
  <c r="A249"/>
  <c r="A245"/>
  <c r="A241"/>
  <c r="L239"/>
  <c r="Q239" s="1"/>
  <c r="J239"/>
  <c r="P239" s="1"/>
  <c r="Z239"/>
  <c r="Y239"/>
  <c r="X239"/>
  <c r="K238"/>
  <c r="J238"/>
  <c r="H238"/>
  <c r="G239" s="1"/>
  <c r="O239" s="1"/>
  <c r="G238"/>
  <c r="F238"/>
  <c r="V237"/>
  <c r="T237"/>
  <c r="U237"/>
  <c r="S237"/>
  <c r="F237"/>
  <c r="E237"/>
  <c r="D237"/>
  <c r="I237"/>
  <c r="C237"/>
  <c r="B237"/>
  <c r="A237"/>
  <c r="L236"/>
  <c r="Q236" s="1"/>
  <c r="Z236"/>
  <c r="Y236"/>
  <c r="X236"/>
  <c r="W236"/>
  <c r="K235"/>
  <c r="J236" s="1"/>
  <c r="P236" s="1"/>
  <c r="J235"/>
  <c r="H235"/>
  <c r="G236" s="1"/>
  <c r="O236" s="1"/>
  <c r="G235"/>
  <c r="F235"/>
  <c r="V234"/>
  <c r="T234"/>
  <c r="U234"/>
  <c r="S234"/>
  <c r="F234"/>
  <c r="E234"/>
  <c r="D234"/>
  <c r="I234"/>
  <c r="C234"/>
  <c r="B234"/>
  <c r="A234"/>
  <c r="Q233"/>
  <c r="L233"/>
  <c r="Z233"/>
  <c r="Y233"/>
  <c r="X233"/>
  <c r="L232"/>
  <c r="G232"/>
  <c r="E232"/>
  <c r="J231"/>
  <c r="F231"/>
  <c r="E231"/>
  <c r="J230"/>
  <c r="F230"/>
  <c r="E230"/>
  <c r="K229"/>
  <c r="J229"/>
  <c r="H229"/>
  <c r="G229"/>
  <c r="F229"/>
  <c r="K228"/>
  <c r="J228"/>
  <c r="H228"/>
  <c r="R228" s="1"/>
  <c r="G228"/>
  <c r="F228"/>
  <c r="K227"/>
  <c r="J227"/>
  <c r="H227"/>
  <c r="G227"/>
  <c r="F227"/>
  <c r="K226"/>
  <c r="J226"/>
  <c r="H226"/>
  <c r="G226"/>
  <c r="F226"/>
  <c r="C225"/>
  <c r="V224"/>
  <c r="K231" s="1"/>
  <c r="T224"/>
  <c r="K230" s="1"/>
  <c r="U224"/>
  <c r="H231" s="1"/>
  <c r="S224"/>
  <c r="H230" s="1"/>
  <c r="F224"/>
  <c r="E224"/>
  <c r="D224"/>
  <c r="I224"/>
  <c r="C224"/>
  <c r="A224"/>
  <c r="A223"/>
  <c r="A219"/>
  <c r="L217"/>
  <c r="Q217" s="1"/>
  <c r="Z217"/>
  <c r="Y217"/>
  <c r="X217"/>
  <c r="H215"/>
  <c r="L216"/>
  <c r="G216"/>
  <c r="E216"/>
  <c r="J215"/>
  <c r="F215"/>
  <c r="E215"/>
  <c r="J214"/>
  <c r="F214"/>
  <c r="E214"/>
  <c r="K213"/>
  <c r="J213"/>
  <c r="H213"/>
  <c r="R213" s="1"/>
  <c r="G213"/>
  <c r="F213"/>
  <c r="C212"/>
  <c r="V211"/>
  <c r="K215" s="1"/>
  <c r="T211"/>
  <c r="K214" s="1"/>
  <c r="U211"/>
  <c r="S211"/>
  <c r="H214" s="1"/>
  <c r="F211"/>
  <c r="E211"/>
  <c r="D211"/>
  <c r="I211"/>
  <c r="C211"/>
  <c r="A211"/>
  <c r="L210"/>
  <c r="Q210" s="1"/>
  <c r="Z210"/>
  <c r="Y210"/>
  <c r="X210"/>
  <c r="W210"/>
  <c r="K209"/>
  <c r="J210" s="1"/>
  <c r="P210" s="1"/>
  <c r="J209"/>
  <c r="H209"/>
  <c r="G210" s="1"/>
  <c r="O210" s="1"/>
  <c r="G209"/>
  <c r="F209"/>
  <c r="V209"/>
  <c r="T209"/>
  <c r="U209"/>
  <c r="S209"/>
  <c r="E209"/>
  <c r="D209"/>
  <c r="I209"/>
  <c r="C209"/>
  <c r="B209"/>
  <c r="A209"/>
  <c r="Q208"/>
  <c r="L208"/>
  <c r="Z208"/>
  <c r="Y208"/>
  <c r="X208"/>
  <c r="K207"/>
  <c r="J207"/>
  <c r="Z207"/>
  <c r="Y207"/>
  <c r="X207"/>
  <c r="H207"/>
  <c r="W207" s="1"/>
  <c r="F207"/>
  <c r="V207"/>
  <c r="T207"/>
  <c r="U207"/>
  <c r="S207"/>
  <c r="E207"/>
  <c r="D207"/>
  <c r="C207"/>
  <c r="B207"/>
  <c r="A207"/>
  <c r="L206"/>
  <c r="G206"/>
  <c r="E206"/>
  <c r="J205"/>
  <c r="F205"/>
  <c r="E205"/>
  <c r="J204"/>
  <c r="F204"/>
  <c r="E204"/>
  <c r="K203"/>
  <c r="J203"/>
  <c r="H203"/>
  <c r="G203"/>
  <c r="F203"/>
  <c r="K202"/>
  <c r="J202"/>
  <c r="H202"/>
  <c r="R202" s="1"/>
  <c r="G202"/>
  <c r="F202"/>
  <c r="K201"/>
  <c r="J201"/>
  <c r="H201"/>
  <c r="G201"/>
  <c r="F201"/>
  <c r="K200"/>
  <c r="J200"/>
  <c r="H200"/>
  <c r="G208" s="1"/>
  <c r="O208" s="1"/>
  <c r="G200"/>
  <c r="F200"/>
  <c r="C199"/>
  <c r="V198"/>
  <c r="K205" s="1"/>
  <c r="T198"/>
  <c r="K204" s="1"/>
  <c r="U198"/>
  <c r="H205" s="1"/>
  <c r="S198"/>
  <c r="H204" s="1"/>
  <c r="F198"/>
  <c r="E198"/>
  <c r="D198"/>
  <c r="I198"/>
  <c r="C198"/>
  <c r="A198"/>
  <c r="L197"/>
  <c r="Q197" s="1"/>
  <c r="Z197"/>
  <c r="Y197"/>
  <c r="X197"/>
  <c r="L196"/>
  <c r="G196"/>
  <c r="E196"/>
  <c r="J195"/>
  <c r="F195"/>
  <c r="E195"/>
  <c r="J194"/>
  <c r="F194"/>
  <c r="E194"/>
  <c r="K193"/>
  <c r="J193"/>
  <c r="H193"/>
  <c r="G193"/>
  <c r="F193"/>
  <c r="K192"/>
  <c r="J192"/>
  <c r="H192"/>
  <c r="R192" s="1"/>
  <c r="G192"/>
  <c r="F192"/>
  <c r="K191"/>
  <c r="J191"/>
  <c r="H191"/>
  <c r="G191"/>
  <c r="F191"/>
  <c r="K190"/>
  <c r="J190"/>
  <c r="H190"/>
  <c r="R190" s="1"/>
  <c r="G190"/>
  <c r="F190"/>
  <c r="C189"/>
  <c r="V188"/>
  <c r="K195" s="1"/>
  <c r="T188"/>
  <c r="K194" s="1"/>
  <c r="U188"/>
  <c r="H195" s="1"/>
  <c r="S188"/>
  <c r="H194" s="1"/>
  <c r="F188"/>
  <c r="E188"/>
  <c r="D188"/>
  <c r="I188"/>
  <c r="C188"/>
  <c r="A188"/>
  <c r="L187"/>
  <c r="Q187" s="1"/>
  <c r="Z187"/>
  <c r="Y187"/>
  <c r="X187"/>
  <c r="L186"/>
  <c r="G186"/>
  <c r="E186"/>
  <c r="J185"/>
  <c r="F185"/>
  <c r="E185"/>
  <c r="J184"/>
  <c r="F184"/>
  <c r="E184"/>
  <c r="K183"/>
  <c r="J183"/>
  <c r="H183"/>
  <c r="R183" s="1"/>
  <c r="G183"/>
  <c r="F183"/>
  <c r="C182"/>
  <c r="V181"/>
  <c r="K185" s="1"/>
  <c r="T181"/>
  <c r="K184" s="1"/>
  <c r="U181"/>
  <c r="H185" s="1"/>
  <c r="S181"/>
  <c r="H184" s="1"/>
  <c r="F181"/>
  <c r="E181"/>
  <c r="D181"/>
  <c r="I181"/>
  <c r="C181"/>
  <c r="B181"/>
  <c r="A181"/>
  <c r="L180"/>
  <c r="Q180" s="1"/>
  <c r="Z180"/>
  <c r="Y180"/>
  <c r="X180"/>
  <c r="L179"/>
  <c r="G179"/>
  <c r="E179"/>
  <c r="J178"/>
  <c r="F178"/>
  <c r="E178"/>
  <c r="J177"/>
  <c r="F177"/>
  <c r="E177"/>
  <c r="K176"/>
  <c r="J176"/>
  <c r="H176"/>
  <c r="G176"/>
  <c r="F176"/>
  <c r="K175"/>
  <c r="J175"/>
  <c r="R175"/>
  <c r="H175"/>
  <c r="G175"/>
  <c r="F175"/>
  <c r="K174"/>
  <c r="J174"/>
  <c r="H174"/>
  <c r="G174"/>
  <c r="F174"/>
  <c r="K173"/>
  <c r="J173"/>
  <c r="H173"/>
  <c r="G173"/>
  <c r="F173"/>
  <c r="C172"/>
  <c r="V171"/>
  <c r="K178" s="1"/>
  <c r="T171"/>
  <c r="K177" s="1"/>
  <c r="U171"/>
  <c r="H178" s="1"/>
  <c r="S171"/>
  <c r="H177" s="1"/>
  <c r="F171"/>
  <c r="E171"/>
  <c r="D171"/>
  <c r="I171"/>
  <c r="C171"/>
  <c r="B171"/>
  <c r="A171"/>
  <c r="L170"/>
  <c r="Q170" s="1"/>
  <c r="Z170"/>
  <c r="Y170"/>
  <c r="X170"/>
  <c r="K169"/>
  <c r="J169"/>
  <c r="Z169"/>
  <c r="Y169"/>
  <c r="X169"/>
  <c r="H169"/>
  <c r="W169" s="1"/>
  <c r="F169"/>
  <c r="V169"/>
  <c r="T169"/>
  <c r="U169"/>
  <c r="S169"/>
  <c r="E169"/>
  <c r="D169"/>
  <c r="C169"/>
  <c r="B169"/>
  <c r="A169"/>
  <c r="L168"/>
  <c r="G168"/>
  <c r="E168"/>
  <c r="J167"/>
  <c r="F167"/>
  <c r="E167"/>
  <c r="J166"/>
  <c r="F166"/>
  <c r="E166"/>
  <c r="K165"/>
  <c r="J165"/>
  <c r="H165"/>
  <c r="G165"/>
  <c r="F165"/>
  <c r="K164"/>
  <c r="J164"/>
  <c r="H164"/>
  <c r="R164" s="1"/>
  <c r="G164"/>
  <c r="F164"/>
  <c r="K163"/>
  <c r="J163"/>
  <c r="H163"/>
  <c r="G163"/>
  <c r="F163"/>
  <c r="K162"/>
  <c r="J170" s="1"/>
  <c r="P170" s="1"/>
  <c r="J162"/>
  <c r="H162"/>
  <c r="G162"/>
  <c r="F162"/>
  <c r="C161"/>
  <c r="V160"/>
  <c r="K167" s="1"/>
  <c r="T160"/>
  <c r="K166" s="1"/>
  <c r="U160"/>
  <c r="H167" s="1"/>
  <c r="S160"/>
  <c r="H166" s="1"/>
  <c r="F160"/>
  <c r="E160"/>
  <c r="D160"/>
  <c r="I160"/>
  <c r="C160"/>
  <c r="A160"/>
  <c r="A159"/>
  <c r="A155"/>
  <c r="L153"/>
  <c r="Q153" s="1"/>
  <c r="Z153"/>
  <c r="Y153"/>
  <c r="X153"/>
  <c r="L152"/>
  <c r="G152"/>
  <c r="E152"/>
  <c r="J151"/>
  <c r="F151"/>
  <c r="E151"/>
  <c r="J150"/>
  <c r="F150"/>
  <c r="E150"/>
  <c r="K149"/>
  <c r="J149"/>
  <c r="H149"/>
  <c r="G149"/>
  <c r="F149"/>
  <c r="K148"/>
  <c r="J148"/>
  <c r="H148"/>
  <c r="G148"/>
  <c r="F148"/>
  <c r="K147"/>
  <c r="J147"/>
  <c r="H147"/>
  <c r="R147" s="1"/>
  <c r="G147"/>
  <c r="F147"/>
  <c r="C146"/>
  <c r="V145"/>
  <c r="K151" s="1"/>
  <c r="T145"/>
  <c r="K150" s="1"/>
  <c r="U145"/>
  <c r="H151" s="1"/>
  <c r="S145"/>
  <c r="H150" s="1"/>
  <c r="F145"/>
  <c r="E145"/>
  <c r="D145"/>
  <c r="I145"/>
  <c r="C145"/>
  <c r="A145"/>
  <c r="L144"/>
  <c r="Q144" s="1"/>
  <c r="Z144"/>
  <c r="Y144"/>
  <c r="W144"/>
  <c r="L143"/>
  <c r="G143"/>
  <c r="E143"/>
  <c r="J142"/>
  <c r="E142"/>
  <c r="J141"/>
  <c r="E141"/>
  <c r="K140"/>
  <c r="J140"/>
  <c r="H140"/>
  <c r="G140"/>
  <c r="F140"/>
  <c r="K139"/>
  <c r="J139"/>
  <c r="H139"/>
  <c r="R139" s="1"/>
  <c r="G139"/>
  <c r="F139"/>
  <c r="K138"/>
  <c r="J138"/>
  <c r="H138"/>
  <c r="G138"/>
  <c r="F138"/>
  <c r="K137"/>
  <c r="J137"/>
  <c r="H137"/>
  <c r="R137" s="1"/>
  <c r="G137"/>
  <c r="F137"/>
  <c r="C136"/>
  <c r="V135"/>
  <c r="K142" s="1"/>
  <c r="T135"/>
  <c r="K141" s="1"/>
  <c r="U135"/>
  <c r="H142" s="1"/>
  <c r="S135"/>
  <c r="H141" s="1"/>
  <c r="F135"/>
  <c r="E135"/>
  <c r="D135"/>
  <c r="I135"/>
  <c r="C135"/>
  <c r="A135"/>
  <c r="L134"/>
  <c r="Q134" s="1"/>
  <c r="G134"/>
  <c r="O134" s="1"/>
  <c r="Z134"/>
  <c r="Y134"/>
  <c r="X134"/>
  <c r="K133"/>
  <c r="J134" s="1"/>
  <c r="P134" s="1"/>
  <c r="J133"/>
  <c r="H133"/>
  <c r="W134" s="1"/>
  <c r="G133"/>
  <c r="F133"/>
  <c r="V133"/>
  <c r="T133"/>
  <c r="U133"/>
  <c r="S133"/>
  <c r="E133"/>
  <c r="D133"/>
  <c r="I133"/>
  <c r="C133"/>
  <c r="B133"/>
  <c r="A133"/>
  <c r="L132"/>
  <c r="Q132" s="1"/>
  <c r="Z132"/>
  <c r="Y132"/>
  <c r="X132"/>
  <c r="K129"/>
  <c r="L131"/>
  <c r="G131"/>
  <c r="E131"/>
  <c r="J130"/>
  <c r="F130"/>
  <c r="E130"/>
  <c r="J129"/>
  <c r="F129"/>
  <c r="E129"/>
  <c r="K128"/>
  <c r="J128"/>
  <c r="H128"/>
  <c r="G128"/>
  <c r="F128"/>
  <c r="K127"/>
  <c r="J127"/>
  <c r="H127"/>
  <c r="R127" s="1"/>
  <c r="G127"/>
  <c r="F127"/>
  <c r="K126"/>
  <c r="J126"/>
  <c r="H126"/>
  <c r="G126"/>
  <c r="F126"/>
  <c r="K125"/>
  <c r="J125"/>
  <c r="H125"/>
  <c r="G125"/>
  <c r="F125"/>
  <c r="C124"/>
  <c r="V123"/>
  <c r="K130" s="1"/>
  <c r="T123"/>
  <c r="U123"/>
  <c r="H130" s="1"/>
  <c r="S123"/>
  <c r="H129" s="1"/>
  <c r="F123"/>
  <c r="E123"/>
  <c r="D123"/>
  <c r="I123"/>
  <c r="C123"/>
  <c r="A123"/>
  <c r="L122"/>
  <c r="Q122" s="1"/>
  <c r="Z122"/>
  <c r="Y122"/>
  <c r="X122"/>
  <c r="K119"/>
  <c r="J122" s="1"/>
  <c r="P122" s="1"/>
  <c r="L121"/>
  <c r="G121"/>
  <c r="E121"/>
  <c r="J120"/>
  <c r="F120"/>
  <c r="E120"/>
  <c r="J119"/>
  <c r="F119"/>
  <c r="E119"/>
  <c r="K118"/>
  <c r="J118"/>
  <c r="H118"/>
  <c r="G118"/>
  <c r="F118"/>
  <c r="K117"/>
  <c r="J117"/>
  <c r="R117"/>
  <c r="H117"/>
  <c r="G117"/>
  <c r="F117"/>
  <c r="K116"/>
  <c r="J116"/>
  <c r="H116"/>
  <c r="G116"/>
  <c r="F116"/>
  <c r="K115"/>
  <c r="J115"/>
  <c r="H115"/>
  <c r="R115" s="1"/>
  <c r="G115"/>
  <c r="F115"/>
  <c r="C114"/>
  <c r="V113"/>
  <c r="K120" s="1"/>
  <c r="T113"/>
  <c r="U113"/>
  <c r="H120" s="1"/>
  <c r="S113"/>
  <c r="H119" s="1"/>
  <c r="F113"/>
  <c r="E113"/>
  <c r="D113"/>
  <c r="I113"/>
  <c r="C113"/>
  <c r="A113"/>
  <c r="L112"/>
  <c r="Q112" s="1"/>
  <c r="Z112"/>
  <c r="Y112"/>
  <c r="X112"/>
  <c r="K109"/>
  <c r="J112" s="1"/>
  <c r="P112" s="1"/>
  <c r="L111"/>
  <c r="G111"/>
  <c r="E111"/>
  <c r="J110"/>
  <c r="F110"/>
  <c r="E110"/>
  <c r="J109"/>
  <c r="F109"/>
  <c r="E109"/>
  <c r="K108"/>
  <c r="J108"/>
  <c r="H108"/>
  <c r="G108"/>
  <c r="F108"/>
  <c r="K107"/>
  <c r="J107"/>
  <c r="R107"/>
  <c r="H107"/>
  <c r="G107"/>
  <c r="F107"/>
  <c r="K106"/>
  <c r="J106"/>
  <c r="H106"/>
  <c r="G106"/>
  <c r="F106"/>
  <c r="K105"/>
  <c r="J105"/>
  <c r="H105"/>
  <c r="R105" s="1"/>
  <c r="G105"/>
  <c r="F105"/>
  <c r="C104"/>
  <c r="V103"/>
  <c r="K110" s="1"/>
  <c r="T103"/>
  <c r="U103"/>
  <c r="H110" s="1"/>
  <c r="S103"/>
  <c r="H109" s="1"/>
  <c r="F103"/>
  <c r="E103"/>
  <c r="D103"/>
  <c r="I103"/>
  <c r="C103"/>
  <c r="A103"/>
  <c r="L102"/>
  <c r="Q102" s="1"/>
  <c r="Z102"/>
  <c r="Y102"/>
  <c r="X102"/>
  <c r="K99"/>
  <c r="J102" s="1"/>
  <c r="P102" s="1"/>
  <c r="L101"/>
  <c r="G101"/>
  <c r="E101"/>
  <c r="J100"/>
  <c r="F100"/>
  <c r="E100"/>
  <c r="J99"/>
  <c r="F99"/>
  <c r="E99"/>
  <c r="K98"/>
  <c r="J98"/>
  <c r="H98"/>
  <c r="G98"/>
  <c r="F98"/>
  <c r="K97"/>
  <c r="J97"/>
  <c r="R97"/>
  <c r="H97"/>
  <c r="G97"/>
  <c r="F97"/>
  <c r="K96"/>
  <c r="J96"/>
  <c r="H96"/>
  <c r="G96"/>
  <c r="F96"/>
  <c r="K95"/>
  <c r="J95"/>
  <c r="R95"/>
  <c r="H95"/>
  <c r="G95"/>
  <c r="F95"/>
  <c r="C94"/>
  <c r="V93"/>
  <c r="K100" s="1"/>
  <c r="T93"/>
  <c r="U93"/>
  <c r="H100" s="1"/>
  <c r="S93"/>
  <c r="H99" s="1"/>
  <c r="F93"/>
  <c r="E93"/>
  <c r="D93"/>
  <c r="I93"/>
  <c r="C93"/>
  <c r="B93"/>
  <c r="A93"/>
  <c r="A92"/>
  <c r="A88"/>
  <c r="A84"/>
  <c r="L82"/>
  <c r="Q82" s="1"/>
  <c r="Z82"/>
  <c r="Y82"/>
  <c r="X82"/>
  <c r="L81"/>
  <c r="G81"/>
  <c r="E81"/>
  <c r="J80"/>
  <c r="E80"/>
  <c r="J79"/>
  <c r="E79"/>
  <c r="K78"/>
  <c r="J78"/>
  <c r="H78"/>
  <c r="R78" s="1"/>
  <c r="G78"/>
  <c r="F78"/>
  <c r="C77"/>
  <c r="V76"/>
  <c r="K80" s="1"/>
  <c r="T76"/>
  <c r="K79" s="1"/>
  <c r="U76"/>
  <c r="H80" s="1"/>
  <c r="S76"/>
  <c r="H79" s="1"/>
  <c r="F76"/>
  <c r="E76"/>
  <c r="D76"/>
  <c r="I76"/>
  <c r="C76"/>
  <c r="B76"/>
  <c r="A76"/>
  <c r="L75"/>
  <c r="Q75" s="1"/>
  <c r="Z75"/>
  <c r="Y75"/>
  <c r="X75"/>
  <c r="L74"/>
  <c r="G74"/>
  <c r="E74"/>
  <c r="J73"/>
  <c r="E73"/>
  <c r="J72"/>
  <c r="E72"/>
  <c r="K71"/>
  <c r="J71"/>
  <c r="H71"/>
  <c r="R71" s="1"/>
  <c r="G71"/>
  <c r="F71"/>
  <c r="K70"/>
  <c r="J70"/>
  <c r="H70"/>
  <c r="G70"/>
  <c r="F70"/>
  <c r="K69"/>
  <c r="J69"/>
  <c r="H69"/>
  <c r="G69"/>
  <c r="F69"/>
  <c r="C68"/>
  <c r="V67"/>
  <c r="K73" s="1"/>
  <c r="T67"/>
  <c r="K72" s="1"/>
  <c r="U67"/>
  <c r="H73" s="1"/>
  <c r="S67"/>
  <c r="H72" s="1"/>
  <c r="F67"/>
  <c r="E67"/>
  <c r="D67"/>
  <c r="I67"/>
  <c r="C67"/>
  <c r="B67"/>
  <c r="A67"/>
  <c r="L66"/>
  <c r="Q66" s="1"/>
  <c r="Z66"/>
  <c r="Y66"/>
  <c r="X66"/>
  <c r="K65"/>
  <c r="J65"/>
  <c r="Z65"/>
  <c r="Y65"/>
  <c r="X65"/>
  <c r="W65"/>
  <c r="H65"/>
  <c r="F65"/>
  <c r="V65"/>
  <c r="T65"/>
  <c r="U65"/>
  <c r="S65"/>
  <c r="E65"/>
  <c r="D65"/>
  <c r="C65"/>
  <c r="B65"/>
  <c r="A65"/>
  <c r="L64"/>
  <c r="G64"/>
  <c r="E64"/>
  <c r="J63"/>
  <c r="E63"/>
  <c r="J62"/>
  <c r="E62"/>
  <c r="K61"/>
  <c r="J61"/>
  <c r="H61"/>
  <c r="G61"/>
  <c r="F61"/>
  <c r="K60"/>
  <c r="J60"/>
  <c r="H60"/>
  <c r="G60"/>
  <c r="F60"/>
  <c r="K59"/>
  <c r="J59"/>
  <c r="H59"/>
  <c r="G66" s="1"/>
  <c r="O66" s="1"/>
  <c r="G59"/>
  <c r="F59"/>
  <c r="C58"/>
  <c r="V57"/>
  <c r="T57"/>
  <c r="K62" s="1"/>
  <c r="U57"/>
  <c r="H63" s="1"/>
  <c r="S57"/>
  <c r="H62" s="1"/>
  <c r="F57"/>
  <c r="E57"/>
  <c r="D57"/>
  <c r="I57"/>
  <c r="C57"/>
  <c r="B57"/>
  <c r="A57"/>
  <c r="L56"/>
  <c r="Q56" s="1"/>
  <c r="L88" s="1"/>
  <c r="Z56"/>
  <c r="Y56"/>
  <c r="X56"/>
  <c r="K55"/>
  <c r="J55"/>
  <c r="Z55"/>
  <c r="Y55"/>
  <c r="G29" s="1"/>
  <c r="X55"/>
  <c r="H55"/>
  <c r="W55" s="1"/>
  <c r="F55"/>
  <c r="V55"/>
  <c r="T55"/>
  <c r="U55"/>
  <c r="S55"/>
  <c r="E55"/>
  <c r="D55"/>
  <c r="C55"/>
  <c r="B55"/>
  <c r="A55"/>
  <c r="L54"/>
  <c r="G54"/>
  <c r="E54"/>
  <c r="J53"/>
  <c r="E53"/>
  <c r="J52"/>
  <c r="E52"/>
  <c r="K51"/>
  <c r="J51"/>
  <c r="H51"/>
  <c r="R51" s="1"/>
  <c r="G51"/>
  <c r="F51"/>
  <c r="K50"/>
  <c r="J50"/>
  <c r="H50"/>
  <c r="G50"/>
  <c r="F50"/>
  <c r="K49"/>
  <c r="J49"/>
  <c r="H49"/>
  <c r="G49"/>
  <c r="F49"/>
  <c r="C48"/>
  <c r="V47"/>
  <c r="K53" s="1"/>
  <c r="T47"/>
  <c r="K52" s="1"/>
  <c r="U47"/>
  <c r="H53" s="1"/>
  <c r="S47"/>
  <c r="H52" s="1"/>
  <c r="F47"/>
  <c r="E47"/>
  <c r="D47"/>
  <c r="I47"/>
  <c r="C47"/>
  <c r="B47"/>
  <c r="A47"/>
  <c r="A46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" i="3"/>
  <c r="CY1"/>
  <c r="CZ1"/>
  <c r="DA1"/>
  <c r="DB1"/>
  <c r="DC1"/>
  <c r="A2"/>
  <c r="CY2"/>
  <c r="CZ2"/>
  <c r="DB2" s="1"/>
  <c r="DA2"/>
  <c r="DC2"/>
  <c r="A3"/>
  <c r="CY3"/>
  <c r="CZ3"/>
  <c r="DB3" s="1"/>
  <c r="DA3"/>
  <c r="DC3"/>
  <c r="A4"/>
  <c r="CY4"/>
  <c r="CZ4"/>
  <c r="DA4"/>
  <c r="DB4"/>
  <c r="DC4"/>
  <c r="A5"/>
  <c r="CY5"/>
  <c r="CZ5"/>
  <c r="DA5"/>
  <c r="DB5"/>
  <c r="DC5"/>
  <c r="A6"/>
  <c r="CY6"/>
  <c r="CZ6"/>
  <c r="DB6" s="1"/>
  <c r="DA6"/>
  <c r="DC6"/>
  <c r="A7"/>
  <c r="CY7"/>
  <c r="CZ7"/>
  <c r="DB7" s="1"/>
  <c r="DA7"/>
  <c r="DC7"/>
  <c r="A8"/>
  <c r="CY8"/>
  <c r="CZ8"/>
  <c r="DA8"/>
  <c r="DB8"/>
  <c r="DC8"/>
  <c r="A9"/>
  <c r="CY9"/>
  <c r="CZ9"/>
  <c r="DA9"/>
  <c r="DB9"/>
  <c r="DC9"/>
  <c r="A10"/>
  <c r="CY10"/>
  <c r="CZ10"/>
  <c r="DB10" s="1"/>
  <c r="DA10"/>
  <c r="DC10"/>
  <c r="A11"/>
  <c r="CY11"/>
  <c r="CZ11"/>
  <c r="DB11" s="1"/>
  <c r="DA11"/>
  <c r="DC11"/>
  <c r="A12"/>
  <c r="CY12"/>
  <c r="CZ12"/>
  <c r="DA12"/>
  <c r="DB12"/>
  <c r="DC12"/>
  <c r="A13"/>
  <c r="CY13"/>
  <c r="CZ13"/>
  <c r="DA13"/>
  <c r="DB13"/>
  <c r="DC13"/>
  <c r="A14"/>
  <c r="CY14"/>
  <c r="CZ14"/>
  <c r="DB14" s="1"/>
  <c r="DA14"/>
  <c r="DC14"/>
  <c r="A15"/>
  <c r="CY15"/>
  <c r="CZ15"/>
  <c r="DB15" s="1"/>
  <c r="DA15"/>
  <c r="DC15"/>
  <c r="A16"/>
  <c r="CY16"/>
  <c r="CZ16"/>
  <c r="DA16"/>
  <c r="DB16"/>
  <c r="DC16"/>
  <c r="A17"/>
  <c r="CY17"/>
  <c r="CZ17"/>
  <c r="DA17"/>
  <c r="DB17"/>
  <c r="DC17"/>
  <c r="A18"/>
  <c r="CY18"/>
  <c r="CZ18"/>
  <c r="DB18" s="1"/>
  <c r="DA18"/>
  <c r="DC18"/>
  <c r="A19"/>
  <c r="CY19"/>
  <c r="CZ19"/>
  <c r="DB19" s="1"/>
  <c r="DA19"/>
  <c r="DC19"/>
  <c r="A20"/>
  <c r="CY20"/>
  <c r="CZ20"/>
  <c r="DA20"/>
  <c r="DB20"/>
  <c r="DC20"/>
  <c r="A21"/>
  <c r="CY21"/>
  <c r="CZ21"/>
  <c r="DA21"/>
  <c r="DB21"/>
  <c r="DC21"/>
  <c r="A22"/>
  <c r="CY22"/>
  <c r="CZ22"/>
  <c r="DB22" s="1"/>
  <c r="DA22"/>
  <c r="DC22"/>
  <c r="A23"/>
  <c r="CY23"/>
  <c r="CZ23"/>
  <c r="DB23" s="1"/>
  <c r="DA23"/>
  <c r="DC23"/>
  <c r="A24"/>
  <c r="CY24"/>
  <c r="CZ24"/>
  <c r="DA24"/>
  <c r="DB24"/>
  <c r="DC24"/>
  <c r="A25"/>
  <c r="CY25"/>
  <c r="CZ25"/>
  <c r="DA25"/>
  <c r="DB25"/>
  <c r="DC25"/>
  <c r="A26"/>
  <c r="CY26"/>
  <c r="CZ26"/>
  <c r="DB26" s="1"/>
  <c r="DA26"/>
  <c r="DC26"/>
  <c r="A27"/>
  <c r="CY27"/>
  <c r="CZ27"/>
  <c r="DB27" s="1"/>
  <c r="DA27"/>
  <c r="DC27"/>
  <c r="A28"/>
  <c r="CY28"/>
  <c r="CZ28"/>
  <c r="DA28"/>
  <c r="DB28"/>
  <c r="DC28"/>
  <c r="A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Y36"/>
  <c r="CZ36"/>
  <c r="DA36"/>
  <c r="DB36"/>
  <c r="DC36"/>
  <c r="A37"/>
  <c r="CY37"/>
  <c r="CZ37"/>
  <c r="DA37"/>
  <c r="DB37"/>
  <c r="DC37"/>
  <c r="A38"/>
  <c r="CY38"/>
  <c r="CZ38"/>
  <c r="DB38" s="1"/>
  <c r="DA38"/>
  <c r="DC38"/>
  <c r="A39"/>
  <c r="CY39"/>
  <c r="CZ39"/>
  <c r="DB39" s="1"/>
  <c r="DA39"/>
  <c r="DC39"/>
  <c r="A40"/>
  <c r="CY40"/>
  <c r="CZ40"/>
  <c r="DA40"/>
  <c r="DB40"/>
  <c r="DC40"/>
  <c r="A41"/>
  <c r="CY41"/>
  <c r="CZ41"/>
  <c r="DA41"/>
  <c r="DB41"/>
  <c r="DC41"/>
  <c r="A42"/>
  <c r="CY42"/>
  <c r="CZ42"/>
  <c r="DB42" s="1"/>
  <c r="DA42"/>
  <c r="DC42"/>
  <c r="A43"/>
  <c r="CY43"/>
  <c r="CZ43"/>
  <c r="DB43" s="1"/>
  <c r="DA43"/>
  <c r="DC43"/>
  <c r="A44"/>
  <c r="CY44"/>
  <c r="CZ44"/>
  <c r="DA44"/>
  <c r="DB44"/>
  <c r="DC44"/>
  <c r="A45"/>
  <c r="CY45"/>
  <c r="CZ45"/>
  <c r="DA45"/>
  <c r="DB45"/>
  <c r="DC45"/>
  <c r="A46"/>
  <c r="CY46"/>
  <c r="CZ46"/>
  <c r="DB46" s="1"/>
  <c r="DA46"/>
  <c r="DC46"/>
  <c r="A47"/>
  <c r="CY47"/>
  <c r="CZ47"/>
  <c r="DB47" s="1"/>
  <c r="DA47"/>
  <c r="DC47"/>
  <c r="A48"/>
  <c r="CY48"/>
  <c r="CZ48"/>
  <c r="DA48"/>
  <c r="DB48"/>
  <c r="DC48"/>
  <c r="A49"/>
  <c r="CY49"/>
  <c r="CZ49"/>
  <c r="DA49"/>
  <c r="DB49"/>
  <c r="DC49"/>
  <c r="A50"/>
  <c r="CY50"/>
  <c r="CZ50"/>
  <c r="DB50" s="1"/>
  <c r="DA50"/>
  <c r="DC50"/>
  <c r="A51"/>
  <c r="CY51"/>
  <c r="CZ51"/>
  <c r="DB51" s="1"/>
  <c r="DA51"/>
  <c r="DC51"/>
  <c r="A52"/>
  <c r="CY52"/>
  <c r="CZ52"/>
  <c r="DA52"/>
  <c r="DB52"/>
  <c r="DC52"/>
  <c r="A53"/>
  <c r="CY53"/>
  <c r="CZ53"/>
  <c r="DA53"/>
  <c r="DB53"/>
  <c r="DC53"/>
  <c r="A54"/>
  <c r="CY54"/>
  <c r="CZ54"/>
  <c r="DB54" s="1"/>
  <c r="DA54"/>
  <c r="DC54"/>
  <c r="A55"/>
  <c r="CY55"/>
  <c r="CZ55"/>
  <c r="DB55" s="1"/>
  <c r="DA55"/>
  <c r="DC55"/>
  <c r="A56"/>
  <c r="CY56"/>
  <c r="CZ56"/>
  <c r="DA56"/>
  <c r="DB56"/>
  <c r="DC56"/>
  <c r="A57"/>
  <c r="CY57"/>
  <c r="CZ57"/>
  <c r="DA57"/>
  <c r="DB57"/>
  <c r="DC57"/>
  <c r="A58"/>
  <c r="CY58"/>
  <c r="CZ58"/>
  <c r="DB58" s="1"/>
  <c r="DA58"/>
  <c r="DC58"/>
  <c r="A59"/>
  <c r="CY59"/>
  <c r="CZ59"/>
  <c r="DB59" s="1"/>
  <c r="DA59"/>
  <c r="DC59"/>
  <c r="A60"/>
  <c r="CY60"/>
  <c r="CZ60"/>
  <c r="DA60"/>
  <c r="DB60"/>
  <c r="DC60"/>
  <c r="A61"/>
  <c r="CY61"/>
  <c r="CZ61"/>
  <c r="DA61"/>
  <c r="DB61"/>
  <c r="DC61"/>
  <c r="A62"/>
  <c r="CY62"/>
  <c r="CZ62"/>
  <c r="DB62" s="1"/>
  <c r="DA62"/>
  <c r="DC62"/>
  <c r="A63"/>
  <c r="CY63"/>
  <c r="CZ63"/>
  <c r="DB63" s="1"/>
  <c r="DA63"/>
  <c r="DC63"/>
  <c r="A64"/>
  <c r="CY64"/>
  <c r="CZ64"/>
  <c r="DA64"/>
  <c r="DB64"/>
  <c r="DC64"/>
  <c r="A65"/>
  <c r="CY65"/>
  <c r="CZ65"/>
  <c r="DA65"/>
  <c r="DB65"/>
  <c r="DC65"/>
  <c r="A66"/>
  <c r="CY66"/>
  <c r="CZ66"/>
  <c r="DB66" s="1"/>
  <c r="DA66"/>
  <c r="DC66"/>
  <c r="A67"/>
  <c r="CY67"/>
  <c r="CZ67"/>
  <c r="DB67" s="1"/>
  <c r="DA67"/>
  <c r="DC67"/>
  <c r="A68"/>
  <c r="CY68"/>
  <c r="CZ68"/>
  <c r="DA68"/>
  <c r="DB68"/>
  <c r="DC68"/>
  <c r="A69"/>
  <c r="CY69"/>
  <c r="CZ69"/>
  <c r="DA69"/>
  <c r="DB69"/>
  <c r="DC69"/>
  <c r="A70"/>
  <c r="CY70"/>
  <c r="CZ70"/>
  <c r="DB70" s="1"/>
  <c r="DA70"/>
  <c r="DC70"/>
  <c r="A71"/>
  <c r="CY71"/>
  <c r="CZ71"/>
  <c r="DB71" s="1"/>
  <c r="DA71"/>
  <c r="DC71"/>
  <c r="A72"/>
  <c r="CY72"/>
  <c r="CZ72"/>
  <c r="DA72"/>
  <c r="DB72"/>
  <c r="DC72"/>
  <c r="A73"/>
  <c r="CY73"/>
  <c r="CZ73"/>
  <c r="DA73"/>
  <c r="DB73"/>
  <c r="DC73"/>
  <c r="A74"/>
  <c r="CY74"/>
  <c r="CZ74"/>
  <c r="DB74" s="1"/>
  <c r="DA74"/>
  <c r="DC74"/>
  <c r="A75"/>
  <c r="CY75"/>
  <c r="CZ75"/>
  <c r="DB75" s="1"/>
  <c r="DA75"/>
  <c r="DC75"/>
  <c r="A76"/>
  <c r="CY76"/>
  <c r="CZ76"/>
  <c r="DA76"/>
  <c r="DB76"/>
  <c r="DC76"/>
  <c r="A77"/>
  <c r="CY77"/>
  <c r="CZ77"/>
  <c r="DA77"/>
  <c r="DB77"/>
  <c r="DC77"/>
  <c r="A78"/>
  <c r="CY78"/>
  <c r="CZ78"/>
  <c r="DB78" s="1"/>
  <c r="DA78"/>
  <c r="DC78"/>
  <c r="A79"/>
  <c r="CY79"/>
  <c r="CZ79"/>
  <c r="DB79" s="1"/>
  <c r="DA79"/>
  <c r="DC79"/>
  <c r="A80"/>
  <c r="CY80"/>
  <c r="CZ80"/>
  <c r="DA80"/>
  <c r="DB80"/>
  <c r="DC80"/>
  <c r="A81"/>
  <c r="CY81"/>
  <c r="CZ81"/>
  <c r="DA81"/>
  <c r="DB81"/>
  <c r="DC81"/>
  <c r="A82"/>
  <c r="CY82"/>
  <c r="CZ82"/>
  <c r="DB82" s="1"/>
  <c r="DA82"/>
  <c r="DC82"/>
  <c r="A83"/>
  <c r="CY83"/>
  <c r="CZ83"/>
  <c r="DB83" s="1"/>
  <c r="DA83"/>
  <c r="DC83"/>
  <c r="A84"/>
  <c r="CY84"/>
  <c r="CZ84"/>
  <c r="DA84"/>
  <c r="DB84"/>
  <c r="DC84"/>
  <c r="A85"/>
  <c r="CY85"/>
  <c r="CZ85"/>
  <c r="DA85"/>
  <c r="DB85"/>
  <c r="DC85"/>
  <c r="A86"/>
  <c r="CY86"/>
  <c r="CZ86"/>
  <c r="DB86" s="1"/>
  <c r="DA86"/>
  <c r="DC86"/>
  <c r="A87"/>
  <c r="CY87"/>
  <c r="CZ87"/>
  <c r="DB87" s="1"/>
  <c r="DA87"/>
  <c r="DC87"/>
  <c r="A88"/>
  <c r="CY88"/>
  <c r="CZ88"/>
  <c r="DA88"/>
  <c r="DB88"/>
  <c r="DC88"/>
  <c r="A89"/>
  <c r="CY89"/>
  <c r="CZ89"/>
  <c r="DA89"/>
  <c r="DB89"/>
  <c r="DC89"/>
  <c r="A90"/>
  <c r="CY90"/>
  <c r="CZ90"/>
  <c r="DB90" s="1"/>
  <c r="DA90"/>
  <c r="DC90"/>
  <c r="A91"/>
  <c r="CY91"/>
  <c r="CZ91"/>
  <c r="DB91" s="1"/>
  <c r="DA91"/>
  <c r="DC91"/>
  <c r="A92"/>
  <c r="CY92"/>
  <c r="CZ92"/>
  <c r="DA92"/>
  <c r="DB92"/>
  <c r="DC92"/>
  <c r="A93"/>
  <c r="CY93"/>
  <c r="CZ93"/>
  <c r="DA93"/>
  <c r="DB93"/>
  <c r="DC93"/>
  <c r="A94"/>
  <c r="CY94"/>
  <c r="CZ94"/>
  <c r="DB94" s="1"/>
  <c r="DA94"/>
  <c r="DC94"/>
  <c r="A95"/>
  <c r="CY95"/>
  <c r="CZ95"/>
  <c r="DB95" s="1"/>
  <c r="DA95"/>
  <c r="DC95"/>
  <c r="A96"/>
  <c r="CY96"/>
  <c r="CZ96"/>
  <c r="DA96"/>
  <c r="DB96"/>
  <c r="DC96"/>
  <c r="A97"/>
  <c r="CY97"/>
  <c r="CZ97"/>
  <c r="DA97"/>
  <c r="DB97"/>
  <c r="DC97"/>
  <c r="A98"/>
  <c r="CY98"/>
  <c r="CZ98"/>
  <c r="DB98" s="1"/>
  <c r="DA98"/>
  <c r="DC98"/>
  <c r="A99"/>
  <c r="CY99"/>
  <c r="CZ99"/>
  <c r="DB99" s="1"/>
  <c r="DA99"/>
  <c r="DC99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B26"/>
  <c r="AC26"/>
  <c r="AD26"/>
  <c r="AE26"/>
  <c r="AF26"/>
  <c r="AG26"/>
  <c r="AH26"/>
  <c r="AI26"/>
  <c r="AJ26"/>
  <c r="AK26"/>
  <c r="AL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D28"/>
  <c r="E30"/>
  <c r="Z30"/>
  <c r="AA30"/>
  <c r="AM30"/>
  <c r="AN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FL30"/>
  <c r="FM30"/>
  <c r="FN30"/>
  <c r="FO30"/>
  <c r="FP30"/>
  <c r="FQ30"/>
  <c r="FR30"/>
  <c r="FS30"/>
  <c r="FT30"/>
  <c r="FU30"/>
  <c r="FV30"/>
  <c r="FW30"/>
  <c r="FX30"/>
  <c r="FY30"/>
  <c r="FZ30"/>
  <c r="GA30"/>
  <c r="GB30"/>
  <c r="GC30"/>
  <c r="GD30"/>
  <c r="GE30"/>
  <c r="GF30"/>
  <c r="GG30"/>
  <c r="GH30"/>
  <c r="GI30"/>
  <c r="GJ30"/>
  <c r="GK30"/>
  <c r="GL30"/>
  <c r="GM30"/>
  <c r="GN30"/>
  <c r="GO30"/>
  <c r="GP30"/>
  <c r="GQ30"/>
  <c r="GR30"/>
  <c r="GS30"/>
  <c r="GT30"/>
  <c r="GU30"/>
  <c r="GV30"/>
  <c r="GW30"/>
  <c r="GX30"/>
  <c r="C32"/>
  <c r="D32"/>
  <c r="I32"/>
  <c r="CX1" i="3" s="1"/>
  <c r="K32" i="1"/>
  <c r="AC32"/>
  <c r="AB32" s="1"/>
  <c r="AD32"/>
  <c r="CR32" s="1"/>
  <c r="Q32" s="1"/>
  <c r="AE32"/>
  <c r="AF32"/>
  <c r="AG32"/>
  <c r="AH32"/>
  <c r="CV32" s="1"/>
  <c r="U32" s="1"/>
  <c r="AI32"/>
  <c r="AJ32"/>
  <c r="CQ32"/>
  <c r="P32" s="1"/>
  <c r="CS32"/>
  <c r="R32" s="1"/>
  <c r="CT32"/>
  <c r="S32" s="1"/>
  <c r="CU32"/>
  <c r="T32" s="1"/>
  <c r="CW32"/>
  <c r="V32" s="1"/>
  <c r="CX32"/>
  <c r="W32" s="1"/>
  <c r="FR32"/>
  <c r="GL32"/>
  <c r="GO32"/>
  <c r="GP32"/>
  <c r="GV32"/>
  <c r="HC32" s="1"/>
  <c r="GX32" s="1"/>
  <c r="I33"/>
  <c r="AC33"/>
  <c r="AE33"/>
  <c r="AD33" s="1"/>
  <c r="CR33" s="1"/>
  <c r="Q33" s="1"/>
  <c r="AF33"/>
  <c r="AG33"/>
  <c r="CU33" s="1"/>
  <c r="T33" s="1"/>
  <c r="AH33"/>
  <c r="AI33"/>
  <c r="AJ33"/>
  <c r="CS33"/>
  <c r="R33" s="1"/>
  <c r="CT33"/>
  <c r="S33" s="1"/>
  <c r="CV33"/>
  <c r="U33" s="1"/>
  <c r="CW33"/>
  <c r="V33" s="1"/>
  <c r="CX33"/>
  <c r="W33" s="1"/>
  <c r="FR33"/>
  <c r="GL33"/>
  <c r="GO33"/>
  <c r="GP33"/>
  <c r="GV33"/>
  <c r="HC33"/>
  <c r="GX33" s="1"/>
  <c r="C34"/>
  <c r="D34"/>
  <c r="I34"/>
  <c r="CX5" i="3" s="1"/>
  <c r="K34" i="1"/>
  <c r="AC34"/>
  <c r="AB34" s="1"/>
  <c r="AE34"/>
  <c r="AD34" s="1"/>
  <c r="CR34" s="1"/>
  <c r="Q34" s="1"/>
  <c r="AF34"/>
  <c r="AG34"/>
  <c r="CU34" s="1"/>
  <c r="T34" s="1"/>
  <c r="AH34"/>
  <c r="AI34"/>
  <c r="AJ34"/>
  <c r="CS34"/>
  <c r="R34" s="1"/>
  <c r="CT34"/>
  <c r="S34" s="1"/>
  <c r="CV34"/>
  <c r="U34" s="1"/>
  <c r="CW34"/>
  <c r="V34" s="1"/>
  <c r="CX34"/>
  <c r="W34" s="1"/>
  <c r="FR34"/>
  <c r="GL34"/>
  <c r="GO34"/>
  <c r="GP34"/>
  <c r="GV34"/>
  <c r="HC34"/>
  <c r="GX34" s="1"/>
  <c r="I35"/>
  <c r="AC35"/>
  <c r="AE35"/>
  <c r="AD35" s="1"/>
  <c r="AF35"/>
  <c r="CT35" s="1"/>
  <c r="S35" s="1"/>
  <c r="AG35"/>
  <c r="AH35"/>
  <c r="AI35"/>
  <c r="AJ35"/>
  <c r="CX35" s="1"/>
  <c r="W35" s="1"/>
  <c r="CQ35"/>
  <c r="P35" s="1"/>
  <c r="CS35"/>
  <c r="R35" s="1"/>
  <c r="CU35"/>
  <c r="T35" s="1"/>
  <c r="CV35"/>
  <c r="U35" s="1"/>
  <c r="CW35"/>
  <c r="V35" s="1"/>
  <c r="FR35"/>
  <c r="GL35"/>
  <c r="GO35"/>
  <c r="GP35"/>
  <c r="GV35"/>
  <c r="HC35"/>
  <c r="GX35" s="1"/>
  <c r="C36"/>
  <c r="D36"/>
  <c r="I36"/>
  <c r="CX10" i="3" s="1"/>
  <c r="K36" i="1"/>
  <c r="AC36"/>
  <c r="AE36"/>
  <c r="AD36" s="1"/>
  <c r="AF36"/>
  <c r="CT36" s="1"/>
  <c r="S36" s="1"/>
  <c r="AG36"/>
  <c r="AH36"/>
  <c r="AI36"/>
  <c r="AJ36"/>
  <c r="CX36" s="1"/>
  <c r="W36" s="1"/>
  <c r="CQ36"/>
  <c r="P36" s="1"/>
  <c r="CS36"/>
  <c r="R36" s="1"/>
  <c r="CU36"/>
  <c r="T36" s="1"/>
  <c r="CV36"/>
  <c r="U36" s="1"/>
  <c r="CW36"/>
  <c r="V36" s="1"/>
  <c r="FR36"/>
  <c r="GL36"/>
  <c r="GO36"/>
  <c r="GP36"/>
  <c r="GV36"/>
  <c r="HC36"/>
  <c r="GX36" s="1"/>
  <c r="C37"/>
  <c r="D37"/>
  <c r="I37"/>
  <c r="CX13" i="3" s="1"/>
  <c r="K37" i="1"/>
  <c r="AC37"/>
  <c r="AE37"/>
  <c r="AD37" s="1"/>
  <c r="AF37"/>
  <c r="CT37" s="1"/>
  <c r="S37" s="1"/>
  <c r="AG37"/>
  <c r="AH37"/>
  <c r="AI37"/>
  <c r="AJ37"/>
  <c r="CX37" s="1"/>
  <c r="W37" s="1"/>
  <c r="CQ37"/>
  <c r="P37" s="1"/>
  <c r="CS37"/>
  <c r="R37" s="1"/>
  <c r="CU37"/>
  <c r="T37" s="1"/>
  <c r="CV37"/>
  <c r="U37" s="1"/>
  <c r="CW37"/>
  <c r="V37" s="1"/>
  <c r="FR37"/>
  <c r="GL37"/>
  <c r="GO37"/>
  <c r="GP37"/>
  <c r="GV37"/>
  <c r="HC37"/>
  <c r="GX37" s="1"/>
  <c r="B39"/>
  <c r="B30" s="1"/>
  <c r="C39"/>
  <c r="C30" s="1"/>
  <c r="D39"/>
  <c r="D30" s="1"/>
  <c r="F39"/>
  <c r="F30" s="1"/>
  <c r="G39"/>
  <c r="G30" s="1"/>
  <c r="BX39"/>
  <c r="BX30" s="1"/>
  <c r="BY39"/>
  <c r="CI39" s="1"/>
  <c r="BZ39"/>
  <c r="BZ30" s="1"/>
  <c r="CC39"/>
  <c r="CC30" s="1"/>
  <c r="CD39"/>
  <c r="CD30" s="1"/>
  <c r="CG39"/>
  <c r="CG30" s="1"/>
  <c r="CK39"/>
  <c r="CK30" s="1"/>
  <c r="CL39"/>
  <c r="CL30" s="1"/>
  <c r="CM39"/>
  <c r="CM30" s="1"/>
  <c r="B69"/>
  <c r="B26" s="1"/>
  <c r="C69"/>
  <c r="C26" s="1"/>
  <c r="D69"/>
  <c r="D26" s="1"/>
  <c r="F69"/>
  <c r="F26" s="1"/>
  <c r="G69"/>
  <c r="G26" s="1"/>
  <c r="D99"/>
  <c r="E101"/>
  <c r="Z101"/>
  <c r="AA101"/>
  <c r="AM101"/>
  <c r="AN101"/>
  <c r="BE101"/>
  <c r="BF101"/>
  <c r="BG101"/>
  <c r="BH101"/>
  <c r="BI101"/>
  <c r="BJ101"/>
  <c r="BK101"/>
  <c r="BL101"/>
  <c r="BM101"/>
  <c r="BN101"/>
  <c r="BO101"/>
  <c r="BP101"/>
  <c r="BQ101"/>
  <c r="BR101"/>
  <c r="BS101"/>
  <c r="BT101"/>
  <c r="BU101"/>
  <c r="BV101"/>
  <c r="BW101"/>
  <c r="CN101"/>
  <c r="CO101"/>
  <c r="CP101"/>
  <c r="CQ101"/>
  <c r="CR101"/>
  <c r="CS101"/>
  <c r="CT101"/>
  <c r="CU101"/>
  <c r="CV101"/>
  <c r="CW101"/>
  <c r="CX101"/>
  <c r="CY101"/>
  <c r="CZ101"/>
  <c r="DA101"/>
  <c r="DB101"/>
  <c r="DC101"/>
  <c r="DD101"/>
  <c r="DE101"/>
  <c r="DF101"/>
  <c r="DG101"/>
  <c r="DH101"/>
  <c r="DI101"/>
  <c r="DJ101"/>
  <c r="DK101"/>
  <c r="DL101"/>
  <c r="DM101"/>
  <c r="DN101"/>
  <c r="DO101"/>
  <c r="DP101"/>
  <c r="DQ101"/>
  <c r="DR101"/>
  <c r="DS101"/>
  <c r="DT101"/>
  <c r="DU101"/>
  <c r="DV101"/>
  <c r="DW101"/>
  <c r="DX101"/>
  <c r="DY101"/>
  <c r="DZ101"/>
  <c r="EA101"/>
  <c r="EB101"/>
  <c r="EC101"/>
  <c r="ED101"/>
  <c r="EE101"/>
  <c r="EF101"/>
  <c r="EG101"/>
  <c r="EH101"/>
  <c r="EI101"/>
  <c r="EJ101"/>
  <c r="EK101"/>
  <c r="EL101"/>
  <c r="EM101"/>
  <c r="EN101"/>
  <c r="EO101"/>
  <c r="EP101"/>
  <c r="EQ101"/>
  <c r="ER101"/>
  <c r="ES101"/>
  <c r="ET101"/>
  <c r="EU101"/>
  <c r="EV101"/>
  <c r="EW101"/>
  <c r="EX101"/>
  <c r="EY101"/>
  <c r="EZ101"/>
  <c r="FA101"/>
  <c r="FB101"/>
  <c r="FC101"/>
  <c r="FD101"/>
  <c r="FE101"/>
  <c r="FF101"/>
  <c r="FG101"/>
  <c r="FH101"/>
  <c r="FI101"/>
  <c r="FJ101"/>
  <c r="FK101"/>
  <c r="FL101"/>
  <c r="FM101"/>
  <c r="FN101"/>
  <c r="FO101"/>
  <c r="FP101"/>
  <c r="FQ101"/>
  <c r="FR101"/>
  <c r="FS101"/>
  <c r="FT101"/>
  <c r="FU101"/>
  <c r="FV101"/>
  <c r="FW101"/>
  <c r="FX101"/>
  <c r="FY101"/>
  <c r="FZ101"/>
  <c r="GA101"/>
  <c r="GB101"/>
  <c r="GC101"/>
  <c r="GD101"/>
  <c r="GE101"/>
  <c r="GF101"/>
  <c r="GG101"/>
  <c r="GH101"/>
  <c r="GI101"/>
  <c r="GJ101"/>
  <c r="GK101"/>
  <c r="GL101"/>
  <c r="GM101"/>
  <c r="GN101"/>
  <c r="GO101"/>
  <c r="GP101"/>
  <c r="GQ101"/>
  <c r="GR101"/>
  <c r="GS101"/>
  <c r="GT101"/>
  <c r="GU101"/>
  <c r="GV101"/>
  <c r="GW101"/>
  <c r="GX101"/>
  <c r="C103"/>
  <c r="D103"/>
  <c r="I103"/>
  <c r="CX17" i="3" s="1"/>
  <c r="K103" i="1"/>
  <c r="AC103"/>
  <c r="AB103" s="1"/>
  <c r="AD103"/>
  <c r="CR103" s="1"/>
  <c r="Q103" s="1"/>
  <c r="AE103"/>
  <c r="AF103"/>
  <c r="CT103" s="1"/>
  <c r="S103" s="1"/>
  <c r="AG103"/>
  <c r="AH103"/>
  <c r="CV103" s="1"/>
  <c r="U103" s="1"/>
  <c r="AI103"/>
  <c r="AJ103"/>
  <c r="CX103" s="1"/>
  <c r="W103" s="1"/>
  <c r="CQ103"/>
  <c r="P103" s="1"/>
  <c r="CS103"/>
  <c r="R103" s="1"/>
  <c r="CU103"/>
  <c r="T103" s="1"/>
  <c r="CW103"/>
  <c r="V103" s="1"/>
  <c r="FR103"/>
  <c r="GL103"/>
  <c r="GO103"/>
  <c r="GP103"/>
  <c r="GV103"/>
  <c r="HC103"/>
  <c r="GX103" s="1"/>
  <c r="C104"/>
  <c r="D104"/>
  <c r="I104"/>
  <c r="CX21" i="3" s="1"/>
  <c r="K104" i="1"/>
  <c r="AC104"/>
  <c r="AD104"/>
  <c r="CR104" s="1"/>
  <c r="Q104" s="1"/>
  <c r="AE104"/>
  <c r="AF104"/>
  <c r="CT104" s="1"/>
  <c r="S104" s="1"/>
  <c r="AG104"/>
  <c r="AH104"/>
  <c r="CV104" s="1"/>
  <c r="U104" s="1"/>
  <c r="AI104"/>
  <c r="AJ104"/>
  <c r="CX104" s="1"/>
  <c r="W104" s="1"/>
  <c r="CQ104"/>
  <c r="P104" s="1"/>
  <c r="CS104"/>
  <c r="R104" s="1"/>
  <c r="CU104"/>
  <c r="T104" s="1"/>
  <c r="CW104"/>
  <c r="V104" s="1"/>
  <c r="FR104"/>
  <c r="GL104"/>
  <c r="GO104"/>
  <c r="GP104"/>
  <c r="GV104"/>
  <c r="HC104"/>
  <c r="GX104" s="1"/>
  <c r="C105"/>
  <c r="D105"/>
  <c r="I105"/>
  <c r="CX33" i="3" s="1"/>
  <c r="K105" i="1"/>
  <c r="AC105"/>
  <c r="AD105"/>
  <c r="CR105" s="1"/>
  <c r="Q105" s="1"/>
  <c r="AE105"/>
  <c r="AF105"/>
  <c r="CT105" s="1"/>
  <c r="S105" s="1"/>
  <c r="AG105"/>
  <c r="AH105"/>
  <c r="CV105" s="1"/>
  <c r="U105" s="1"/>
  <c r="AI105"/>
  <c r="AJ105"/>
  <c r="CX105" s="1"/>
  <c r="W105" s="1"/>
  <c r="CQ105"/>
  <c r="P105" s="1"/>
  <c r="CS105"/>
  <c r="R105" s="1"/>
  <c r="CU105"/>
  <c r="T105" s="1"/>
  <c r="CW105"/>
  <c r="V105" s="1"/>
  <c r="FR105"/>
  <c r="GL105"/>
  <c r="GO105"/>
  <c r="GP105"/>
  <c r="GV105"/>
  <c r="HC105"/>
  <c r="GX105" s="1"/>
  <c r="C106"/>
  <c r="D106"/>
  <c r="I106"/>
  <c r="CX45" i="3" s="1"/>
  <c r="K106" i="1"/>
  <c r="AC106"/>
  <c r="AD106"/>
  <c r="CR106" s="1"/>
  <c r="Q106" s="1"/>
  <c r="AE106"/>
  <c r="AF106"/>
  <c r="CT106" s="1"/>
  <c r="S106" s="1"/>
  <c r="AG106"/>
  <c r="AH106"/>
  <c r="CV106" s="1"/>
  <c r="U106" s="1"/>
  <c r="AI106"/>
  <c r="AJ106"/>
  <c r="CX106" s="1"/>
  <c r="W106" s="1"/>
  <c r="CQ106"/>
  <c r="P106" s="1"/>
  <c r="CS106"/>
  <c r="R106" s="1"/>
  <c r="CU106"/>
  <c r="T106" s="1"/>
  <c r="CW106"/>
  <c r="V106" s="1"/>
  <c r="FR106"/>
  <c r="GL106"/>
  <c r="GO106"/>
  <c r="GP106"/>
  <c r="GV106"/>
  <c r="HC106"/>
  <c r="GX106" s="1"/>
  <c r="AC107"/>
  <c r="AD107"/>
  <c r="CR107" s="1"/>
  <c r="Q107" s="1"/>
  <c r="AE107"/>
  <c r="AF107"/>
  <c r="CT107" s="1"/>
  <c r="S107" s="1"/>
  <c r="AG107"/>
  <c r="AH107"/>
  <c r="CV107" s="1"/>
  <c r="U107" s="1"/>
  <c r="AI107"/>
  <c r="AJ107"/>
  <c r="CX107" s="1"/>
  <c r="W107" s="1"/>
  <c r="CQ107"/>
  <c r="P107" s="1"/>
  <c r="CS107"/>
  <c r="R107" s="1"/>
  <c r="CU107"/>
  <c r="T107" s="1"/>
  <c r="CW107"/>
  <c r="V107" s="1"/>
  <c r="FR107"/>
  <c r="GL107"/>
  <c r="GO107"/>
  <c r="GP107"/>
  <c r="GV107"/>
  <c r="HC107"/>
  <c r="GX107" s="1"/>
  <c r="C108"/>
  <c r="D108"/>
  <c r="I108"/>
  <c r="CX49" i="3" s="1"/>
  <c r="K108" i="1"/>
  <c r="AC108"/>
  <c r="AD108"/>
  <c r="CR108" s="1"/>
  <c r="Q108" s="1"/>
  <c r="AE108"/>
  <c r="AF108"/>
  <c r="CT108" s="1"/>
  <c r="S108" s="1"/>
  <c r="AG108"/>
  <c r="AH108"/>
  <c r="CV108" s="1"/>
  <c r="U108" s="1"/>
  <c r="AI108"/>
  <c r="AJ108"/>
  <c r="CX108" s="1"/>
  <c r="W108" s="1"/>
  <c r="CQ108"/>
  <c r="P108" s="1"/>
  <c r="CS108"/>
  <c r="R108" s="1"/>
  <c r="CU108"/>
  <c r="T108" s="1"/>
  <c r="CW108"/>
  <c r="V108" s="1"/>
  <c r="FR108"/>
  <c r="GL108"/>
  <c r="GN108"/>
  <c r="GP108"/>
  <c r="GV108"/>
  <c r="HC108"/>
  <c r="GX108" s="1"/>
  <c r="C109"/>
  <c r="D109"/>
  <c r="I109"/>
  <c r="CX61" i="3" s="1"/>
  <c r="K109" i="1"/>
  <c r="AC109"/>
  <c r="AD109"/>
  <c r="CR109" s="1"/>
  <c r="Q109" s="1"/>
  <c r="AE109"/>
  <c r="AF109"/>
  <c r="CT109" s="1"/>
  <c r="S109" s="1"/>
  <c r="AG109"/>
  <c r="AH109"/>
  <c r="CV109" s="1"/>
  <c r="U109" s="1"/>
  <c r="AI109"/>
  <c r="AJ109"/>
  <c r="CX109" s="1"/>
  <c r="W109" s="1"/>
  <c r="CQ109"/>
  <c r="P109" s="1"/>
  <c r="CS109"/>
  <c r="R109" s="1"/>
  <c r="CU109"/>
  <c r="T109" s="1"/>
  <c r="CW109"/>
  <c r="V109" s="1"/>
  <c r="FR109"/>
  <c r="GL109"/>
  <c r="GO109"/>
  <c r="GP109"/>
  <c r="GV109"/>
  <c r="HC109"/>
  <c r="GX109" s="1"/>
  <c r="B111"/>
  <c r="B101" s="1"/>
  <c r="C111"/>
  <c r="C101" s="1"/>
  <c r="D111"/>
  <c r="D101" s="1"/>
  <c r="F111"/>
  <c r="F101" s="1"/>
  <c r="G111"/>
  <c r="G101" s="1"/>
  <c r="BX111"/>
  <c r="BX101" s="1"/>
  <c r="BY111"/>
  <c r="BY101" s="1"/>
  <c r="BZ111"/>
  <c r="AQ111" s="1"/>
  <c r="CD111"/>
  <c r="AU111" s="1"/>
  <c r="CG111"/>
  <c r="CG101" s="1"/>
  <c r="CK111"/>
  <c r="CK101" s="1"/>
  <c r="CL111"/>
  <c r="BC111" s="1"/>
  <c r="CM111"/>
  <c r="BD111" s="1"/>
  <c r="D141"/>
  <c r="E143"/>
  <c r="Z143"/>
  <c r="AA143"/>
  <c r="AM143"/>
  <c r="AN143"/>
  <c r="BE143"/>
  <c r="BF143"/>
  <c r="BG143"/>
  <c r="BH143"/>
  <c r="BI143"/>
  <c r="BJ143"/>
  <c r="BK143"/>
  <c r="BL143"/>
  <c r="BM143"/>
  <c r="BN143"/>
  <c r="BO143"/>
  <c r="BP143"/>
  <c r="BQ143"/>
  <c r="BR143"/>
  <c r="BS143"/>
  <c r="BT143"/>
  <c r="BU143"/>
  <c r="BV143"/>
  <c r="BW143"/>
  <c r="CN143"/>
  <c r="CO143"/>
  <c r="CP143"/>
  <c r="CQ143"/>
  <c r="CR143"/>
  <c r="CS143"/>
  <c r="CT143"/>
  <c r="CU143"/>
  <c r="CV143"/>
  <c r="CW143"/>
  <c r="CX143"/>
  <c r="CY143"/>
  <c r="CZ143"/>
  <c r="DA143"/>
  <c r="DB143"/>
  <c r="DC143"/>
  <c r="DD143"/>
  <c r="DE143"/>
  <c r="DF143"/>
  <c r="DG143"/>
  <c r="DH143"/>
  <c r="DI143"/>
  <c r="DJ143"/>
  <c r="DK143"/>
  <c r="DL143"/>
  <c r="DM143"/>
  <c r="DN143"/>
  <c r="DO143"/>
  <c r="DP143"/>
  <c r="DQ143"/>
  <c r="DR143"/>
  <c r="DS143"/>
  <c r="DT143"/>
  <c r="DU143"/>
  <c r="DV143"/>
  <c r="DW143"/>
  <c r="DX143"/>
  <c r="DY143"/>
  <c r="DZ143"/>
  <c r="EA143"/>
  <c r="EB143"/>
  <c r="EC143"/>
  <c r="ED143"/>
  <c r="EE143"/>
  <c r="EF143"/>
  <c r="EG143"/>
  <c r="EH143"/>
  <c r="EI143"/>
  <c r="EJ143"/>
  <c r="EK143"/>
  <c r="EL143"/>
  <c r="EM143"/>
  <c r="EN143"/>
  <c r="EO143"/>
  <c r="EP143"/>
  <c r="EQ143"/>
  <c r="ER143"/>
  <c r="ES143"/>
  <c r="ET143"/>
  <c r="EU143"/>
  <c r="EV143"/>
  <c r="EW143"/>
  <c r="EX143"/>
  <c r="EY143"/>
  <c r="EZ143"/>
  <c r="FA143"/>
  <c r="FB143"/>
  <c r="FC143"/>
  <c r="FD143"/>
  <c r="FE143"/>
  <c r="FF143"/>
  <c r="FG143"/>
  <c r="FH143"/>
  <c r="FI143"/>
  <c r="FJ143"/>
  <c r="FK143"/>
  <c r="FL143"/>
  <c r="FM143"/>
  <c r="FN143"/>
  <c r="FO143"/>
  <c r="FP143"/>
  <c r="FQ143"/>
  <c r="FR143"/>
  <c r="FS143"/>
  <c r="FT143"/>
  <c r="FU143"/>
  <c r="FV143"/>
  <c r="FW143"/>
  <c r="FX143"/>
  <c r="FY143"/>
  <c r="FZ143"/>
  <c r="GA143"/>
  <c r="GB143"/>
  <c r="GC143"/>
  <c r="GD143"/>
  <c r="GE143"/>
  <c r="GF143"/>
  <c r="GG143"/>
  <c r="GH143"/>
  <c r="GI143"/>
  <c r="GJ143"/>
  <c r="GK143"/>
  <c r="GL143"/>
  <c r="GM143"/>
  <c r="GN143"/>
  <c r="GO143"/>
  <c r="GP143"/>
  <c r="GQ143"/>
  <c r="GR143"/>
  <c r="GS143"/>
  <c r="GT143"/>
  <c r="GU143"/>
  <c r="GV143"/>
  <c r="GW143"/>
  <c r="GX143"/>
  <c r="C145"/>
  <c r="D145"/>
  <c r="I145"/>
  <c r="CX65" i="3" s="1"/>
  <c r="K145" i="1"/>
  <c r="AC145"/>
  <c r="CQ145" s="1"/>
  <c r="P145" s="1"/>
  <c r="CP145" s="1"/>
  <c r="O145" s="1"/>
  <c r="AE145"/>
  <c r="AD145" s="1"/>
  <c r="CR145" s="1"/>
  <c r="Q145" s="1"/>
  <c r="AF145"/>
  <c r="AG145"/>
  <c r="CU145" s="1"/>
  <c r="T145" s="1"/>
  <c r="AH145"/>
  <c r="AI145"/>
  <c r="CW145" s="1"/>
  <c r="V145" s="1"/>
  <c r="AJ145"/>
  <c r="CT145"/>
  <c r="S145" s="1"/>
  <c r="CV145"/>
  <c r="U145" s="1"/>
  <c r="CX145"/>
  <c r="W145" s="1"/>
  <c r="FR145"/>
  <c r="GL145"/>
  <c r="GO145"/>
  <c r="GP145"/>
  <c r="GV145"/>
  <c r="GX145"/>
  <c r="HC145"/>
  <c r="I146"/>
  <c r="P146"/>
  <c r="AC146"/>
  <c r="AD146"/>
  <c r="AE146"/>
  <c r="AF146"/>
  <c r="CT146" s="1"/>
  <c r="S146" s="1"/>
  <c r="AG146"/>
  <c r="AH146"/>
  <c r="CV146" s="1"/>
  <c r="U146" s="1"/>
  <c r="AI146"/>
  <c r="AJ146"/>
  <c r="CX146" s="1"/>
  <c r="W146" s="1"/>
  <c r="CQ146"/>
  <c r="CR146"/>
  <c r="Q146" s="1"/>
  <c r="CS146"/>
  <c r="R146" s="1"/>
  <c r="CZ146" s="1"/>
  <c r="Y146" s="1"/>
  <c r="CU146"/>
  <c r="T146" s="1"/>
  <c r="CW146"/>
  <c r="V146" s="1"/>
  <c r="FR146"/>
  <c r="GL146"/>
  <c r="GO146"/>
  <c r="GP146"/>
  <c r="GV146"/>
  <c r="GX146"/>
  <c r="HC146"/>
  <c r="C147"/>
  <c r="D147"/>
  <c r="I147"/>
  <c r="K147"/>
  <c r="AC147"/>
  <c r="AD147"/>
  <c r="CR147" s="1"/>
  <c r="Q147" s="1"/>
  <c r="AE147"/>
  <c r="AF147"/>
  <c r="CT147" s="1"/>
  <c r="S147" s="1"/>
  <c r="AG147"/>
  <c r="AH147"/>
  <c r="CV147" s="1"/>
  <c r="U147" s="1"/>
  <c r="AI147"/>
  <c r="AJ147"/>
  <c r="CX147" s="1"/>
  <c r="W147" s="1"/>
  <c r="CQ147"/>
  <c r="P147" s="1"/>
  <c r="CS147"/>
  <c r="R147" s="1"/>
  <c r="CU147"/>
  <c r="T147" s="1"/>
  <c r="CW147"/>
  <c r="V147" s="1"/>
  <c r="FR147"/>
  <c r="GL147"/>
  <c r="GO147"/>
  <c r="GP147"/>
  <c r="GV147"/>
  <c r="HC147"/>
  <c r="GX147" s="1"/>
  <c r="C148"/>
  <c r="D148"/>
  <c r="I148"/>
  <c r="CX76" i="3" s="1"/>
  <c r="K148" i="1"/>
  <c r="AC148"/>
  <c r="AD148"/>
  <c r="CR148" s="1"/>
  <c r="Q148" s="1"/>
  <c r="AE148"/>
  <c r="AF148"/>
  <c r="CT148" s="1"/>
  <c r="S148" s="1"/>
  <c r="AG148"/>
  <c r="AH148"/>
  <c r="CV148" s="1"/>
  <c r="U148" s="1"/>
  <c r="AI148"/>
  <c r="AJ148"/>
  <c r="CX148" s="1"/>
  <c r="W148" s="1"/>
  <c r="CQ148"/>
  <c r="P148" s="1"/>
  <c r="CS148"/>
  <c r="R148" s="1"/>
  <c r="CU148"/>
  <c r="T148" s="1"/>
  <c r="CW148"/>
  <c r="V148" s="1"/>
  <c r="FR148"/>
  <c r="GL148"/>
  <c r="GO148"/>
  <c r="GP148"/>
  <c r="GV148"/>
  <c r="HC148"/>
  <c r="GX148" s="1"/>
  <c r="C149"/>
  <c r="D149"/>
  <c r="I149"/>
  <c r="K149"/>
  <c r="AC149"/>
  <c r="AD149"/>
  <c r="CR149" s="1"/>
  <c r="Q149" s="1"/>
  <c r="AE149"/>
  <c r="AF149"/>
  <c r="CT149" s="1"/>
  <c r="S149" s="1"/>
  <c r="AG149"/>
  <c r="AH149"/>
  <c r="CV149" s="1"/>
  <c r="U149" s="1"/>
  <c r="AI149"/>
  <c r="AJ149"/>
  <c r="CX149" s="1"/>
  <c r="W149" s="1"/>
  <c r="CQ149"/>
  <c r="P149" s="1"/>
  <c r="CS149"/>
  <c r="R149" s="1"/>
  <c r="CU149"/>
  <c r="T149" s="1"/>
  <c r="CW149"/>
  <c r="V149" s="1"/>
  <c r="FR149"/>
  <c r="GL149"/>
  <c r="GO149"/>
  <c r="GP149"/>
  <c r="GV149"/>
  <c r="HC149"/>
  <c r="GX149" s="1"/>
  <c r="C150"/>
  <c r="D150"/>
  <c r="I150"/>
  <c r="K150"/>
  <c r="AC150"/>
  <c r="AD150"/>
  <c r="CR150" s="1"/>
  <c r="Q150" s="1"/>
  <c r="AE150"/>
  <c r="AF150"/>
  <c r="CT150" s="1"/>
  <c r="S150" s="1"/>
  <c r="AG150"/>
  <c r="AH150"/>
  <c r="CV150" s="1"/>
  <c r="U150" s="1"/>
  <c r="AI150"/>
  <c r="AJ150"/>
  <c r="CX150" s="1"/>
  <c r="W150" s="1"/>
  <c r="CQ150"/>
  <c r="P150" s="1"/>
  <c r="CS150"/>
  <c r="R150" s="1"/>
  <c r="CU150"/>
  <c r="T150" s="1"/>
  <c r="CW150"/>
  <c r="V150" s="1"/>
  <c r="FR150"/>
  <c r="GL150"/>
  <c r="GO150"/>
  <c r="GP150"/>
  <c r="GV150"/>
  <c r="HC150"/>
  <c r="GX150" s="1"/>
  <c r="I151"/>
  <c r="AC151"/>
  <c r="CQ151" s="1"/>
  <c r="P151" s="1"/>
  <c r="CP151" s="1"/>
  <c r="O151" s="1"/>
  <c r="AE151"/>
  <c r="AD151" s="1"/>
  <c r="CR151" s="1"/>
  <c r="Q151" s="1"/>
  <c r="AF151"/>
  <c r="AG151"/>
  <c r="CU151" s="1"/>
  <c r="T151" s="1"/>
  <c r="AH151"/>
  <c r="AI151"/>
  <c r="CW151" s="1"/>
  <c r="V151" s="1"/>
  <c r="AJ151"/>
  <c r="CT151"/>
  <c r="S151" s="1"/>
  <c r="CV151"/>
  <c r="U151" s="1"/>
  <c r="CX151"/>
  <c r="W151" s="1"/>
  <c r="FR151"/>
  <c r="GL151"/>
  <c r="GO151"/>
  <c r="GP151"/>
  <c r="GV151"/>
  <c r="GX151"/>
  <c r="HC151"/>
  <c r="AC152"/>
  <c r="CQ152" s="1"/>
  <c r="P152" s="1"/>
  <c r="AE152"/>
  <c r="AD152" s="1"/>
  <c r="CR152" s="1"/>
  <c r="Q152" s="1"/>
  <c r="AF152"/>
  <c r="AG152"/>
  <c r="CU152" s="1"/>
  <c r="T152" s="1"/>
  <c r="AH152"/>
  <c r="AI152"/>
  <c r="CW152" s="1"/>
  <c r="V152" s="1"/>
  <c r="AJ152"/>
  <c r="CT152"/>
  <c r="S152" s="1"/>
  <c r="CV152"/>
  <c r="U152" s="1"/>
  <c r="CX152"/>
  <c r="W152" s="1"/>
  <c r="FR152"/>
  <c r="GL152"/>
  <c r="GO152"/>
  <c r="GP152"/>
  <c r="GV152"/>
  <c r="GX152"/>
  <c r="HC152"/>
  <c r="C153"/>
  <c r="D153"/>
  <c r="I153"/>
  <c r="CX93" i="3" s="1"/>
  <c r="K153" i="1"/>
  <c r="AC153"/>
  <c r="CQ153" s="1"/>
  <c r="P153" s="1"/>
  <c r="CP153" s="1"/>
  <c r="O153" s="1"/>
  <c r="AE153"/>
  <c r="AD153" s="1"/>
  <c r="CR153" s="1"/>
  <c r="Q153" s="1"/>
  <c r="AF153"/>
  <c r="AG153"/>
  <c r="CU153" s="1"/>
  <c r="T153" s="1"/>
  <c r="AH153"/>
  <c r="AI153"/>
  <c r="CW153" s="1"/>
  <c r="V153" s="1"/>
  <c r="AJ153"/>
  <c r="CT153"/>
  <c r="S153" s="1"/>
  <c r="CV153"/>
  <c r="U153" s="1"/>
  <c r="CX153"/>
  <c r="W153" s="1"/>
  <c r="FR153"/>
  <c r="GL153"/>
  <c r="BZ155" s="1"/>
  <c r="GO153"/>
  <c r="GP153"/>
  <c r="CD155" s="1"/>
  <c r="GV153"/>
  <c r="GX153"/>
  <c r="HC153"/>
  <c r="B155"/>
  <c r="B143" s="1"/>
  <c r="C155"/>
  <c r="C143" s="1"/>
  <c r="D155"/>
  <c r="D143" s="1"/>
  <c r="F155"/>
  <c r="F143" s="1"/>
  <c r="G155"/>
  <c r="G143" s="1"/>
  <c r="BX155"/>
  <c r="BX143" s="1"/>
  <c r="BY155"/>
  <c r="BY143" s="1"/>
  <c r="CC155"/>
  <c r="CC143" s="1"/>
  <c r="CK155"/>
  <c r="CK143" s="1"/>
  <c r="CL155"/>
  <c r="CL143" s="1"/>
  <c r="CM155"/>
  <c r="CM143" s="1"/>
  <c r="D185"/>
  <c r="E187"/>
  <c r="Z187"/>
  <c r="AA187"/>
  <c r="AM187"/>
  <c r="AN187"/>
  <c r="BE187"/>
  <c r="BF187"/>
  <c r="BG187"/>
  <c r="BH187"/>
  <c r="BI187"/>
  <c r="BJ187"/>
  <c r="BK187"/>
  <c r="BL187"/>
  <c r="BM187"/>
  <c r="BN187"/>
  <c r="BO187"/>
  <c r="BP187"/>
  <c r="BQ187"/>
  <c r="BR187"/>
  <c r="BS187"/>
  <c r="BT187"/>
  <c r="BU187"/>
  <c r="BV187"/>
  <c r="BW187"/>
  <c r="CN187"/>
  <c r="CO187"/>
  <c r="CP187"/>
  <c r="CQ187"/>
  <c r="CR187"/>
  <c r="CS187"/>
  <c r="CT187"/>
  <c r="CU187"/>
  <c r="CV187"/>
  <c r="CW187"/>
  <c r="CX187"/>
  <c r="CY187"/>
  <c r="CZ187"/>
  <c r="DA187"/>
  <c r="DB187"/>
  <c r="DC187"/>
  <c r="DD187"/>
  <c r="DE187"/>
  <c r="DF187"/>
  <c r="DG187"/>
  <c r="DH187"/>
  <c r="DI187"/>
  <c r="DJ187"/>
  <c r="DK187"/>
  <c r="DL187"/>
  <c r="DM187"/>
  <c r="DN187"/>
  <c r="DO187"/>
  <c r="DP187"/>
  <c r="DQ187"/>
  <c r="DR187"/>
  <c r="DS187"/>
  <c r="DT187"/>
  <c r="DU187"/>
  <c r="DV187"/>
  <c r="DW187"/>
  <c r="DX187"/>
  <c r="DY187"/>
  <c r="DZ187"/>
  <c r="EA187"/>
  <c r="EB187"/>
  <c r="EC187"/>
  <c r="ED187"/>
  <c r="EE187"/>
  <c r="EF187"/>
  <c r="EG187"/>
  <c r="EH187"/>
  <c r="EI187"/>
  <c r="EJ187"/>
  <c r="EK187"/>
  <c r="EL187"/>
  <c r="EM187"/>
  <c r="EN187"/>
  <c r="EO187"/>
  <c r="EP187"/>
  <c r="EQ187"/>
  <c r="ER187"/>
  <c r="ES187"/>
  <c r="ET187"/>
  <c r="EU187"/>
  <c r="EV187"/>
  <c r="EW187"/>
  <c r="EX187"/>
  <c r="EY187"/>
  <c r="EZ187"/>
  <c r="FA187"/>
  <c r="FB187"/>
  <c r="FC187"/>
  <c r="FD187"/>
  <c r="FE187"/>
  <c r="FF187"/>
  <c r="FG187"/>
  <c r="FH187"/>
  <c r="FI187"/>
  <c r="FJ187"/>
  <c r="FK187"/>
  <c r="FL187"/>
  <c r="FM187"/>
  <c r="FN187"/>
  <c r="FO187"/>
  <c r="FP187"/>
  <c r="FQ187"/>
  <c r="FR187"/>
  <c r="FS187"/>
  <c r="FT187"/>
  <c r="FU187"/>
  <c r="FV187"/>
  <c r="FW187"/>
  <c r="FX187"/>
  <c r="FY187"/>
  <c r="FZ187"/>
  <c r="GA187"/>
  <c r="GB187"/>
  <c r="GC187"/>
  <c r="GD187"/>
  <c r="GE187"/>
  <c r="GF187"/>
  <c r="GG187"/>
  <c r="GH187"/>
  <c r="GI187"/>
  <c r="GJ187"/>
  <c r="GK187"/>
  <c r="GL187"/>
  <c r="GM187"/>
  <c r="GN187"/>
  <c r="GO187"/>
  <c r="GP187"/>
  <c r="GQ187"/>
  <c r="GR187"/>
  <c r="GS187"/>
  <c r="GT187"/>
  <c r="GU187"/>
  <c r="GV187"/>
  <c r="GW187"/>
  <c r="GX187"/>
  <c r="C189"/>
  <c r="D189"/>
  <c r="I189"/>
  <c r="K189"/>
  <c r="AC189"/>
  <c r="AD189"/>
  <c r="CR189" s="1"/>
  <c r="Q189" s="1"/>
  <c r="AE189"/>
  <c r="AF189"/>
  <c r="CT189" s="1"/>
  <c r="S189" s="1"/>
  <c r="AG189"/>
  <c r="AH189"/>
  <c r="CV189" s="1"/>
  <c r="U189" s="1"/>
  <c r="AI189"/>
  <c r="AJ189"/>
  <c r="CX189" s="1"/>
  <c r="W189" s="1"/>
  <c r="CQ189"/>
  <c r="P189" s="1"/>
  <c r="CS189"/>
  <c r="R189" s="1"/>
  <c r="CU189"/>
  <c r="T189" s="1"/>
  <c r="CW189"/>
  <c r="V189" s="1"/>
  <c r="FR189"/>
  <c r="GL189"/>
  <c r="GO189"/>
  <c r="GP189"/>
  <c r="GV189"/>
  <c r="HC189"/>
  <c r="GX189" s="1"/>
  <c r="AC190"/>
  <c r="AD190"/>
  <c r="CR190" s="1"/>
  <c r="Q190" s="1"/>
  <c r="AE190"/>
  <c r="AF190"/>
  <c r="CT190" s="1"/>
  <c r="S190" s="1"/>
  <c r="AG190"/>
  <c r="AH190"/>
  <c r="CV190" s="1"/>
  <c r="U190" s="1"/>
  <c r="AI190"/>
  <c r="AJ190"/>
  <c r="CX190" s="1"/>
  <c r="W190" s="1"/>
  <c r="CQ190"/>
  <c r="P190" s="1"/>
  <c r="CS190"/>
  <c r="R190" s="1"/>
  <c r="CU190"/>
  <c r="T190" s="1"/>
  <c r="CW190"/>
  <c r="V190" s="1"/>
  <c r="FR190"/>
  <c r="GL190"/>
  <c r="GO190"/>
  <c r="GP190"/>
  <c r="GV190"/>
  <c r="HC190"/>
  <c r="GX190" s="1"/>
  <c r="AC191"/>
  <c r="AB191" s="1"/>
  <c r="AD191"/>
  <c r="AE191"/>
  <c r="CS191" s="1"/>
  <c r="R191" s="1"/>
  <c r="AF191"/>
  <c r="AG191"/>
  <c r="CU191" s="1"/>
  <c r="T191" s="1"/>
  <c r="AH191"/>
  <c r="AI191"/>
  <c r="CW191" s="1"/>
  <c r="V191" s="1"/>
  <c r="AJ191"/>
  <c r="CR191"/>
  <c r="Q191" s="1"/>
  <c r="CT191"/>
  <c r="S191" s="1"/>
  <c r="CV191"/>
  <c r="U191" s="1"/>
  <c r="CX191"/>
  <c r="W191" s="1"/>
  <c r="FR191"/>
  <c r="GL191"/>
  <c r="GO191"/>
  <c r="GP191"/>
  <c r="GV191"/>
  <c r="HC191" s="1"/>
  <c r="GX191" s="1"/>
  <c r="B193"/>
  <c r="B187" s="1"/>
  <c r="C193"/>
  <c r="C187" s="1"/>
  <c r="D193"/>
  <c r="D187" s="1"/>
  <c r="F193"/>
  <c r="F187" s="1"/>
  <c r="G193"/>
  <c r="G187" s="1"/>
  <c r="BX193"/>
  <c r="CG193" s="1"/>
  <c r="BY193"/>
  <c r="CI193" s="1"/>
  <c r="BZ193"/>
  <c r="BZ187" s="1"/>
  <c r="CC193"/>
  <c r="CC187" s="1"/>
  <c r="CD193"/>
  <c r="CD187" s="1"/>
  <c r="CK193"/>
  <c r="CK187" s="1"/>
  <c r="CL193"/>
  <c r="CL187" s="1"/>
  <c r="B223"/>
  <c r="B22" s="1"/>
  <c r="C223"/>
  <c r="C22" s="1"/>
  <c r="D223"/>
  <c r="D22" s="1"/>
  <c r="F223"/>
  <c r="F22" s="1"/>
  <c r="G223"/>
  <c r="G22" s="1"/>
  <c r="B253"/>
  <c r="B18" s="1"/>
  <c r="C253"/>
  <c r="C18" s="1"/>
  <c r="D253"/>
  <c r="D18" s="1"/>
  <c r="F253"/>
  <c r="F18" s="1"/>
  <c r="G253"/>
  <c r="G18" s="1"/>
  <c r="J82" i="5" l="1"/>
  <c r="P82" s="1"/>
  <c r="L155"/>
  <c r="G233"/>
  <c r="O233" s="1"/>
  <c r="G241" s="1"/>
  <c r="L241"/>
  <c r="G30"/>
  <c r="R59"/>
  <c r="X144"/>
  <c r="G28" s="1"/>
  <c r="G144"/>
  <c r="O144" s="1"/>
  <c r="R200"/>
  <c r="G75"/>
  <c r="O75" s="1"/>
  <c r="G82"/>
  <c r="O82" s="1"/>
  <c r="K63"/>
  <c r="G180"/>
  <c r="O180" s="1"/>
  <c r="J144"/>
  <c r="P144" s="1"/>
  <c r="J187"/>
  <c r="P187" s="1"/>
  <c r="G56"/>
  <c r="O56" s="1"/>
  <c r="J66"/>
  <c r="P66" s="1"/>
  <c r="G112"/>
  <c r="O112" s="1"/>
  <c r="G122"/>
  <c r="O122" s="1"/>
  <c r="G132"/>
  <c r="O132" s="1"/>
  <c r="J132"/>
  <c r="P132" s="1"/>
  <c r="J153"/>
  <c r="P153" s="1"/>
  <c r="G153"/>
  <c r="O153" s="1"/>
  <c r="G197"/>
  <c r="O197" s="1"/>
  <c r="J208"/>
  <c r="P208" s="1"/>
  <c r="G217"/>
  <c r="O217" s="1"/>
  <c r="G187"/>
  <c r="O187" s="1"/>
  <c r="W187"/>
  <c r="J56"/>
  <c r="P56" s="1"/>
  <c r="J75"/>
  <c r="P75" s="1"/>
  <c r="G170"/>
  <c r="O170" s="1"/>
  <c r="L219"/>
  <c r="J197"/>
  <c r="P197" s="1"/>
  <c r="J217"/>
  <c r="P217" s="1"/>
  <c r="J233"/>
  <c r="P233" s="1"/>
  <c r="J241" s="1"/>
  <c r="G102"/>
  <c r="O102" s="1"/>
  <c r="J180"/>
  <c r="P180" s="1"/>
  <c r="R69"/>
  <c r="W82"/>
  <c r="R162"/>
  <c r="W208"/>
  <c r="R49"/>
  <c r="W66"/>
  <c r="W153"/>
  <c r="W197"/>
  <c r="L245"/>
  <c r="L249"/>
  <c r="W102"/>
  <c r="W112"/>
  <c r="W122"/>
  <c r="R125"/>
  <c r="W132"/>
  <c r="R173"/>
  <c r="W180"/>
  <c r="R226"/>
  <c r="W233"/>
  <c r="W239"/>
  <c r="W56"/>
  <c r="W75"/>
  <c r="L84"/>
  <c r="W170"/>
  <c r="W217"/>
  <c r="CZ150" i="1"/>
  <c r="Y150" s="1"/>
  <c r="CY150"/>
  <c r="X150" s="1"/>
  <c r="CZ148"/>
  <c r="Y148" s="1"/>
  <c r="CY148"/>
  <c r="X148" s="1"/>
  <c r="CP190"/>
  <c r="O190" s="1"/>
  <c r="AG193"/>
  <c r="CJ155"/>
  <c r="AD155"/>
  <c r="AH155"/>
  <c r="CZ191"/>
  <c r="Y191" s="1"/>
  <c r="CY191"/>
  <c r="X191" s="1"/>
  <c r="CG187"/>
  <c r="AX193"/>
  <c r="CI187"/>
  <c r="AZ193"/>
  <c r="CZ189"/>
  <c r="Y189" s="1"/>
  <c r="AF193"/>
  <c r="CY189"/>
  <c r="X189" s="1"/>
  <c r="BZ143"/>
  <c r="AQ155"/>
  <c r="CG155"/>
  <c r="AI193"/>
  <c r="AJ193"/>
  <c r="CP152"/>
  <c r="O152" s="1"/>
  <c r="CP150"/>
  <c r="O150" s="1"/>
  <c r="CP148"/>
  <c r="O148" s="1"/>
  <c r="CP189"/>
  <c r="O189" s="1"/>
  <c r="CZ149"/>
  <c r="Y149" s="1"/>
  <c r="CY149"/>
  <c r="X149" s="1"/>
  <c r="CZ147"/>
  <c r="Y147" s="1"/>
  <c r="CY147"/>
  <c r="X147" s="1"/>
  <c r="AF155"/>
  <c r="AJ155"/>
  <c r="AG155"/>
  <c r="CY146"/>
  <c r="X146" s="1"/>
  <c r="CZ190"/>
  <c r="Y190" s="1"/>
  <c r="CY190"/>
  <c r="X190" s="1"/>
  <c r="CD143"/>
  <c r="AU155"/>
  <c r="AC155"/>
  <c r="CP147"/>
  <c r="O147" s="1"/>
  <c r="CJ193"/>
  <c r="AE193"/>
  <c r="AH193"/>
  <c r="AD193"/>
  <c r="CP149"/>
  <c r="O149" s="1"/>
  <c r="AI155"/>
  <c r="CX69" i="3"/>
  <c r="CX73"/>
  <c r="CX70"/>
  <c r="CX74"/>
  <c r="CX71"/>
  <c r="CX75"/>
  <c r="CX72"/>
  <c r="CZ109" i="1"/>
  <c r="Y109" s="1"/>
  <c r="CY109"/>
  <c r="X109" s="1"/>
  <c r="CZ107"/>
  <c r="Y107" s="1"/>
  <c r="CY107"/>
  <c r="X107" s="1"/>
  <c r="CZ105"/>
  <c r="Y105" s="1"/>
  <c r="CY105"/>
  <c r="X105" s="1"/>
  <c r="CZ103"/>
  <c r="Y103" s="1"/>
  <c r="CY103"/>
  <c r="X103" s="1"/>
  <c r="AF111"/>
  <c r="CI30"/>
  <c r="AZ39"/>
  <c r="CZ36"/>
  <c r="Y36" s="1"/>
  <c r="CY36"/>
  <c r="X36" s="1"/>
  <c r="AO193"/>
  <c r="BX187"/>
  <c r="CI155"/>
  <c r="BD155"/>
  <c r="AB150"/>
  <c r="AB149"/>
  <c r="AB148"/>
  <c r="AB147"/>
  <c r="AB146"/>
  <c r="AI111"/>
  <c r="AJ111"/>
  <c r="AJ39"/>
  <c r="AE39"/>
  <c r="AH39"/>
  <c r="CX97" i="3"/>
  <c r="CX94"/>
  <c r="CX98"/>
  <c r="CX95"/>
  <c r="CX99"/>
  <c r="CX96"/>
  <c r="AC111" i="1"/>
  <c r="CP103"/>
  <c r="O103" s="1"/>
  <c r="CR37"/>
  <c r="Q37" s="1"/>
  <c r="AB37"/>
  <c r="CR35"/>
  <c r="Q35" s="1"/>
  <c r="AD39" s="1"/>
  <c r="AB35"/>
  <c r="CZ34"/>
  <c r="Y34" s="1"/>
  <c r="CY34"/>
  <c r="X34" s="1"/>
  <c r="CZ32"/>
  <c r="Y32" s="1"/>
  <c r="AF39"/>
  <c r="CY32"/>
  <c r="X32" s="1"/>
  <c r="BB193"/>
  <c r="AT193"/>
  <c r="AP193"/>
  <c r="CQ191"/>
  <c r="P191" s="1"/>
  <c r="CP191" s="1"/>
  <c r="O191" s="1"/>
  <c r="BY187"/>
  <c r="AO155"/>
  <c r="CS153"/>
  <c r="R153" s="1"/>
  <c r="CZ153" s="1"/>
  <c r="Y153" s="1"/>
  <c r="AB153"/>
  <c r="CS152"/>
  <c r="R152" s="1"/>
  <c r="CZ152" s="1"/>
  <c r="Y152" s="1"/>
  <c r="AB152"/>
  <c r="CS151"/>
  <c r="R151" s="1"/>
  <c r="CZ151" s="1"/>
  <c r="Y151" s="1"/>
  <c r="AB151"/>
  <c r="CP109"/>
  <c r="O109" s="1"/>
  <c r="CP107"/>
  <c r="O107" s="1"/>
  <c r="CP105"/>
  <c r="O105" s="1"/>
  <c r="CJ39"/>
  <c r="F127"/>
  <c r="BC101"/>
  <c r="AQ101"/>
  <c r="F121"/>
  <c r="CZ108"/>
  <c r="Y108" s="1"/>
  <c r="CY108"/>
  <c r="X108" s="1"/>
  <c r="CZ106"/>
  <c r="Y106" s="1"/>
  <c r="CY106"/>
  <c r="X106" s="1"/>
  <c r="CZ104"/>
  <c r="Y104" s="1"/>
  <c r="CY104"/>
  <c r="X104" s="1"/>
  <c r="CZ37"/>
  <c r="Y37" s="1"/>
  <c r="CY37"/>
  <c r="X37" s="1"/>
  <c r="CZ35"/>
  <c r="Y35" s="1"/>
  <c r="CY35"/>
  <c r="X35" s="1"/>
  <c r="BC193"/>
  <c r="AU193"/>
  <c r="AQ193"/>
  <c r="AB190"/>
  <c r="AB189"/>
  <c r="BB155"/>
  <c r="AT155"/>
  <c r="AP155"/>
  <c r="CP146"/>
  <c r="O146" s="1"/>
  <c r="CJ111"/>
  <c r="AE111"/>
  <c r="AH111"/>
  <c r="AD111"/>
  <c r="AG39"/>
  <c r="CX85" i="3"/>
  <c r="CX89"/>
  <c r="CX86"/>
  <c r="CX90"/>
  <c r="CX87"/>
  <c r="CX91"/>
  <c r="CX88"/>
  <c r="CX92"/>
  <c r="CX77"/>
  <c r="CX81"/>
  <c r="CX78"/>
  <c r="CX82"/>
  <c r="CX79"/>
  <c r="CX83"/>
  <c r="CX80"/>
  <c r="CX84"/>
  <c r="F136" i="1"/>
  <c r="BD101"/>
  <c r="AU101"/>
  <c r="F130"/>
  <c r="CR36"/>
  <c r="Q36" s="1"/>
  <c r="CP36" s="1"/>
  <c r="O36" s="1"/>
  <c r="AB36"/>
  <c r="CZ33"/>
  <c r="Y33" s="1"/>
  <c r="CY33"/>
  <c r="X33" s="1"/>
  <c r="CP32"/>
  <c r="O32" s="1"/>
  <c r="BC155"/>
  <c r="CP108"/>
  <c r="O108" s="1"/>
  <c r="CP106"/>
  <c r="O106" s="1"/>
  <c r="CP104"/>
  <c r="O104" s="1"/>
  <c r="AG111"/>
  <c r="CP37"/>
  <c r="O37" s="1"/>
  <c r="CP35"/>
  <c r="O35" s="1"/>
  <c r="AB33"/>
  <c r="AI39"/>
  <c r="AO111"/>
  <c r="AB109"/>
  <c r="AB108"/>
  <c r="AB107"/>
  <c r="AB106"/>
  <c r="AB105"/>
  <c r="AB104"/>
  <c r="CL101"/>
  <c r="CD101"/>
  <c r="BZ101"/>
  <c r="AO39"/>
  <c r="CX68" i="3"/>
  <c r="CX64"/>
  <c r="CX60"/>
  <c r="CX56"/>
  <c r="CX52"/>
  <c r="CX48"/>
  <c r="CX44"/>
  <c r="CX40"/>
  <c r="CX36"/>
  <c r="CX32"/>
  <c r="CX28"/>
  <c r="CX24"/>
  <c r="CX20"/>
  <c r="CX16"/>
  <c r="CX12"/>
  <c r="CX8"/>
  <c r="CX4"/>
  <c r="CS145" i="1"/>
  <c r="R145" s="1"/>
  <c r="AE155" s="1"/>
  <c r="AB145"/>
  <c r="BB111"/>
  <c r="AX111"/>
  <c r="AP111"/>
  <c r="CM101"/>
  <c r="BB39"/>
  <c r="AX39"/>
  <c r="AT39"/>
  <c r="AP39"/>
  <c r="CQ34"/>
  <c r="P34" s="1"/>
  <c r="CP34" s="1"/>
  <c r="O34" s="1"/>
  <c r="CQ33"/>
  <c r="P33" s="1"/>
  <c r="CP33" s="1"/>
  <c r="O33" s="1"/>
  <c r="BY30"/>
  <c r="CX67" i="3"/>
  <c r="CX63"/>
  <c r="CX59"/>
  <c r="CX55"/>
  <c r="CX51"/>
  <c r="CX47"/>
  <c r="CX43"/>
  <c r="CX39"/>
  <c r="CX35"/>
  <c r="CX31"/>
  <c r="CX27"/>
  <c r="CX23"/>
  <c r="CX19"/>
  <c r="CX15"/>
  <c r="CX11"/>
  <c r="CX7"/>
  <c r="CX3"/>
  <c r="BC39" i="1"/>
  <c r="AU39"/>
  <c r="AQ39"/>
  <c r="CX66" i="3"/>
  <c r="CX62"/>
  <c r="CX58"/>
  <c r="CX54"/>
  <c r="CX50"/>
  <c r="CX46"/>
  <c r="CX42"/>
  <c r="CX38"/>
  <c r="CX34"/>
  <c r="CX30"/>
  <c r="CX26"/>
  <c r="CX22"/>
  <c r="CX18"/>
  <c r="CX14"/>
  <c r="CX6"/>
  <c r="CX2"/>
  <c r="CI111" i="1"/>
  <c r="BD39"/>
  <c r="CX57" i="3"/>
  <c r="CX53"/>
  <c r="CX41"/>
  <c r="CX37"/>
  <c r="CX29"/>
  <c r="CX25"/>
  <c r="CX9"/>
  <c r="G27" i="5" l="1"/>
  <c r="J219"/>
  <c r="J155"/>
  <c r="G249"/>
  <c r="G245"/>
  <c r="G88"/>
  <c r="G84"/>
  <c r="G26"/>
  <c r="G32"/>
  <c r="G219"/>
  <c r="J249"/>
  <c r="J245"/>
  <c r="J88"/>
  <c r="J84"/>
  <c r="G155"/>
  <c r="GN36" i="1"/>
  <c r="GM36"/>
  <c r="AD30"/>
  <c r="Q39"/>
  <c r="BC30"/>
  <c r="F55"/>
  <c r="BC69"/>
  <c r="GN34"/>
  <c r="GM34"/>
  <c r="F52"/>
  <c r="BB30"/>
  <c r="BB69"/>
  <c r="F124"/>
  <c r="BB101"/>
  <c r="AO69"/>
  <c r="F43"/>
  <c r="AO30"/>
  <c r="GN104"/>
  <c r="GM104"/>
  <c r="T39"/>
  <c r="AG30"/>
  <c r="CJ101"/>
  <c r="BA111"/>
  <c r="BB143"/>
  <c r="F168"/>
  <c r="AU187"/>
  <c r="F212"/>
  <c r="CJ30"/>
  <c r="BA39"/>
  <c r="GN109"/>
  <c r="GM109"/>
  <c r="F206"/>
  <c r="BB187"/>
  <c r="AE30"/>
  <c r="R39"/>
  <c r="F197"/>
  <c r="AO187"/>
  <c r="GN149"/>
  <c r="GM149"/>
  <c r="CJ187"/>
  <c r="BA193"/>
  <c r="AF143"/>
  <c r="S155"/>
  <c r="GN189"/>
  <c r="AB193"/>
  <c r="GM189"/>
  <c r="W193"/>
  <c r="AJ187"/>
  <c r="CG143"/>
  <c r="AX155"/>
  <c r="S193"/>
  <c r="AF187"/>
  <c r="AX187"/>
  <c r="F200"/>
  <c r="AH143"/>
  <c r="U155"/>
  <c r="GN190"/>
  <c r="GM190"/>
  <c r="HD190" s="1"/>
  <c r="AC39"/>
  <c r="CY151"/>
  <c r="X151" s="1"/>
  <c r="CY152"/>
  <c r="X152" s="1"/>
  <c r="AZ111"/>
  <c r="CI101"/>
  <c r="F64"/>
  <c r="BD69"/>
  <c r="BD30"/>
  <c r="AU30"/>
  <c r="F58"/>
  <c r="AU69"/>
  <c r="GN33"/>
  <c r="GM33"/>
  <c r="AX30"/>
  <c r="F46"/>
  <c r="AX69"/>
  <c r="F118"/>
  <c r="AX101"/>
  <c r="AI30"/>
  <c r="V39"/>
  <c r="AG101"/>
  <c r="T111"/>
  <c r="BC143"/>
  <c r="F171"/>
  <c r="AE101"/>
  <c r="R111"/>
  <c r="AT143"/>
  <c r="F173"/>
  <c r="AQ187"/>
  <c r="F203"/>
  <c r="GN107"/>
  <c r="GM107"/>
  <c r="AO143"/>
  <c r="F159"/>
  <c r="AT187"/>
  <c r="F211"/>
  <c r="AC101"/>
  <c r="P111"/>
  <c r="CE111"/>
  <c r="CH111"/>
  <c r="CF111"/>
  <c r="AH30"/>
  <c r="U39"/>
  <c r="AI101"/>
  <c r="V111"/>
  <c r="AZ69"/>
  <c r="F50"/>
  <c r="AZ30"/>
  <c r="AI143"/>
  <c r="V155"/>
  <c r="AE187"/>
  <c r="R193"/>
  <c r="AJ143"/>
  <c r="W155"/>
  <c r="GM152"/>
  <c r="GN152"/>
  <c r="T193"/>
  <c r="AG187"/>
  <c r="CY145"/>
  <c r="X145" s="1"/>
  <c r="AL39"/>
  <c r="AL111"/>
  <c r="AC193"/>
  <c r="CY153"/>
  <c r="X153" s="1"/>
  <c r="AK193"/>
  <c r="AQ30"/>
  <c r="AQ69"/>
  <c r="F49"/>
  <c r="AT30"/>
  <c r="F57"/>
  <c r="AT69"/>
  <c r="F120"/>
  <c r="AP101"/>
  <c r="AE143"/>
  <c r="R155"/>
  <c r="AO101"/>
  <c r="F115"/>
  <c r="GN37"/>
  <c r="GM37"/>
  <c r="GM108"/>
  <c r="GO108"/>
  <c r="CC111" s="1"/>
  <c r="AH101"/>
  <c r="U111"/>
  <c r="AP143"/>
  <c r="F164"/>
  <c r="GN105"/>
  <c r="GM105"/>
  <c r="F202"/>
  <c r="AP187"/>
  <c r="S39"/>
  <c r="AF30"/>
  <c r="GN103"/>
  <c r="GM103"/>
  <c r="CA111" s="1"/>
  <c r="AB111"/>
  <c r="AJ101"/>
  <c r="W111"/>
  <c r="CI143"/>
  <c r="AZ155"/>
  <c r="AH187"/>
  <c r="U193"/>
  <c r="AC143"/>
  <c r="CH155"/>
  <c r="CF155"/>
  <c r="P155"/>
  <c r="CE155"/>
  <c r="AG143"/>
  <c r="T155"/>
  <c r="GN150"/>
  <c r="GM150"/>
  <c r="F204"/>
  <c r="AZ187"/>
  <c r="CJ143"/>
  <c r="BA155"/>
  <c r="CZ145"/>
  <c r="Y145" s="1"/>
  <c r="AL155" s="1"/>
  <c r="AK111"/>
  <c r="F48"/>
  <c r="AP30"/>
  <c r="AP69"/>
  <c r="GN35"/>
  <c r="GM35"/>
  <c r="GN106"/>
  <c r="GM106"/>
  <c r="GN32"/>
  <c r="CB39" s="1"/>
  <c r="AB39"/>
  <c r="GM32"/>
  <c r="CA39" s="1"/>
  <c r="AD101"/>
  <c r="Q111"/>
  <c r="GM146"/>
  <c r="AB155"/>
  <c r="GN146"/>
  <c r="BC187"/>
  <c r="F209"/>
  <c r="GN191"/>
  <c r="GM191"/>
  <c r="HD191" s="1"/>
  <c r="W39"/>
  <c r="AJ30"/>
  <c r="BD143"/>
  <c r="F180"/>
  <c r="AF101"/>
  <c r="S111"/>
  <c r="AD187"/>
  <c r="Q193"/>
  <c r="GN147"/>
  <c r="GM147"/>
  <c r="AU143"/>
  <c r="F174"/>
  <c r="GN148"/>
  <c r="GM148"/>
  <c r="AI187"/>
  <c r="V193"/>
  <c r="AQ143"/>
  <c r="F165"/>
  <c r="AD143"/>
  <c r="Q155"/>
  <c r="AK39"/>
  <c r="AL193"/>
  <c r="AL187" l="1"/>
  <c r="Y193"/>
  <c r="S101"/>
  <c r="F126"/>
  <c r="O39"/>
  <c r="AB30"/>
  <c r="P143"/>
  <c r="F158"/>
  <c r="U187"/>
  <c r="F215"/>
  <c r="F135"/>
  <c r="W101"/>
  <c r="GN153"/>
  <c r="GM153"/>
  <c r="AK155"/>
  <c r="GN145"/>
  <c r="GM145"/>
  <c r="U69"/>
  <c r="U30"/>
  <c r="F61"/>
  <c r="AV111"/>
  <c r="CE101"/>
  <c r="AU26"/>
  <c r="F88"/>
  <c r="AU223"/>
  <c r="F94"/>
  <c r="BD26"/>
  <c r="O193"/>
  <c r="AB187"/>
  <c r="F213"/>
  <c r="BA187"/>
  <c r="BA69"/>
  <c r="F59"/>
  <c r="BA30"/>
  <c r="CB111"/>
  <c r="AB143"/>
  <c r="O155"/>
  <c r="BA143"/>
  <c r="F175"/>
  <c r="CE143"/>
  <c r="AV155"/>
  <c r="AR111"/>
  <c r="CA101"/>
  <c r="CC101"/>
  <c r="AT111"/>
  <c r="X193"/>
  <c r="AK187"/>
  <c r="AL30"/>
  <c r="Y39"/>
  <c r="R187"/>
  <c r="F207"/>
  <c r="AY111"/>
  <c r="CH101"/>
  <c r="V69"/>
  <c r="V30"/>
  <c r="F62"/>
  <c r="AX26"/>
  <c r="F76"/>
  <c r="AX223"/>
  <c r="AZ101"/>
  <c r="F122"/>
  <c r="AX143"/>
  <c r="F162"/>
  <c r="CM193"/>
  <c r="CA193"/>
  <c r="CA30"/>
  <c r="AR39"/>
  <c r="Q143"/>
  <c r="F167"/>
  <c r="V187"/>
  <c r="F216"/>
  <c r="F205"/>
  <c r="Q187"/>
  <c r="AP26"/>
  <c r="F78"/>
  <c r="AP223"/>
  <c r="AL143"/>
  <c r="Y155"/>
  <c r="CH143"/>
  <c r="AY155"/>
  <c r="AZ143"/>
  <c r="F166"/>
  <c r="AB101"/>
  <c r="O111"/>
  <c r="S30"/>
  <c r="F54"/>
  <c r="S69"/>
  <c r="AL101"/>
  <c r="Y111"/>
  <c r="F214"/>
  <c r="T187"/>
  <c r="F134"/>
  <c r="V101"/>
  <c r="CF101"/>
  <c r="AW111"/>
  <c r="P39"/>
  <c r="CE39"/>
  <c r="CH39"/>
  <c r="AC30"/>
  <c r="CF39"/>
  <c r="S187"/>
  <c r="F208"/>
  <c r="W187"/>
  <c r="F217"/>
  <c r="S143"/>
  <c r="F170"/>
  <c r="R69"/>
  <c r="R30"/>
  <c r="F53"/>
  <c r="BA101"/>
  <c r="F131"/>
  <c r="AO26"/>
  <c r="F73"/>
  <c r="AO223"/>
  <c r="F85"/>
  <c r="BC26"/>
  <c r="BC223"/>
  <c r="X39"/>
  <c r="AK30"/>
  <c r="W30"/>
  <c r="F63"/>
  <c r="W69"/>
  <c r="Q101"/>
  <c r="F123"/>
  <c r="CB30"/>
  <c r="AS39"/>
  <c r="AK101"/>
  <c r="X111"/>
  <c r="T143"/>
  <c r="F176"/>
  <c r="CF143"/>
  <c r="AW155"/>
  <c r="U101"/>
  <c r="F133"/>
  <c r="R143"/>
  <c r="F169"/>
  <c r="AT26"/>
  <c r="F87"/>
  <c r="AT223"/>
  <c r="F79"/>
  <c r="AQ26"/>
  <c r="AQ223"/>
  <c r="P193"/>
  <c r="CE193"/>
  <c r="CH193"/>
  <c r="AC187"/>
  <c r="CF193"/>
  <c r="W143"/>
  <c r="F179"/>
  <c r="V143"/>
  <c r="F178"/>
  <c r="AZ26"/>
  <c r="F80"/>
  <c r="AZ223"/>
  <c r="P101"/>
  <c r="F114"/>
  <c r="R101"/>
  <c r="F125"/>
  <c r="F132"/>
  <c r="T101"/>
  <c r="GN151"/>
  <c r="GM151"/>
  <c r="U143"/>
  <c r="F177"/>
  <c r="F60"/>
  <c r="T69"/>
  <c r="T30"/>
  <c r="BB26"/>
  <c r="F82"/>
  <c r="BB223"/>
  <c r="F51"/>
  <c r="Q69"/>
  <c r="Q30"/>
  <c r="CB193"/>
  <c r="Q26" l="1"/>
  <c r="F81"/>
  <c r="Q223"/>
  <c r="X101"/>
  <c r="F137"/>
  <c r="CF30"/>
  <c r="AW39"/>
  <c r="F42"/>
  <c r="P69"/>
  <c r="P30"/>
  <c r="O101"/>
  <c r="F113"/>
  <c r="AY143"/>
  <c r="F163"/>
  <c r="AP22"/>
  <c r="AP253"/>
  <c r="F232"/>
  <c r="G16" i="2" s="1"/>
  <c r="G18" s="1"/>
  <c r="CM187" i="1"/>
  <c r="BD193"/>
  <c r="F119"/>
  <c r="AY101"/>
  <c r="BA26"/>
  <c r="F89"/>
  <c r="BA223"/>
  <c r="O187"/>
  <c r="F195"/>
  <c r="AU22"/>
  <c r="F242"/>
  <c r="AU253"/>
  <c r="F116"/>
  <c r="AV101"/>
  <c r="O30"/>
  <c r="F41"/>
  <c r="O69"/>
  <c r="CA155"/>
  <c r="CE187"/>
  <c r="AV193"/>
  <c r="AW143"/>
  <c r="F161"/>
  <c r="CH187"/>
  <c r="AY193"/>
  <c r="BC22"/>
  <c r="F239"/>
  <c r="BC253"/>
  <c r="CE30"/>
  <c r="AV39"/>
  <c r="Y101"/>
  <c r="F138"/>
  <c r="CA187"/>
  <c r="AR193"/>
  <c r="Y69"/>
  <c r="Y30"/>
  <c r="F66"/>
  <c r="AT101"/>
  <c r="F129"/>
  <c r="AV143"/>
  <c r="F160"/>
  <c r="O143"/>
  <c r="F157"/>
  <c r="F91"/>
  <c r="U26"/>
  <c r="U223"/>
  <c r="Y187"/>
  <c r="F220"/>
  <c r="CB187"/>
  <c r="AS193"/>
  <c r="F90"/>
  <c r="T26"/>
  <c r="T223"/>
  <c r="AZ22"/>
  <c r="AZ253"/>
  <c r="F234"/>
  <c r="AQ22"/>
  <c r="F233"/>
  <c r="AQ253"/>
  <c r="F56"/>
  <c r="AS69"/>
  <c r="AS30"/>
  <c r="F93"/>
  <c r="W26"/>
  <c r="W223"/>
  <c r="X69"/>
  <c r="X30"/>
  <c r="F65"/>
  <c r="AO22"/>
  <c r="AO253"/>
  <c r="F227"/>
  <c r="CH30"/>
  <c r="AY39"/>
  <c r="Y143"/>
  <c r="F182"/>
  <c r="V26"/>
  <c r="F92"/>
  <c r="V223"/>
  <c r="X187"/>
  <c r="F219"/>
  <c r="AR101"/>
  <c r="F139"/>
  <c r="AK143"/>
  <c r="X155"/>
  <c r="BB22"/>
  <c r="BB253"/>
  <c r="F236"/>
  <c r="CF187"/>
  <c r="AW193"/>
  <c r="F196"/>
  <c r="P187"/>
  <c r="AT22"/>
  <c r="F241"/>
  <c r="F16" i="2" s="1"/>
  <c r="F18" s="1"/>
  <c r="AT253" i="1"/>
  <c r="R26"/>
  <c r="F83"/>
  <c r="R223"/>
  <c r="AW101"/>
  <c r="F117"/>
  <c r="S26"/>
  <c r="F84"/>
  <c r="S223"/>
  <c r="F67"/>
  <c r="AR69"/>
  <c r="AR30"/>
  <c r="AX22"/>
  <c r="AX253"/>
  <c r="F230"/>
  <c r="CB101"/>
  <c r="AS111"/>
  <c r="CB155"/>
  <c r="AW187" l="1"/>
  <c r="F199"/>
  <c r="AY30"/>
  <c r="F47"/>
  <c r="AY69"/>
  <c r="W22"/>
  <c r="W253"/>
  <c r="F247"/>
  <c r="AS26"/>
  <c r="F86"/>
  <c r="T22"/>
  <c r="F244"/>
  <c r="T253"/>
  <c r="AY187"/>
  <c r="F201"/>
  <c r="F198"/>
  <c r="AV187"/>
  <c r="AU18"/>
  <c r="F272"/>
  <c r="P26"/>
  <c r="F72"/>
  <c r="P223"/>
  <c r="R22"/>
  <c r="F237"/>
  <c r="R253"/>
  <c r="AS101"/>
  <c r="F128"/>
  <c r="S22"/>
  <c r="S253"/>
  <c r="F238"/>
  <c r="J16" i="2" s="1"/>
  <c r="J18" s="1"/>
  <c r="AT18" i="1"/>
  <c r="F271"/>
  <c r="I28" i="5" s="1"/>
  <c r="BB18" i="1"/>
  <c r="F266"/>
  <c r="V22"/>
  <c r="V253"/>
  <c r="F246"/>
  <c r="AO18"/>
  <c r="F257"/>
  <c r="F95"/>
  <c r="X26"/>
  <c r="X223"/>
  <c r="F210"/>
  <c r="AS187"/>
  <c r="U22"/>
  <c r="F245"/>
  <c r="U253"/>
  <c r="F221"/>
  <c r="AR187"/>
  <c r="F44"/>
  <c r="AV69"/>
  <c r="AV30"/>
  <c r="F71"/>
  <c r="O26"/>
  <c r="O223"/>
  <c r="AX18"/>
  <c r="F260"/>
  <c r="AQ18"/>
  <c r="F263"/>
  <c r="AZ18"/>
  <c r="F264"/>
  <c r="Y26"/>
  <c r="F96"/>
  <c r="Y223"/>
  <c r="CA143"/>
  <c r="AR155"/>
  <c r="F218"/>
  <c r="BD187"/>
  <c r="BD223"/>
  <c r="AW69"/>
  <c r="AW30"/>
  <c r="F45"/>
  <c r="Q22"/>
  <c r="F235"/>
  <c r="Q253"/>
  <c r="CB143"/>
  <c r="AS155"/>
  <c r="AR26"/>
  <c r="F97"/>
  <c r="AR223"/>
  <c r="X143"/>
  <c r="F181"/>
  <c r="BC18"/>
  <c r="F269"/>
  <c r="BA22"/>
  <c r="BA253"/>
  <c r="F243"/>
  <c r="H16" i="2" s="1"/>
  <c r="H18" s="1"/>
  <c r="AP18" i="1"/>
  <c r="F262"/>
  <c r="I29" i="5" s="1"/>
  <c r="Y22" i="1" l="1"/>
  <c r="Y253"/>
  <c r="F250"/>
  <c r="V18"/>
  <c r="F276"/>
  <c r="F77"/>
  <c r="AY26"/>
  <c r="AY223"/>
  <c r="AR22"/>
  <c r="F251"/>
  <c r="AR253"/>
  <c r="AS143"/>
  <c r="F172"/>
  <c r="BD22"/>
  <c r="F248"/>
  <c r="BD253"/>
  <c r="S18"/>
  <c r="F268"/>
  <c r="I32" i="5" s="1"/>
  <c r="R18" i="1"/>
  <c r="F267"/>
  <c r="T18"/>
  <c r="F274"/>
  <c r="BA18"/>
  <c r="F273"/>
  <c r="I30" i="5" s="1"/>
  <c r="F75" i="1"/>
  <c r="AW26"/>
  <c r="AW223"/>
  <c r="AR143"/>
  <c r="F183"/>
  <c r="X22"/>
  <c r="F249"/>
  <c r="X253"/>
  <c r="P22"/>
  <c r="F226"/>
  <c r="P253"/>
  <c r="W18"/>
  <c r="F277"/>
  <c r="AS223"/>
  <c r="Q18"/>
  <c r="F265"/>
  <c r="O22"/>
  <c r="F225"/>
  <c r="O253"/>
  <c r="F74"/>
  <c r="AV26"/>
  <c r="AV223"/>
  <c r="U18"/>
  <c r="F275"/>
  <c r="I31" i="5" s="1"/>
  <c r="G31" s="1"/>
  <c r="AV22" i="1" l="1"/>
  <c r="F228"/>
  <c r="AV253"/>
  <c r="Y18"/>
  <c r="F280"/>
  <c r="AS22"/>
  <c r="AS253"/>
  <c r="F240"/>
  <c r="E16" i="2" s="1"/>
  <c r="O18" i="1"/>
  <c r="F255"/>
  <c r="P18"/>
  <c r="F256"/>
  <c r="AW22"/>
  <c r="F229"/>
  <c r="AW253"/>
  <c r="AR18"/>
  <c r="F281"/>
  <c r="X18"/>
  <c r="F279"/>
  <c r="BD18"/>
  <c r="F278"/>
  <c r="AY22"/>
  <c r="F231"/>
  <c r="AY253"/>
  <c r="AW18" l="1"/>
  <c r="F259"/>
  <c r="AS18"/>
  <c r="F270"/>
  <c r="I27" i="5" s="1"/>
  <c r="AV18" i="1"/>
  <c r="F258"/>
  <c r="F283"/>
  <c r="F282"/>
  <c r="J251" i="5" s="1"/>
  <c r="AY18" i="1"/>
  <c r="F261"/>
  <c r="I16" i="2"/>
  <c r="I18" s="1"/>
  <c r="E18"/>
</calcChain>
</file>

<file path=xl/sharedStrings.xml><?xml version="1.0" encoding="utf-8"?>
<sst xmlns="http://schemas.openxmlformats.org/spreadsheetml/2006/main" count="3693" uniqueCount="533">
  <si>
    <t>Smeta.RU  (495) 974-1589</t>
  </si>
  <si>
    <t>_PS_</t>
  </si>
  <si>
    <t>Smeta.RU</t>
  </si>
  <si>
    <t/>
  </si>
  <si>
    <t>Новый объект</t>
  </si>
  <si>
    <t>Ремонт лестничной клетки ОВП Ильинский Погост 2021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</si>
  <si>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</si>
  <si>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</si>
  <si>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</si>
  <si>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</si>
  <si>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</si>
  <si>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</si>
  <si>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</si>
  <si>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Новый раздел</t>
  </si>
  <si>
    <t>Лстничная клетка</t>
  </si>
  <si>
    <t>Новый подраздел</t>
  </si>
  <si>
    <t>демонтаж</t>
  </si>
  <si>
    <t>4</t>
  </si>
  <si>
    <t>57-2-3</t>
  </si>
  <si>
    <t>Разборка покрытий полов из керамических плиток</t>
  </si>
  <si>
    <t>100 м2 покрытия</t>
  </si>
  <si>
    <t>ТЕРр Московской обл., 57-2-3, приказ Минстроя России №675/пр от 21.09.2015 г.</t>
  </si>
  <si>
    <t>Ремонтно-строительные работы</t>
  </si>
  <si>
    <t>Полы</t>
  </si>
  <si>
    <t>рФЕР-57</t>
  </si>
  <si>
    <t>4,1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</si>
  <si>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</si>
  <si>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</si>
  <si>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</si>
  <si>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</si>
  <si>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5</t>
  </si>
  <si>
    <t>59-3-1</t>
  </si>
  <si>
    <t>Разборка металлических лестничных решеток при весе одного метра решетки до 60 кг</t>
  </si>
  <si>
    <t>100 м решетки</t>
  </si>
  <si>
    <t>ТЕРр Московской обл., 59-3-1, приказ Минстроя России №675/пр от 21.09.2015 г.</t>
  </si>
  <si>
    <t>Лестницы, кровля</t>
  </si>
  <si>
    <t>рФЕР-59</t>
  </si>
  <si>
    <t>5,1</t>
  </si>
  <si>
    <t>6</t>
  </si>
  <si>
    <t>67-4-5</t>
  </si>
  <si>
    <t>Демонтаж светильников для люминесцентных ламп</t>
  </si>
  <si>
    <t>100 шт.</t>
  </si>
  <si>
    <t>ТЕРр Московской обл., 67-4-5, приказ Минстроя России №675/пр от 21.09.2015 г.</t>
  </si>
  <si>
    <t>Электромонтажные работы</t>
  </si>
  <si>
    <t>рФЕР-67</t>
  </si>
  <si>
    <t>7</t>
  </si>
  <si>
    <t>67-4-1</t>
  </si>
  <si>
    <t>Демонтаж выключателей, розеток</t>
  </si>
  <si>
    <t>ТЕРр Московской обл., 67-4-1,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</si>
  <si>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</si>
  <si>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</si>
  <si>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</si>
  <si>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</si>
  <si>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</si>
  <si>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</si>
  <si>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</si>
  <si>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</si>
  <si>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</si>
  <si>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</si>
  <si>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</si>
  <si>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</si>
  <si>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</si>
  <si>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</si>
  <si>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</si>
  <si>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</si>
  <si>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</si>
  <si>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</si>
  <si>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</si>
  <si>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</si>
  <si>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</si>
  <si>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</si>
  <si>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</si>
  <si>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</si>
  <si>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</si>
  <si>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</si>
  <si>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</si>
  <si>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</si>
  <si>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</si>
  <si>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</si>
  <si>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</si>
  <si>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</si>
  <si>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</si>
  <si>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</si>
  <si>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</si>
  <si>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</si>
  <si>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</si>
  <si>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</si>
  <si>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</si>
  <si>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</si>
  <si>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</si>
  <si>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</si>
  <si>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</si>
  <si>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</si>
  <si>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</si>
  <si>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</si>
  <si>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</si>
  <si>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</si>
  <si>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</si>
  <si>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</si>
  <si>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</si>
  <si>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</si>
  <si>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</si>
  <si>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</si>
  <si>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пол</t>
  </si>
  <si>
    <t>1</t>
  </si>
  <si>
    <t>11-01-011-1</t>
  </si>
  <si>
    <t>Устройство стяжек цементных толщиной 20 мм</t>
  </si>
  <si>
    <t>100 м2 стяжки</t>
  </si>
  <si>
    <t>ТЕР Московской обл., 11-01-011-1, приказ Минстроя России №675/пр от 21.09.2015 г.</t>
  </si>
  <si>
    <t>Общестроительные работы</t>
  </si>
  <si>
    <t>ФЕР-11</t>
  </si>
  <si>
    <t>*0,9</t>
  </si>
  <si>
    <t>*0,85</t>
  </si>
  <si>
    <t>15-01-045-1</t>
  </si>
  <si>
    <t>Облицовка ступеней керамогранитными плитками толщиной до 15 мм</t>
  </si>
  <si>
    <t>100 м2 поверхности облицовки</t>
  </si>
  <si>
    <t>ТЕР Московской обл., 15-01-045-1, приказ Минстроя России №675/пр от 21.09.2015 г.</t>
  </si>
  <si>
    <t>)*1,25</t>
  </si>
  <si>
    <t>)*1,15</t>
  </si>
  <si>
    <t>Отделочные работы</t>
  </si>
  <si>
    <t>ФЕР-15</t>
  </si>
  <si>
    <t>Поправка: МДС 81-35.2004, п.4.7</t>
  </si>
  <si>
    <t>11-01-300-1</t>
  </si>
  <si>
    <t>Устройство покрытий из керамогранитных плиток размером 30х30 см</t>
  </si>
  <si>
    <t>100 м2</t>
  </si>
  <si>
    <t>ТСНБ-2001 Московской области, 11-01-300-1, протокол от 26.08.2020 г. № 08</t>
  </si>
  <si>
    <t>Поправка: МДС 81-35.2004, п.4.9</t>
  </si>
  <si>
    <t>11</t>
  </si>
  <si>
    <t>10-02-041-1</t>
  </si>
  <si>
    <t>Ограждение лестничных площадок перилами</t>
  </si>
  <si>
    <t>100 м перил</t>
  </si>
  <si>
    <t>ТЕР Московской обл., 10-02-041-1, приказ Минстроя России №675/пр от 21.09.2015 г.</t>
  </si>
  <si>
    <t>Деревянные конструкции</t>
  </si>
  <si>
    <t>ФЕР-10</t>
  </si>
  <si>
    <t>12</t>
  </si>
  <si>
    <t>201-0650</t>
  </si>
  <si>
    <t>Ограждения лестничных проемов, лестничные марши, пожарные лестницы</t>
  </si>
  <si>
    <t>ТССЦ Московской обл., 201-0650,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</si>
  <si>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</si>
  <si>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</si>
  <si>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</si>
  <si>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13</t>
  </si>
  <si>
    <t>м08-03-593-6</t>
  </si>
  <si>
    <t>Светильник потолочный или настенный с креплением винтами или болтами для помещений с нормальными условиями среды, одноламповый</t>
  </si>
  <si>
    <t>ТЕРм Московской обл., м08-03-593-6,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</si>
  <si>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</si>
  <si>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</si>
  <si>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</si>
  <si>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14</t>
  </si>
  <si>
    <t>11-01-039-4</t>
  </si>
  <si>
    <t>Устройство плинтусов из плиток керамических</t>
  </si>
  <si>
    <t>100 М ПЛИНТУСА</t>
  </si>
  <si>
    <t>ТЕР Московской обл., 11-01-039-4, приказ Минстроя России №675/пр от 21.09.2015 г.</t>
  </si>
  <si>
    <t>стены</t>
  </si>
  <si>
    <t>3</t>
  </si>
  <si>
    <t>10-01-035-1</t>
  </si>
  <si>
    <t>Установка подоконных досок из ПВХ в каменных стенах толщиной до 0,51 м</t>
  </si>
  <si>
    <t>100 п. м</t>
  </si>
  <si>
    <t>ТЕР Московской обл., 10-01-035-1, приказ Минстроя России №675/пр от 21.09.2015 г.</t>
  </si>
  <si>
    <t>3,1</t>
  </si>
  <si>
    <t>101-2906</t>
  </si>
  <si>
    <t>Доски подоконные ПВХ, шириной 300 мм</t>
  </si>
  <si>
    <t>м</t>
  </si>
  <si>
    <t>ТССЦ Московской обл., 101-2906, приказ Минстроя России №675/пр от 21.09.2015 г.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</si>
  <si>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</si>
  <si>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</si>
  <si>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</si>
  <si>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ТЕР Московской обл., 15-01-050-4, приказ Минстроя России №675/пр от 28.02.2017 № 260/пр</t>
  </si>
  <si>
    <t>46-02-009-2</t>
  </si>
  <si>
    <t>Отбивка штукатурки с поверхностей стен и потолков кирпичных</t>
  </si>
  <si>
    <t>ТЕР Московской обл., 46-02-009-2, приказ Минстроя России №675/пр от 21.09.2015 г.</t>
  </si>
  <si>
    <t>Реконструкция зданий и сооружений</t>
  </si>
  <si>
    <t>ФЕР-46</t>
  </si>
  <si>
    <t>10</t>
  </si>
  <si>
    <t>15-02-015-5</t>
  </si>
  <si>
    <t>Штукатурка поверхностей внутри здания известковым раствором улучшенная по камню и бетону стен</t>
  </si>
  <si>
    <t>100 м2 оштукатуриваемой поверхности</t>
  </si>
  <si>
    <t>ТЕР Московской обл., 15-02-015-5, приказ Минстроя России №675/пр от 21.09.2015 г.</t>
  </si>
  <si>
    <t>15-04-048-7</t>
  </si>
  <si>
    <t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поверхности, состав с наполнителем из среднезернистого минерала (размер зерна до 3 мм)</t>
  </si>
  <si>
    <t>100 м2 отделываемой поверхности</t>
  </si>
  <si>
    <t>ТЕР Московской обл., 15-04-048-7, приказ Минстроя России №675/пр от 21.09.2015 г.</t>
  </si>
  <si>
    <t>11,1</t>
  </si>
  <si>
    <t>113-9310</t>
  </si>
  <si>
    <t>Состав грунтовочный на латексной основе</t>
  </si>
  <si>
    <t>ТССЦ Московской обл., 113-9310, приказ Минстроя России №675/пр от 21.09.2015 г.</t>
  </si>
  <si>
    <t>101-3459</t>
  </si>
  <si>
    <t>Грунтовка акриловая PRIMER С проникающая, адгезионная, LITOCOL</t>
  </si>
  <si>
    <t>кг</t>
  </si>
  <si>
    <t>ТССЦ Московской обл., 101-3459, приказ Минстроя России №675/пр от 21.09.2015 г.</t>
  </si>
  <si>
    <t>15-04-048-13</t>
  </si>
  <si>
    <t>При структурировании поверхности фактурными валиками или шпателями добавлять к расценкам 15-04-048-06, 15-04-048-07, 15-04-048-08</t>
  </si>
  <si>
    <t>ТЕР Московской обл., 15-04-048-13, приказ Минстроя России №675/пр от 21.09.2015 г.</t>
  </si>
  <si>
    <t>потолок</t>
  </si>
  <si>
    <t>15-01-047-15</t>
  </si>
  <si>
    <t>Устройство подвесных потолков типа &lt;Армстронг&gt; по каркасу из оцинкованного профиля</t>
  </si>
  <si>
    <t>ТЕР Московской обл., 15-01-047-15, приказ Минстроя России №675/пр от 21.09.2015 г.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</si>
  <si>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</si>
  <si>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</si>
  <si>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</si>
  <si>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</si>
  <si>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</si>
  <si>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</si>
  <si>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</si>
  <si>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8</t>
  </si>
  <si>
    <t>т03-01-01-040</t>
  </si>
  <si>
    <t>Перевозка грузов I класса автомобилями бортовыми грузоподъемностью до 15 т на расстояние до 40 км</t>
  </si>
  <si>
    <t>ТССЦпг Московской обл., т03-01-001-40,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</si>
  <si>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</si>
  <si>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</si>
  <si>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</si>
  <si>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</si>
  <si>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</si>
  <si>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</si>
  <si>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</si>
  <si>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</si>
  <si>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</si>
  <si>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</si>
  <si>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</si>
  <si>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</si>
  <si>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</si>
  <si>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</si>
  <si>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</si>
  <si>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</si>
  <si>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</si>
  <si>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</si>
  <si>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</si>
  <si>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</si>
  <si>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</si>
  <si>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</si>
  <si>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</si>
  <si>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</si>
  <si>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</si>
  <si>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</si>
  <si>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</si>
  <si>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</si>
  <si>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</si>
  <si>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</si>
  <si>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</si>
  <si>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</si>
  <si>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</si>
  <si>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</si>
  <si>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</si>
  <si>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</si>
  <si>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</si>
  <si>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</si>
  <si>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</si>
  <si>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</si>
  <si>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</si>
  <si>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</si>
  <si>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</si>
  <si>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</si>
  <si>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</si>
  <si>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</si>
  <si>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</si>
  <si>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</si>
  <si>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</si>
  <si>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</si>
  <si>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</si>
  <si>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</si>
  <si>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</si>
  <si>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</si>
  <si>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</si>
  <si>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</si>
  <si>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</si>
  <si>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</si>
  <si>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</si>
  <si>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</si>
  <si>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</si>
  <si>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</si>
  <si>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</si>
  <si>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</si>
  <si>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</si>
  <si>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</si>
  <si>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</si>
  <si>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</si>
  <si>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</si>
  <si>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</si>
  <si>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</si>
  <si>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</si>
  <si>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</si>
  <si>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</si>
  <si>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</si>
  <si>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</si>
  <si>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</si>
  <si>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</si>
  <si>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</si>
  <si>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</si>
  <si>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</si>
  <si>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</si>
  <si>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</si>
  <si>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</si>
  <si>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</si>
  <si>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1-1030-90</t>
  </si>
  <si>
    <t>Рабочий строитель среднего разряда 3</t>
  </si>
  <si>
    <t>чел.-ч</t>
  </si>
  <si>
    <t>2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</si>
  <si>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</si>
  <si>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</si>
  <si>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</si>
  <si>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</si>
  <si>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</si>
  <si>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маш.-ч</t>
  </si>
  <si>
    <t>1-1022-90</t>
  </si>
  <si>
    <t>Рабочий строитель среднего разряда 2,2</t>
  </si>
  <si>
    <t>040504</t>
  </si>
  <si>
    <t>ТСЭМ Московской обл., 040504, приказ Минстроя России №675/пр от 21.09.2015 г.</t>
  </si>
  <si>
    <t>Аппарат для газовой сварки и резки</t>
  </si>
  <si>
    <t>101-0324</t>
  </si>
  <si>
    <t>ТССЦ Московской обл., 101-0324, приказ Минстроя России №675/пр от 21.09.2015 г.</t>
  </si>
  <si>
    <t>Кислород технический газообразный</t>
  </si>
  <si>
    <t>м3</t>
  </si>
  <si>
    <t>101-1602</t>
  </si>
  <si>
    <t>ТССЦ Московской обл., 101-1602, приказ Минстроя России №675/пр от 21.09.2015 г.</t>
  </si>
  <si>
    <t>Ацетилен газообразный технический</t>
  </si>
  <si>
    <t>1-1023-90</t>
  </si>
  <si>
    <t>Рабочий строитель среднего разряда 2,3</t>
  </si>
  <si>
    <t>1-1020-90</t>
  </si>
  <si>
    <t>Рабочий строитель среднего разряда 2</t>
  </si>
  <si>
    <t>111301</t>
  </si>
  <si>
    <t>ТСЭМ Московской обл., 111301, приказ Минстроя России №675/пр от 21.09.2015 г.</t>
  </si>
  <si>
    <t>Вибратор поверхностный</t>
  </si>
  <si>
    <t>402-0005</t>
  </si>
  <si>
    <t>ТССЦ Московской обл., 402-0005, приказ Минстроя России №675/пр от 21.09.2015 г.</t>
  </si>
  <si>
    <t>Раствор готовый кладочный цементный марки 150</t>
  </si>
  <si>
    <t>411-0001</t>
  </si>
  <si>
    <t>ТССЦ Московской обл., 411-0001, приказ Минстроя России №675/пр от 21.09.2015 г.</t>
  </si>
  <si>
    <t>Вода</t>
  </si>
  <si>
    <t>1-1036-90</t>
  </si>
  <si>
    <t>Рабочий строитель среднего разряда 3,6</t>
  </si>
  <si>
    <t>020128</t>
  </si>
  <si>
    <t>ТСЭМ Московской обл., 020128, приказ Минстроя России №675/пр от 21.09.2015 г.</t>
  </si>
  <si>
    <t>Краны башенные при работе на других видах строительства 5 т</t>
  </si>
  <si>
    <t>021140</t>
  </si>
  <si>
    <t>ТСЭМ Московской обл., 021140, приказ Минстроя России №675/пр от 21.09.2015 г.</t>
  </si>
  <si>
    <t>Краны на автомобильном ходу при работе на других видах строительства 6,3 т</t>
  </si>
  <si>
    <t>110901</t>
  </si>
  <si>
    <t>ТСЭМ Московской обл., 110901, приказ Минстроя России №675/пр от 21.09.2015 г.</t>
  </si>
  <si>
    <t>Растворосмесители передвижные 65 л</t>
  </si>
  <si>
    <t>339904</t>
  </si>
  <si>
    <t>ТСЭМ Московской обл., 339904, приказ Минстроя России №675/пр от 21.09.2015 г.</t>
  </si>
  <si>
    <t>Плиткорез MAKITA RH 4101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</si>
  <si>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</si>
  <si>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</si>
  <si>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</si>
  <si>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101-1971</t>
  </si>
  <si>
    <t>ТССЦ Московской обл., 101-1971, приказ Минстроя России №675/пр от 21.09.2015 г.</t>
  </si>
  <si>
    <t>Затирка «Старатели» (разной цветности)</t>
  </si>
  <si>
    <t>101-4368</t>
  </si>
  <si>
    <t>ТССЦ Московской обл., 101-4368, приказ Минстроя России №675/пр от 21.09.2015 г.</t>
  </si>
  <si>
    <t>Клей плиточный «Юнис Гранит»</t>
  </si>
  <si>
    <t>101-4484</t>
  </si>
  <si>
    <t>ТССЦ Московской обл., 101-4484, приказ Минстроя России №675/пр от 21.09.2015 г.</t>
  </si>
  <si>
    <t>Гранит керамический многоцветный неполированный, размером 300х300х8 мм</t>
  </si>
  <si>
    <t>м2</t>
  </si>
  <si>
    <t>1-100-32-90</t>
  </si>
  <si>
    <t>Рабочий среднего разряда 3,2</t>
  </si>
  <si>
    <t>030101</t>
  </si>
  <si>
    <t>ТСНБ-2001 Московской области, 030101, протокол от 29.07.2020 г. № 07</t>
  </si>
  <si>
    <t>Автопогрузчики 5 т</t>
  </si>
  <si>
    <t>030953</t>
  </si>
  <si>
    <t>ТСНБ-2001 Московской области, 030953, протокол от 29.07.2020 г. № 07</t>
  </si>
  <si>
    <t>Подъемники грузоподъемностью до 500 кг одномачтовые, высота подъема 35 м</t>
  </si>
  <si>
    <t>ТСНБ-2001 Московской области, 110901, протокол от 29.07.2020 г. № 07</t>
  </si>
  <si>
    <t>ТСНБ-2001 Московской области, 339904, протокол от 29.07.2020 г. № 07</t>
  </si>
  <si>
    <t>ТСНБ-2001 Московской области, 400001, протокол от 29.07.2020 г. № 07</t>
  </si>
  <si>
    <t>101-1757</t>
  </si>
  <si>
    <t>ТСНБ-2001 Московской области, 101-1757, протокол от 29.07.2020 г. № 07</t>
  </si>
  <si>
    <t>Ветошь</t>
  </si>
  <si>
    <t>ТСНБ-2001 Московской области, 101-1971, протокол от 29.07.2020 г. № 07</t>
  </si>
  <si>
    <t>ТСНБ-2001 Московской области, 101-4368, протокол от 26.08.2020 г. № 08</t>
  </si>
  <si>
    <t>101-5566</t>
  </si>
  <si>
    <t>ТСНБ-2001 Московской области, 101-5566, протокол от 29.07.2020 г. № 07</t>
  </si>
  <si>
    <t>Плитки керамогранитные размером 300х300х8 мм, бежевые</t>
  </si>
  <si>
    <t>ТСНБ-2001 Московской области, 411-0001, протокол от 29.07.2020 г. № 07</t>
  </si>
  <si>
    <t>1-1033-90</t>
  </si>
  <si>
    <t>Рабочий строитель среднего разряда 3,3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</si>
  <si>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</si>
  <si>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</si>
  <si>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</si>
  <si>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101-1805</t>
  </si>
  <si>
    <t>ТССЦ Московской обл., 101-1805, приказ Минстроя России №675/пр от 21.09.2015 г.</t>
  </si>
  <si>
    <t>Гвозди строительные</t>
  </si>
  <si>
    <t>1-2042-90</t>
  </si>
  <si>
    <t>Рабочий монтажник среднего разряда 4,2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</si>
  <si>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</si>
  <si>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</si>
  <si>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</si>
  <si>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330206</t>
  </si>
  <si>
    <t>ТСЭМ Московской обл., 330206, приказ Минстроя России №675/пр от 21.09.2015 г.</t>
  </si>
  <si>
    <t>Дрели электрические</t>
  </si>
  <si>
    <t>101-0115</t>
  </si>
  <si>
    <t>ТССЦ Московской обл., 101-0115, приказ Минстроя России №675/пр от 21.09.2015 г.</t>
  </si>
  <si>
    <t>Винты с полукруглой головкой длиной 50 мм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</si>
  <si>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</si>
  <si>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</si>
  <si>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</si>
  <si>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</si>
  <si>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</si>
  <si>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</si>
  <si>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509-0167</t>
  </si>
  <si>
    <t>ТССЦ Московской обл., 509-0167, приказ Минстроя России №675/пр от 21.09.2015 г.</t>
  </si>
  <si>
    <t>Сжимы соединительные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</si>
  <si>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</si>
  <si>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</si>
  <si>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</si>
  <si>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</si>
  <si>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1-1039-90</t>
  </si>
  <si>
    <t>Рабочий строитель среднего разряда 3,9</t>
  </si>
  <si>
    <t>101-1947</t>
  </si>
  <si>
    <t>ТССЦ Московской обл., 101-1947, приказ Минстроя России №675/пр от 21.09.2015 г.</t>
  </si>
  <si>
    <t>Плитки керамические плинтусные прямые</t>
  </si>
  <si>
    <t>402-0006</t>
  </si>
  <si>
    <t>ТССЦ Московской обл., 402-0006, приказ Минстроя России №675/пр от 21.09.2015 г.</t>
  </si>
  <si>
    <t>Раствор готовый кладочный цементный марки 200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</si>
  <si>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</si>
  <si>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</si>
  <si>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</si>
  <si>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шт.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</si>
  <si>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</si>
  <si>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</si>
  <si>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</si>
  <si>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ТСЭМ Московской обл., 030954, приказ Минстроя России №675/пр от 28.02.2017 № 264/пр</t>
  </si>
  <si>
    <t>331531</t>
  </si>
  <si>
    <t>ТСЭМ Московской обл., 331531, приказ Минстроя России №675/пр от 28.02.2017 № 264/пр</t>
  </si>
  <si>
    <t>Пила дисковая электрическая</t>
  </si>
  <si>
    <t>ТСЭМ Московской обл., 400001, приказ Минстроя России №675/пр от 28.02.2017 № 264/пр</t>
  </si>
  <si>
    <t>ТССЦ Московской обл., 101-1757, приказ Минстроя России №675/пр от 28.02.2017 № 254/пр</t>
  </si>
  <si>
    <t>101-2434</t>
  </si>
  <si>
    <t>ТССЦ Московской обл., 101-2434, приказ Минстроя России №675/пр от 28.02.2017 № 254/пр</t>
  </si>
  <si>
    <t>Клей ПВА</t>
  </si>
  <si>
    <t>1-1038-90</t>
  </si>
  <si>
    <t>Рабочий строитель среднего разряда 3,8</t>
  </si>
  <si>
    <t>111500</t>
  </si>
  <si>
    <t>ТСЭМ Московской обл., 111500, приказ Минстроя России №675/пр от 21.09.2015 г.</t>
  </si>
  <si>
    <t>Растворонасосы 1 м3/ч</t>
  </si>
  <si>
    <t>101-0179</t>
  </si>
  <si>
    <t>ТССЦ Московской обл., 101-0179, приказ Минстроя России №675/пр от 21.09.2015 г.</t>
  </si>
  <si>
    <t>Гвозди строительные с плоской головкой 1,6x50 мм</t>
  </si>
  <si>
    <t>101-0874</t>
  </si>
  <si>
    <t>ТССЦ Московской обл., 101-0874, приказ Минстроя России №675/пр от 21.09.2015 г.</t>
  </si>
  <si>
    <t>Сетка тканая с квадратными ячейками № 05 без покрытия</t>
  </si>
  <si>
    <t>402-0083</t>
  </si>
  <si>
    <t>ТССЦ Московской обл., 402-0083, приказ Минстроя России №675/пр от 21.09.2015 г.</t>
  </si>
  <si>
    <t>Раствор готовый отделочный тяжелый, цементно-известковый 1:1:6</t>
  </si>
  <si>
    <t>402-0086</t>
  </si>
  <si>
    <t>ТССЦ Московской обл., 402-0086, приказ Минстроя России №675/пр от 21.09.2015 г.</t>
  </si>
  <si>
    <t>Раствор готовый отделочный тяжелый, известковый 1:2,5</t>
  </si>
  <si>
    <t>1-1046-90</t>
  </si>
  <si>
    <t>Рабочий строитель среднего разряда 4,6</t>
  </si>
  <si>
    <t>402-0243</t>
  </si>
  <si>
    <t>ТССЦ Московской обл., 402-0243, приказ Минстроя России №675/пр от 21.09.2015 г.</t>
  </si>
  <si>
    <t>Минеральный или полиминеральный декоративный пастовый состав для отделки фасадов, внутренних стен и потолков на латексной основе с наполнителем из среднезернистого минерала (размер зерна до 3 мм)</t>
  </si>
  <si>
    <t>101-2414</t>
  </si>
  <si>
    <t>ТССЦ Московской обл., 101-2414, приказ Минстроя России №675/пр от 21.09.2015 г.</t>
  </si>
  <si>
    <t>Панели потолочные с комплектующими «Армстронг»</t>
  </si>
  <si>
    <t>203-9007</t>
  </si>
  <si>
    <t>ТССЦ Московской обл., 203-9007, приказ Минстроя России №675/пр от 21.09.2015 г.</t>
  </si>
  <si>
    <t>Рейки деревянные</t>
  </si>
  <si>
    <t>101-9138</t>
  </si>
  <si>
    <t>ТССЦ Московской обл., 101-9138, приказ Минстроя России №675/пр от 21.09.2015 г.</t>
  </si>
  <si>
    <t>Доски подоконные ПВХ</t>
  </si>
  <si>
    <t>101-9155</t>
  </si>
  <si>
    <t>ТССЦ Московской обл., 101-9155, приказ Минстроя России №675/пр от 28.02.2017 № 254/пр</t>
  </si>
  <si>
    <t>Листы облицовочные декоративные</t>
  </si>
  <si>
    <t>101-9732</t>
  </si>
  <si>
    <t>ТССЦ Московской обл., 101-9732, приказ Минстроя России №675/пр от 28.02.2017 № 254/пр</t>
  </si>
  <si>
    <t>Грунтовка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</si>
  <si>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</si>
  <si>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</si>
  <si>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</si>
  <si>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</si>
  <si>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</si>
  <si>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</si>
  <si>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</si>
  <si>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</si>
  <si>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</si>
  <si>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</si>
  <si>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</si>
  <si>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</si>
  <si>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</si>
  <si>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</si>
  <si>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</si>
  <si>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</si>
  <si>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</si>
  <si>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</si>
  <si>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</si>
  <si>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</si>
  <si>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</si>
  <si>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</si>
  <si>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</si>
  <si>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</si>
  <si>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</si>
  <si>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</si>
  <si>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</si>
  <si>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</si>
  <si>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</si>
  <si>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</si>
  <si>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</si>
  <si>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</si>
  <si>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</si>
  <si>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2021 года и Московская область Каталог текущих цен на материалы, декабрь 2020 г</t>
  </si>
  <si>
    <t>Зарплата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</si>
  <si>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</si>
  <si>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</si>
  <si>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</si>
  <si>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</si>
  <si>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</si>
  <si>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</si>
  <si>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t>Материальные ресурсы</t>
  </si>
  <si>
    <r>
      <t>15-01-045-1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</si>
  <si>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11-01-300-1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</si>
  <si>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10-02-041-1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</si>
  <si>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м08-03-593-6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</si>
  <si>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11-01-039-4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</si>
  <si>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10-01-035-1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</si>
  <si>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15-02-015-5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</si>
  <si>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15-04-048-7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</si>
  <si>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15-04-048-13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</si>
  <si>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15-01-047-15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</si>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</sst>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4" fillId="0" borderId="0" xfId="0" applyFont="1" applyAlignment="1">
      <alignment horizontal="right"/>
    </xf>
    <xf numFmtId="0" fontId="11" fillId="0" borderId="2" xfId="0" applyFont="1" applyBorder="1" applyAlignment="1">
      <alignment horizontal="left"/>
    </xf>
    <xf numFmtId="166" fontId="11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62"/>
  <sheetViews>
    <sheetView tabSelected="1" topLeftCell="A233" zoomScaleNormal="100" workbookViewId="0">
      <selection activeCell="AK260" sqref="AK260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1" t="s">
        <v>470</v>
      </c>
      <c r="C3" s="71"/>
      <c r="D3" s="71"/>
      <c r="E3" s="71"/>
      <c r="F3" s="11"/>
      <c r="G3" s="11"/>
      <c r="H3" s="71" t="s">
        <v>471</v>
      </c>
      <c r="I3" s="71"/>
      <c r="J3" s="71"/>
      <c r="K3" s="71"/>
      <c r="L3" s="71"/>
    </row>
    <row r="4" spans="1:12" ht="14.25">
      <c r="A4" s="11"/>
      <c r="B4" s="72"/>
      <c r="C4" s="72"/>
      <c r="D4" s="72"/>
      <c r="E4" s="72"/>
      <c r="F4" s="11"/>
      <c r="G4" s="11"/>
      <c r="H4" s="72"/>
      <c r="I4" s="72"/>
      <c r="J4" s="72"/>
      <c r="K4" s="72"/>
      <c r="L4" s="7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72" t="str">
        <f>CONCATENATE("______________________ ", IF(Source!AL12&lt;&gt;"", Source!AL12, ""))</f>
        <v xml:space="preserve">______________________ </v>
      </c>
      <c r="C6" s="72"/>
      <c r="D6" s="72"/>
      <c r="E6" s="72"/>
      <c r="F6" s="11"/>
      <c r="G6" s="11"/>
      <c r="H6" s="72" t="str">
        <f>CONCATENATE("______________________ ", IF(Source!AH12&lt;&gt;"", Source!AH12, ""))</f>
        <v xml:space="preserve">______________________ </v>
      </c>
      <c r="I6" s="72"/>
      <c r="J6" s="72"/>
      <c r="K6" s="72"/>
      <c r="L6" s="72"/>
    </row>
    <row r="7" spans="1:12" ht="14.25">
      <c r="A7" s="16"/>
      <c r="B7" s="79" t="s">
        <v>472</v>
      </c>
      <c r="C7" s="79"/>
      <c r="D7" s="79"/>
      <c r="E7" s="79"/>
      <c r="F7" s="11"/>
      <c r="G7" s="11"/>
      <c r="H7" s="79" t="s">
        <v>472</v>
      </c>
      <c r="I7" s="79"/>
      <c r="J7" s="79"/>
      <c r="K7" s="79"/>
      <c r="L7" s="79"/>
    </row>
    <row r="10" spans="1:12" ht="15.75">
      <c r="A10" s="1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16"/>
    </row>
    <row r="11" spans="1:12" ht="14.25">
      <c r="A11" s="17"/>
      <c r="B11" s="80" t="s">
        <v>473</v>
      </c>
      <c r="C11" s="80"/>
      <c r="D11" s="80"/>
      <c r="E11" s="80"/>
      <c r="F11" s="80"/>
      <c r="G11" s="80"/>
      <c r="H11" s="80"/>
      <c r="I11" s="80"/>
      <c r="J11" s="80"/>
      <c r="K11" s="80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1" t="s">
        <v>474</v>
      </c>
      <c r="G13" s="81"/>
      <c r="H13" s="77" t="str">
        <f>IF(Source!F12&lt;&gt;"Новый объект", Source!F12, "")</f>
        <v/>
      </c>
      <c r="I13" s="77"/>
      <c r="J13" s="77"/>
      <c r="K13" s="77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3" t="str">
        <f>CONCATENATE( "ЛОКАЛЬНАЯ СМЕТА № ",IF(Source!F12&lt;&gt;"Новый объект", Source!F12, ""))</f>
        <v xml:space="preserve">ЛОКАЛЬНАЯ СМЕТА № </v>
      </c>
      <c r="C15" s="73"/>
      <c r="D15" s="73"/>
      <c r="E15" s="73"/>
      <c r="F15" s="73"/>
      <c r="G15" s="73"/>
      <c r="H15" s="73"/>
      <c r="I15" s="73"/>
      <c r="J15" s="73"/>
      <c r="K15" s="73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5" t="str">
        <f>IF(Source!G12&lt;&gt;"Новый объект", Source!G12, "")</f>
        <v>Ремонт лестничной клетки ОВП Ильинский Погост 2021</v>
      </c>
      <c r="C19" s="75"/>
      <c r="D19" s="75"/>
      <c r="E19" s="75"/>
      <c r="F19" s="75"/>
      <c r="G19" s="75"/>
      <c r="H19" s="75"/>
      <c r="I19" s="75"/>
      <c r="J19" s="75"/>
      <c r="K19" s="75"/>
      <c r="L19" s="21"/>
    </row>
    <row r="20" spans="1:12" ht="14.25">
      <c r="A20" s="11"/>
      <c r="B20" s="76" t="s">
        <v>475</v>
      </c>
      <c r="C20" s="76"/>
      <c r="D20" s="76"/>
      <c r="E20" s="76"/>
      <c r="F20" s="76"/>
      <c r="G20" s="76"/>
      <c r="H20" s="76"/>
      <c r="I20" s="76"/>
      <c r="J20" s="76"/>
      <c r="K20" s="76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77" t="str">
        <f>CONCATENATE("Основание: ", Source!J12)</f>
        <v xml:space="preserve">Основание: 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8" t="s">
        <v>476</v>
      </c>
      <c r="H25" s="78"/>
      <c r="I25" s="78" t="s">
        <v>477</v>
      </c>
      <c r="J25" s="78"/>
      <c r="K25" s="11"/>
      <c r="L25" s="11"/>
    </row>
    <row r="26" spans="1:12" ht="15">
      <c r="A26" s="11"/>
      <c r="B26" s="11"/>
      <c r="C26" s="85" t="s">
        <v>478</v>
      </c>
      <c r="D26" s="85"/>
      <c r="E26" s="85"/>
      <c r="F26" s="85"/>
      <c r="G26" s="83">
        <f>SUM(O1:O250)/1000</f>
        <v>37.468490000000003</v>
      </c>
      <c r="H26" s="83"/>
      <c r="I26" s="83">
        <v>562.4</v>
      </c>
      <c r="J26" s="83"/>
      <c r="K26" s="84" t="s">
        <v>479</v>
      </c>
      <c r="L26" s="84"/>
    </row>
    <row r="27" spans="1:12" ht="14.25">
      <c r="A27" s="11"/>
      <c r="B27" s="11"/>
      <c r="C27" s="82" t="s">
        <v>480</v>
      </c>
      <c r="D27" s="82"/>
      <c r="E27" s="82"/>
      <c r="F27" s="82"/>
      <c r="G27" s="83">
        <f>SUM(W1:W250)/1000</f>
        <v>37.125800000000005</v>
      </c>
      <c r="H27" s="83"/>
      <c r="I27" s="83">
        <f>(Source!F270)/1000</f>
        <v>459.87038000000001</v>
      </c>
      <c r="J27" s="83"/>
      <c r="K27" s="84" t="s">
        <v>479</v>
      </c>
      <c r="L27" s="84"/>
    </row>
    <row r="28" spans="1:12" ht="14.25">
      <c r="A28" s="11"/>
      <c r="B28" s="11"/>
      <c r="C28" s="82" t="s">
        <v>481</v>
      </c>
      <c r="D28" s="82"/>
      <c r="E28" s="82"/>
      <c r="F28" s="82"/>
      <c r="G28" s="83">
        <f>SUM(X1:X250)/1000</f>
        <v>0.34268999999999994</v>
      </c>
      <c r="H28" s="83"/>
      <c r="I28" s="83">
        <f>(Source!F271)/1000</f>
        <v>8.8384300000000007</v>
      </c>
      <c r="J28" s="83"/>
      <c r="K28" s="84" t="s">
        <v>479</v>
      </c>
      <c r="L28" s="84"/>
    </row>
    <row r="29" spans="1:12" ht="14.25">
      <c r="A29" s="11"/>
      <c r="B29" s="11"/>
      <c r="C29" s="82" t="s">
        <v>482</v>
      </c>
      <c r="D29" s="82"/>
      <c r="E29" s="82"/>
      <c r="F29" s="82"/>
      <c r="G29" s="83">
        <f>SUM(Y1:Y250)/1000</f>
        <v>0</v>
      </c>
      <c r="H29" s="83"/>
      <c r="I29" s="83">
        <f>(Source!F262)/1000</f>
        <v>0</v>
      </c>
      <c r="J29" s="83"/>
      <c r="K29" s="84" t="s">
        <v>479</v>
      </c>
      <c r="L29" s="84"/>
    </row>
    <row r="30" spans="1:12" ht="14.25">
      <c r="A30" s="11"/>
      <c r="B30" s="11"/>
      <c r="C30" s="82" t="s">
        <v>483</v>
      </c>
      <c r="D30" s="82"/>
      <c r="E30" s="82"/>
      <c r="F30" s="82"/>
      <c r="G30" s="83">
        <f>SUM(Z1:Z250)/1000</f>
        <v>0</v>
      </c>
      <c r="H30" s="83"/>
      <c r="I30" s="83">
        <f>(Source!F272+Source!F273)/1000</f>
        <v>0</v>
      </c>
      <c r="J30" s="83"/>
      <c r="K30" s="84" t="s">
        <v>479</v>
      </c>
      <c r="L30" s="84"/>
    </row>
    <row r="31" spans="1:12" ht="15">
      <c r="A31" s="11"/>
      <c r="B31" s="11"/>
      <c r="C31" s="85" t="s">
        <v>484</v>
      </c>
      <c r="D31" s="85"/>
      <c r="E31" s="85"/>
      <c r="F31" s="85"/>
      <c r="G31" s="83">
        <f>I31</f>
        <v>507.14340349999998</v>
      </c>
      <c r="H31" s="83"/>
      <c r="I31" s="83">
        <f>(Source!F275+Source!F276)</f>
        <v>507.14340349999998</v>
      </c>
      <c r="J31" s="83"/>
      <c r="K31" s="84" t="s">
        <v>485</v>
      </c>
      <c r="L31" s="84"/>
    </row>
    <row r="32" spans="1:12" ht="15">
      <c r="A32" s="11"/>
      <c r="B32" s="11"/>
      <c r="C32" s="85" t="s">
        <v>486</v>
      </c>
      <c r="D32" s="85"/>
      <c r="E32" s="85"/>
      <c r="F32" s="85"/>
      <c r="G32" s="83">
        <f>SUM(R1:R250)/1000</f>
        <v>4.7761300000000002</v>
      </c>
      <c r="H32" s="83"/>
      <c r="I32" s="83">
        <f>(Source!F268+ Source!F267)/1000</f>
        <v>157.85075000000001</v>
      </c>
      <c r="J32" s="83"/>
      <c r="K32" s="84" t="s">
        <v>479</v>
      </c>
      <c r="L32" s="84"/>
    </row>
    <row r="33" spans="1:22" ht="14.25" hidden="1">
      <c r="A33" s="11"/>
      <c r="B33" s="11"/>
      <c r="C33" s="82" t="s">
        <v>88</v>
      </c>
      <c r="D33" s="82"/>
      <c r="E33" s="82"/>
      <c r="F33" s="82"/>
      <c r="G33" s="83"/>
      <c r="H33" s="83"/>
      <c r="I33" s="83"/>
      <c r="J33" s="83"/>
      <c r="K33" s="23" t="s">
        <v>479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487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488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86" t="s">
        <v>501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</row>
    <row r="39" spans="1:22" ht="57">
      <c r="A39" s="28" t="s">
        <v>489</v>
      </c>
      <c r="B39" s="28" t="s">
        <v>490</v>
      </c>
      <c r="C39" s="28" t="s">
        <v>491</v>
      </c>
      <c r="D39" s="28" t="s">
        <v>492</v>
      </c>
      <c r="E39" s="28" t="s">
        <v>493</v>
      </c>
      <c r="F39" s="28" t="s">
        <v>494</v>
      </c>
      <c r="G39" s="28" t="s">
        <v>495</v>
      </c>
      <c r="H39" s="28" t="s">
        <v>496</v>
      </c>
      <c r="I39" s="28" t="s">
        <v>497</v>
      </c>
      <c r="J39" s="28" t="s">
        <v>498</v>
      </c>
      <c r="K39" s="28" t="s">
        <v>499</v>
      </c>
      <c r="L39" s="28" t="s">
        <v>500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89" t="str">
        <f>CONCATENATE("Локальная смета: ",IF(Source!G20&lt;&gt;"Новая локальная смета", Source!G20, ""))</f>
        <v xml:space="preserve">Локальная смета: 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4" spans="1:22" ht="16.5">
      <c r="A44" s="89" t="str">
        <f>CONCATENATE("Раздел: ",IF(Source!G24&lt;&gt;"Новый раздел", Source!G24, ""))</f>
        <v>Раздел: Лстничная клетка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</row>
    <row r="46" spans="1:22" ht="16.5">
      <c r="A46" s="89" t="str">
        <f>CONCATENATE("Подраздел: ",IF(Source!G28&lt;&gt;"Новый подраздел", Source!G28, ""))</f>
        <v>Подраздел: демонтаж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</row>
    <row r="47" spans="1:22" ht="42.75">
      <c r="A47" s="23" t="str">
        <f>Source!E32</f>
        <v>4</v>
      </c>
      <c r="B47" s="54" t="str">
        <f>Source!F32</f>
        <v>57-2-3</v>
      </c>
      <c r="C47" s="54" t="str">
        <f>Source!G32</f>
        <v>Разборка покрытий полов из керамических плиток</v>
      </c>
      <c r="D47" s="37" t="str">
        <f>Source!H32</f>
        <v>100 м2 покрытия</v>
      </c>
      <c r="E47" s="10">
        <f>Source!I32</f>
        <v>0.25</v>
      </c>
      <c r="F47" s="38">
        <f>Source!AL32+Source!AM32+Source!AO32</f>
        <v>641</v>
      </c>
      <c r="G47" s="39"/>
      <c r="H47" s="40"/>
      <c r="I47" s="39" t="str">
        <f>Source!BO32</f>
        <v>57-2-3</v>
      </c>
      <c r="J47" s="39"/>
      <c r="K47" s="40"/>
      <c r="L47" s="41"/>
      <c r="S47">
        <f>ROUND((Source!FX32/100)*((ROUND(Source!AF32*Source!I32, 2)+ROUND(Source!AE32*Source!I32, 2))), 2)</f>
        <v>123.09</v>
      </c>
      <c r="T47">
        <f>Source!X32</f>
        <v>4067.99</v>
      </c>
      <c r="U47">
        <f>ROUND((Source!FY32/100)*((ROUND(Source!AF32*Source!I32, 2)+ROUND(Source!AE32*Source!I32, 2))), 2)</f>
        <v>104.62</v>
      </c>
      <c r="V47">
        <f>Source!Y32</f>
        <v>3457.79</v>
      </c>
    </row>
    <row r="48" spans="1:22">
      <c r="C48" s="31" t="str">
        <f>"Объем: "&amp;Source!I32&amp;"=25/"&amp;"100"</f>
        <v>Объем: 0,25=25/100</v>
      </c>
    </row>
    <row r="49" spans="1:26" ht="14.25">
      <c r="A49" s="23"/>
      <c r="B49" s="54"/>
      <c r="C49" s="54" t="s">
        <v>502</v>
      </c>
      <c r="D49" s="37"/>
      <c r="E49" s="10"/>
      <c r="F49" s="38">
        <f>Source!AO32</f>
        <v>595.99</v>
      </c>
      <c r="G49" s="39" t="str">
        <f>Source!DG32</f>
        <v/>
      </c>
      <c r="H49" s="40">
        <f>ROUND(Source!AF32*Source!I32, 2)</f>
        <v>149</v>
      </c>
      <c r="I49" s="39"/>
      <c r="J49" s="39">
        <f>IF(Source!BA32&lt;&gt; 0, Source!BA32, 1)</f>
        <v>33.049999999999997</v>
      </c>
      <c r="K49" s="40">
        <f>Source!S32</f>
        <v>4924.37</v>
      </c>
      <c r="L49" s="41"/>
      <c r="R49">
        <f>H49</f>
        <v>149</v>
      </c>
    </row>
    <row r="50" spans="1:26" ht="14.25">
      <c r="A50" s="23"/>
      <c r="B50" s="54"/>
      <c r="C50" s="54" t="s">
        <v>70</v>
      </c>
      <c r="D50" s="37"/>
      <c r="E50" s="10"/>
      <c r="F50" s="38">
        <f>Source!AM32</f>
        <v>45.01</v>
      </c>
      <c r="G50" s="39" t="str">
        <f>Source!DE32</f>
        <v/>
      </c>
      <c r="H50" s="40">
        <f>ROUND(Source!AD32*Source!I32, 2)</f>
        <v>11.25</v>
      </c>
      <c r="I50" s="39"/>
      <c r="J50" s="39">
        <f>IF(Source!BB32&lt;&gt; 0, Source!BB32, 1)</f>
        <v>14.93</v>
      </c>
      <c r="K50" s="40">
        <f>Source!Q32</f>
        <v>168</v>
      </c>
      <c r="L50" s="41"/>
    </row>
    <row r="51" spans="1:26" ht="14.25">
      <c r="A51" s="23"/>
      <c r="B51" s="54"/>
      <c r="C51" s="54" t="s">
        <v>503</v>
      </c>
      <c r="D51" s="37"/>
      <c r="E51" s="10"/>
      <c r="F51" s="38">
        <f>Source!AN32</f>
        <v>19.440000000000001</v>
      </c>
      <c r="G51" s="39" t="str">
        <f>Source!DF32</f>
        <v/>
      </c>
      <c r="H51" s="42">
        <f>ROUND(Source!AE32*Source!I32, 2)</f>
        <v>4.8600000000000003</v>
      </c>
      <c r="I51" s="39"/>
      <c r="J51" s="39">
        <f>IF(Source!BS32&lt;&gt; 0, Source!BS32, 1)</f>
        <v>33.049999999999997</v>
      </c>
      <c r="K51" s="42">
        <f>Source!R32</f>
        <v>160.62</v>
      </c>
      <c r="L51" s="41"/>
      <c r="R51">
        <f>H51</f>
        <v>4.8600000000000003</v>
      </c>
    </row>
    <row r="52" spans="1:26" ht="14.25">
      <c r="A52" s="23"/>
      <c r="B52" s="54"/>
      <c r="C52" s="54" t="s">
        <v>504</v>
      </c>
      <c r="D52" s="37" t="s">
        <v>505</v>
      </c>
      <c r="E52" s="10">
        <f>Source!BZ32</f>
        <v>80</v>
      </c>
      <c r="F52" s="57"/>
      <c r="G52" s="39"/>
      <c r="H52" s="40">
        <f>SUM(S47:S55)</f>
        <v>123.09</v>
      </c>
      <c r="I52" s="43"/>
      <c r="J52" s="36">
        <f>Source!AT32</f>
        <v>80</v>
      </c>
      <c r="K52" s="40">
        <f>SUM(T47:T55)</f>
        <v>4067.99</v>
      </c>
      <c r="L52" s="41"/>
    </row>
    <row r="53" spans="1:26" ht="14.25">
      <c r="A53" s="23"/>
      <c r="B53" s="54"/>
      <c r="C53" s="54" t="s">
        <v>506</v>
      </c>
      <c r="D53" s="37" t="s">
        <v>505</v>
      </c>
      <c r="E53" s="10">
        <f>Source!CA32</f>
        <v>68</v>
      </c>
      <c r="F53" s="57"/>
      <c r="G53" s="39"/>
      <c r="H53" s="40">
        <f>SUM(U47:U55)</f>
        <v>104.62</v>
      </c>
      <c r="I53" s="43"/>
      <c r="J53" s="36">
        <f>Source!AU32</f>
        <v>68</v>
      </c>
      <c r="K53" s="40">
        <f>SUM(V47:V55)</f>
        <v>3457.79</v>
      </c>
      <c r="L53" s="41"/>
    </row>
    <row r="54" spans="1:26" ht="14.25">
      <c r="A54" s="23"/>
      <c r="B54" s="54"/>
      <c r="C54" s="54" t="s">
        <v>507</v>
      </c>
      <c r="D54" s="37" t="s">
        <v>508</v>
      </c>
      <c r="E54" s="10">
        <f>Source!AQ32</f>
        <v>69.87</v>
      </c>
      <c r="F54" s="38"/>
      <c r="G54" s="39" t="str">
        <f>Source!DI32</f>
        <v/>
      </c>
      <c r="H54" s="40"/>
      <c r="I54" s="39"/>
      <c r="J54" s="39"/>
      <c r="K54" s="40"/>
      <c r="L54" s="44">
        <f>Source!U32</f>
        <v>17.467500000000001</v>
      </c>
    </row>
    <row r="55" spans="1:26" ht="14.25">
      <c r="A55" s="55" t="str">
        <f>Source!E33</f>
        <v>4,1</v>
      </c>
      <c r="B55" s="56" t="str">
        <f>Source!F33</f>
        <v>509-9900</v>
      </c>
      <c r="C55" s="56" t="str">
        <f>Source!G33</f>
        <v>Строительный мусор</v>
      </c>
      <c r="D55" s="45" t="str">
        <f>Source!H33</f>
        <v>т</v>
      </c>
      <c r="E55" s="46">
        <f>Source!I33</f>
        <v>1.3</v>
      </c>
      <c r="F55" s="47">
        <f>Source!AL33+Source!AM33+Source!AO33</f>
        <v>0</v>
      </c>
      <c r="G55" s="48" t="s">
        <v>3</v>
      </c>
      <c r="H55" s="49">
        <f>ROUND(Source!AC33*Source!I33, 2)+ROUND(Source!AD33*Source!I33, 2)+ROUND(Source!AF33*Source!I33, 2)</f>
        <v>0</v>
      </c>
      <c r="I55" s="50"/>
      <c r="J55" s="50">
        <f>IF(Source!BC33&lt;&gt; 0, Source!BC33, 1)</f>
        <v>1</v>
      </c>
      <c r="K55" s="49">
        <f>Source!O33</f>
        <v>0</v>
      </c>
      <c r="L55" s="51"/>
      <c r="S55">
        <f>ROUND((Source!FX33/100)*((ROUND(Source!AF33*Source!I33, 2)+ROUND(Source!AE33*Source!I33, 2))), 2)</f>
        <v>0</v>
      </c>
      <c r="T55">
        <f>Source!X33</f>
        <v>0</v>
      </c>
      <c r="U55">
        <f>ROUND((Source!FY33/100)*((ROUND(Source!AF33*Source!I33, 2)+ROUND(Source!AE33*Source!I33, 2))), 2)</f>
        <v>0</v>
      </c>
      <c r="V55">
        <f>Source!Y33</f>
        <v>0</v>
      </c>
      <c r="W55">
        <f>IF(Source!BI33&lt;=1,H55, 0)</f>
        <v>0</v>
      </c>
      <c r="X55">
        <f>IF(Source!BI33=2,H55, 0)</f>
        <v>0</v>
      </c>
      <c r="Y55">
        <f>IF(Source!BI33=3,H55, 0)</f>
        <v>0</v>
      </c>
      <c r="Z55">
        <f>IF(Source!BI33=4,H55, 0)</f>
        <v>0</v>
      </c>
    </row>
    <row r="56" spans="1:26" ht="15">
      <c r="G56" s="91">
        <f>H49+H50+H52+H53+SUM(H55:H55)</f>
        <v>387.96000000000004</v>
      </c>
      <c r="H56" s="91"/>
      <c r="J56" s="91">
        <f>K49+K50+K52+K53+SUM(K55:K55)</f>
        <v>12618.150000000001</v>
      </c>
      <c r="K56" s="91"/>
      <c r="L56" s="52">
        <f>Source!U32</f>
        <v>17.467500000000001</v>
      </c>
      <c r="O56" s="32">
        <f>G56</f>
        <v>387.96000000000004</v>
      </c>
      <c r="P56" s="32">
        <f>J56</f>
        <v>12618.150000000001</v>
      </c>
      <c r="Q56" s="32">
        <f>L56</f>
        <v>17.467500000000001</v>
      </c>
      <c r="W56">
        <f>IF(Source!BI32&lt;=1,H49+H50+H52+H53, 0)</f>
        <v>387.96000000000004</v>
      </c>
      <c r="X56">
        <f>IF(Source!BI32=2,H49+H50+H52+H53, 0)</f>
        <v>0</v>
      </c>
      <c r="Y56">
        <f>IF(Source!BI32=3,H49+H50+H52+H53, 0)</f>
        <v>0</v>
      </c>
      <c r="Z56">
        <f>IF(Source!BI32=4,H49+H50+H52+H53, 0)</f>
        <v>0</v>
      </c>
    </row>
    <row r="57" spans="1:26" ht="42.75">
      <c r="A57" s="23" t="str">
        <f>Source!E34</f>
        <v>5</v>
      </c>
      <c r="B57" s="54" t="str">
        <f>Source!F34</f>
        <v>59-3-1</v>
      </c>
      <c r="C57" s="54" t="str">
        <f>Source!G34</f>
        <v>Разборка металлических лестничных решеток при весе одного метра решетки до 60 кг</v>
      </c>
      <c r="D57" s="37" t="str">
        <f>Source!H34</f>
        <v>100 м решетки</v>
      </c>
      <c r="E57" s="10">
        <f>Source!I34</f>
        <v>0.22</v>
      </c>
      <c r="F57" s="38">
        <f>Source!AL34+Source!AM34+Source!AO34</f>
        <v>428.59000000000003</v>
      </c>
      <c r="G57" s="39"/>
      <c r="H57" s="40"/>
      <c r="I57" s="39" t="str">
        <f>Source!BO34</f>
        <v>59-3-1</v>
      </c>
      <c r="J57" s="39"/>
      <c r="K57" s="40"/>
      <c r="L57" s="41"/>
      <c r="S57">
        <f>ROUND((Source!FX34/100)*((ROUND(Source!AF34*Source!I34, 2)+ROUND(Source!AE34*Source!I34, 2))), 2)</f>
        <v>62.79</v>
      </c>
      <c r="T57">
        <f>Source!X34</f>
        <v>2075.33</v>
      </c>
      <c r="U57">
        <f>ROUND((Source!FY34/100)*((ROUND(Source!AF34*Source!I34, 2)+ROUND(Source!AE34*Source!I34, 2))), 2)</f>
        <v>49.57</v>
      </c>
      <c r="V57">
        <f>Source!Y34</f>
        <v>1638.42</v>
      </c>
    </row>
    <row r="58" spans="1:26">
      <c r="C58" s="31" t="str">
        <f>"Объем: "&amp;Source!I34&amp;"=22/"&amp;"100"</f>
        <v>Объем: 0,22=22/100</v>
      </c>
    </row>
    <row r="59" spans="1:26" ht="14.25">
      <c r="A59" s="23"/>
      <c r="B59" s="54"/>
      <c r="C59" s="54" t="s">
        <v>502</v>
      </c>
      <c r="D59" s="37"/>
      <c r="E59" s="10"/>
      <c r="F59" s="38">
        <f>Source!AO34</f>
        <v>375.56</v>
      </c>
      <c r="G59" s="39" t="str">
        <f>Source!DG34</f>
        <v/>
      </c>
      <c r="H59" s="40">
        <f>ROUND(Source!AF34*Source!I34, 2)</f>
        <v>82.62</v>
      </c>
      <c r="I59" s="39"/>
      <c r="J59" s="39">
        <f>IF(Source!BA34&lt;&gt; 0, Source!BA34, 1)</f>
        <v>33.049999999999997</v>
      </c>
      <c r="K59" s="40">
        <f>Source!S34</f>
        <v>2730.7</v>
      </c>
      <c r="L59" s="41"/>
      <c r="R59">
        <f>H59</f>
        <v>82.62</v>
      </c>
    </row>
    <row r="60" spans="1:26" ht="14.25">
      <c r="A60" s="23"/>
      <c r="B60" s="54"/>
      <c r="C60" s="54" t="s">
        <v>70</v>
      </c>
      <c r="D60" s="37"/>
      <c r="E60" s="10"/>
      <c r="F60" s="38">
        <f>Source!AM34</f>
        <v>5.64</v>
      </c>
      <c r="G60" s="39" t="str">
        <f>Source!DE34</f>
        <v/>
      </c>
      <c r="H60" s="40">
        <f>ROUND(Source!AD34*Source!I34, 2)</f>
        <v>1.24</v>
      </c>
      <c r="I60" s="39"/>
      <c r="J60" s="39">
        <f>IF(Source!BB34&lt;&gt; 0, Source!BB34, 1)</f>
        <v>7.12</v>
      </c>
      <c r="K60" s="40">
        <f>Source!Q34</f>
        <v>8.83</v>
      </c>
      <c r="L60" s="41"/>
    </row>
    <row r="61" spans="1:26" ht="14.25">
      <c r="A61" s="23"/>
      <c r="B61" s="54"/>
      <c r="C61" s="54" t="s">
        <v>509</v>
      </c>
      <c r="D61" s="37"/>
      <c r="E61" s="10"/>
      <c r="F61" s="38">
        <f>Source!AL34</f>
        <v>47.39</v>
      </c>
      <c r="G61" s="39" t="str">
        <f>Source!DD34</f>
        <v/>
      </c>
      <c r="H61" s="40">
        <f>ROUND(Source!AC34*Source!I34, 2)</f>
        <v>10.43</v>
      </c>
      <c r="I61" s="39"/>
      <c r="J61" s="39">
        <f>IF(Source!BC34&lt;&gt; 0, Source!BC34, 1)</f>
        <v>11.26</v>
      </c>
      <c r="K61" s="40">
        <f>Source!P34</f>
        <v>117.39</v>
      </c>
      <c r="L61" s="41"/>
    </row>
    <row r="62" spans="1:26" ht="14.25">
      <c r="A62" s="23"/>
      <c r="B62" s="54"/>
      <c r="C62" s="54" t="s">
        <v>504</v>
      </c>
      <c r="D62" s="37" t="s">
        <v>505</v>
      </c>
      <c r="E62" s="10">
        <f>Source!BZ34</f>
        <v>76</v>
      </c>
      <c r="F62" s="57"/>
      <c r="G62" s="39"/>
      <c r="H62" s="40">
        <f>SUM(S57:S65)</f>
        <v>62.79</v>
      </c>
      <c r="I62" s="43"/>
      <c r="J62" s="36">
        <f>Source!AT34</f>
        <v>76</v>
      </c>
      <c r="K62" s="40">
        <f>SUM(T57:T65)</f>
        <v>2075.33</v>
      </c>
      <c r="L62" s="41"/>
    </row>
    <row r="63" spans="1:26" ht="14.25">
      <c r="A63" s="23"/>
      <c r="B63" s="54"/>
      <c r="C63" s="54" t="s">
        <v>506</v>
      </c>
      <c r="D63" s="37" t="s">
        <v>505</v>
      </c>
      <c r="E63" s="10">
        <f>Source!CA34</f>
        <v>60</v>
      </c>
      <c r="F63" s="57"/>
      <c r="G63" s="39"/>
      <c r="H63" s="40">
        <f>SUM(U57:U65)</f>
        <v>49.57</v>
      </c>
      <c r="I63" s="43"/>
      <c r="J63" s="36">
        <f>Source!AU34</f>
        <v>60</v>
      </c>
      <c r="K63" s="40">
        <f>SUM(V57:V65)</f>
        <v>1638.42</v>
      </c>
      <c r="L63" s="41"/>
    </row>
    <row r="64" spans="1:26" ht="14.25">
      <c r="A64" s="23"/>
      <c r="B64" s="54"/>
      <c r="C64" s="54" t="s">
        <v>507</v>
      </c>
      <c r="D64" s="37" t="s">
        <v>508</v>
      </c>
      <c r="E64" s="10">
        <f>Source!AQ34</f>
        <v>47.3</v>
      </c>
      <c r="F64" s="38"/>
      <c r="G64" s="39" t="str">
        <f>Source!DI34</f>
        <v/>
      </c>
      <c r="H64" s="40"/>
      <c r="I64" s="39"/>
      <c r="J64" s="39"/>
      <c r="K64" s="40"/>
      <c r="L64" s="44">
        <f>Source!U34</f>
        <v>10.405999999999999</v>
      </c>
    </row>
    <row r="65" spans="1:26" ht="14.25">
      <c r="A65" s="55" t="str">
        <f>Source!E35</f>
        <v>5,1</v>
      </c>
      <c r="B65" s="56" t="str">
        <f>Source!F35</f>
        <v>509-9900</v>
      </c>
      <c r="C65" s="56" t="str">
        <f>Source!G35</f>
        <v>Строительный мусор</v>
      </c>
      <c r="D65" s="45" t="str">
        <f>Source!H35</f>
        <v>т</v>
      </c>
      <c r="E65" s="46">
        <f>Source!I35</f>
        <v>0.55000000000000004</v>
      </c>
      <c r="F65" s="47">
        <f>Source!AL35+Source!AM35+Source!AO35</f>
        <v>0</v>
      </c>
      <c r="G65" s="48" t="s">
        <v>3</v>
      </c>
      <c r="H65" s="49">
        <f>ROUND(Source!AC35*Source!I35, 2)+ROUND(Source!AD35*Source!I35, 2)+ROUND(Source!AF35*Source!I35, 2)</f>
        <v>0</v>
      </c>
      <c r="I65" s="50"/>
      <c r="J65" s="50">
        <f>IF(Source!BC35&lt;&gt; 0, Source!BC35, 1)</f>
        <v>1</v>
      </c>
      <c r="K65" s="49">
        <f>Source!O35</f>
        <v>0</v>
      </c>
      <c r="L65" s="51"/>
      <c r="S65">
        <f>ROUND((Source!FX35/100)*((ROUND(Source!AF35*Source!I35, 2)+ROUND(Source!AE35*Source!I35, 2))), 2)</f>
        <v>0</v>
      </c>
      <c r="T65">
        <f>Source!X35</f>
        <v>0</v>
      </c>
      <c r="U65">
        <f>ROUND((Source!FY35/100)*((ROUND(Source!AF35*Source!I35, 2)+ROUND(Source!AE35*Source!I35, 2))), 2)</f>
        <v>0</v>
      </c>
      <c r="V65">
        <f>Source!Y35</f>
        <v>0</v>
      </c>
      <c r="W65">
        <f>IF(Source!BI35&lt;=1,H65, 0)</f>
        <v>0</v>
      </c>
      <c r="X65">
        <f>IF(Source!BI35=2,H65, 0)</f>
        <v>0</v>
      </c>
      <c r="Y65">
        <f>IF(Source!BI35=3,H65, 0)</f>
        <v>0</v>
      </c>
      <c r="Z65">
        <f>IF(Source!BI35=4,H65, 0)</f>
        <v>0</v>
      </c>
    </row>
    <row r="66" spans="1:26" ht="15">
      <c r="G66" s="91">
        <f>H59+H60+H61+H62+H63+SUM(H65:H65)</f>
        <v>206.64999999999998</v>
      </c>
      <c r="H66" s="91"/>
      <c r="J66" s="91">
        <f>K59+K60+K61+K62+K63+SUM(K65:K65)</f>
        <v>6570.67</v>
      </c>
      <c r="K66" s="91"/>
      <c r="L66" s="52">
        <f>Source!U34</f>
        <v>10.405999999999999</v>
      </c>
      <c r="O66" s="32">
        <f>G66</f>
        <v>206.64999999999998</v>
      </c>
      <c r="P66" s="32">
        <f>J66</f>
        <v>6570.67</v>
      </c>
      <c r="Q66" s="32">
        <f>L66</f>
        <v>10.405999999999999</v>
      </c>
      <c r="W66">
        <f>IF(Source!BI34&lt;=1,H59+H60+H61+H62+H63, 0)</f>
        <v>206.64999999999998</v>
      </c>
      <c r="X66">
        <f>IF(Source!BI34=2,H59+H60+H61+H62+H63, 0)</f>
        <v>0</v>
      </c>
      <c r="Y66">
        <f>IF(Source!BI34=3,H59+H60+H61+H62+H63, 0)</f>
        <v>0</v>
      </c>
      <c r="Z66">
        <f>IF(Source!BI34=4,H59+H60+H61+H62+H63, 0)</f>
        <v>0</v>
      </c>
    </row>
    <row r="67" spans="1:26" ht="28.5">
      <c r="A67" s="23" t="str">
        <f>Source!E36</f>
        <v>6</v>
      </c>
      <c r="B67" s="54" t="str">
        <f>Source!F36</f>
        <v>67-4-5</v>
      </c>
      <c r="C67" s="54" t="str">
        <f>Source!G36</f>
        <v>Демонтаж светильников для люминесцентных ламп</v>
      </c>
      <c r="D67" s="37" t="str">
        <f>Source!H36</f>
        <v>100 шт.</v>
      </c>
      <c r="E67" s="10">
        <f>Source!I36</f>
        <v>0.02</v>
      </c>
      <c r="F67" s="38">
        <f>Source!AL36+Source!AM36+Source!AO36</f>
        <v>145.97999999999999</v>
      </c>
      <c r="G67" s="39"/>
      <c r="H67" s="40"/>
      <c r="I67" s="39" t="str">
        <f>Source!BO36</f>
        <v>67-4-5</v>
      </c>
      <c r="J67" s="39"/>
      <c r="K67" s="40"/>
      <c r="L67" s="41"/>
      <c r="S67">
        <f>ROUND((Source!FX36/100)*((ROUND(Source!AF36*Source!I36, 2)+ROUND(Source!AE36*Source!I36, 2))), 2)</f>
        <v>2.46</v>
      </c>
      <c r="T67">
        <f>Source!X36</f>
        <v>81.22</v>
      </c>
      <c r="U67">
        <f>ROUND((Source!FY36/100)*((ROUND(Source!AF36*Source!I36, 2)+ROUND(Source!AE36*Source!I36, 2))), 2)</f>
        <v>1.88</v>
      </c>
      <c r="V67">
        <f>Source!Y36</f>
        <v>62.11</v>
      </c>
    </row>
    <row r="68" spans="1:26">
      <c r="C68" s="31" t="str">
        <f>"Объем: "&amp;Source!I36&amp;"=2/"&amp;"100"</f>
        <v>Объем: 0,02=2/100</v>
      </c>
    </row>
    <row r="69" spans="1:26" ht="14.25">
      <c r="A69" s="23"/>
      <c r="B69" s="54"/>
      <c r="C69" s="54" t="s">
        <v>502</v>
      </c>
      <c r="D69" s="37"/>
      <c r="E69" s="10"/>
      <c r="F69" s="38">
        <f>Source!AO36</f>
        <v>143.47999999999999</v>
      </c>
      <c r="G69" s="39" t="str">
        <f>Source!DG36</f>
        <v/>
      </c>
      <c r="H69" s="40">
        <f>ROUND(Source!AF36*Source!I36, 2)</f>
        <v>2.87</v>
      </c>
      <c r="I69" s="39"/>
      <c r="J69" s="39">
        <f>IF(Source!BA36&lt;&gt; 0, Source!BA36, 1)</f>
        <v>33.049999999999997</v>
      </c>
      <c r="K69" s="40">
        <f>Source!S36</f>
        <v>94.84</v>
      </c>
      <c r="L69" s="41"/>
      <c r="R69">
        <f>H69</f>
        <v>2.87</v>
      </c>
    </row>
    <row r="70" spans="1:26" ht="14.25">
      <c r="A70" s="23"/>
      <c r="B70" s="54"/>
      <c r="C70" s="54" t="s">
        <v>70</v>
      </c>
      <c r="D70" s="37"/>
      <c r="E70" s="10"/>
      <c r="F70" s="38">
        <f>Source!AM36</f>
        <v>2.5</v>
      </c>
      <c r="G70" s="39" t="str">
        <f>Source!DE36</f>
        <v/>
      </c>
      <c r="H70" s="40">
        <f>ROUND(Source!AD36*Source!I36, 2)</f>
        <v>0.05</v>
      </c>
      <c r="I70" s="39"/>
      <c r="J70" s="39">
        <f>IF(Source!BB36&lt;&gt; 0, Source!BB36, 1)</f>
        <v>14.94</v>
      </c>
      <c r="K70" s="40">
        <f>Source!Q36</f>
        <v>0.75</v>
      </c>
      <c r="L70" s="41"/>
    </row>
    <row r="71" spans="1:26" ht="14.25">
      <c r="A71" s="23"/>
      <c r="B71" s="54"/>
      <c r="C71" s="54" t="s">
        <v>503</v>
      </c>
      <c r="D71" s="37"/>
      <c r="E71" s="10"/>
      <c r="F71" s="38">
        <f>Source!AN36</f>
        <v>1.08</v>
      </c>
      <c r="G71" s="39" t="str">
        <f>Source!DF36</f>
        <v/>
      </c>
      <c r="H71" s="42">
        <f>ROUND(Source!AE36*Source!I36, 2)</f>
        <v>0.02</v>
      </c>
      <c r="I71" s="39"/>
      <c r="J71" s="39">
        <f>IF(Source!BS36&lt;&gt; 0, Source!BS36, 1)</f>
        <v>33.049999999999997</v>
      </c>
      <c r="K71" s="42">
        <f>Source!R36</f>
        <v>0.71</v>
      </c>
      <c r="L71" s="41"/>
      <c r="R71">
        <f>H71</f>
        <v>0.02</v>
      </c>
    </row>
    <row r="72" spans="1:26" ht="14.25">
      <c r="A72" s="23"/>
      <c r="B72" s="54"/>
      <c r="C72" s="54" t="s">
        <v>504</v>
      </c>
      <c r="D72" s="37" t="s">
        <v>505</v>
      </c>
      <c r="E72" s="10">
        <f>Source!BZ36</f>
        <v>85</v>
      </c>
      <c r="F72" s="57"/>
      <c r="G72" s="39"/>
      <c r="H72" s="40">
        <f>SUM(S67:S74)</f>
        <v>2.46</v>
      </c>
      <c r="I72" s="43"/>
      <c r="J72" s="36">
        <f>Source!AT36</f>
        <v>85</v>
      </c>
      <c r="K72" s="40">
        <f>SUM(T67:T74)</f>
        <v>81.22</v>
      </c>
      <c r="L72" s="41"/>
    </row>
    <row r="73" spans="1:26" ht="14.25">
      <c r="A73" s="23"/>
      <c r="B73" s="54"/>
      <c r="C73" s="54" t="s">
        <v>506</v>
      </c>
      <c r="D73" s="37" t="s">
        <v>505</v>
      </c>
      <c r="E73" s="10">
        <f>Source!CA36</f>
        <v>65</v>
      </c>
      <c r="F73" s="57"/>
      <c r="G73" s="39"/>
      <c r="H73" s="40">
        <f>SUM(U67:U74)</f>
        <v>1.88</v>
      </c>
      <c r="I73" s="43"/>
      <c r="J73" s="36">
        <f>Source!AU36</f>
        <v>65</v>
      </c>
      <c r="K73" s="40">
        <f>SUM(V67:V74)</f>
        <v>62.11</v>
      </c>
      <c r="L73" s="41"/>
    </row>
    <row r="74" spans="1:26" ht="14.25">
      <c r="A74" s="55"/>
      <c r="B74" s="56"/>
      <c r="C74" s="56" t="s">
        <v>507</v>
      </c>
      <c r="D74" s="45" t="s">
        <v>508</v>
      </c>
      <c r="E74" s="46">
        <f>Source!AQ36</f>
        <v>17.89</v>
      </c>
      <c r="F74" s="47"/>
      <c r="G74" s="50" t="str">
        <f>Source!DI36</f>
        <v/>
      </c>
      <c r="H74" s="49"/>
      <c r="I74" s="50"/>
      <c r="J74" s="50"/>
      <c r="K74" s="49"/>
      <c r="L74" s="53">
        <f>Source!U36</f>
        <v>0.35780000000000001</v>
      </c>
    </row>
    <row r="75" spans="1:26" ht="15">
      <c r="G75" s="91">
        <f>H69+H70+H72+H73</f>
        <v>7.26</v>
      </c>
      <c r="H75" s="91"/>
      <c r="J75" s="91">
        <f>K69+K70+K72+K73</f>
        <v>238.92000000000002</v>
      </c>
      <c r="K75" s="91"/>
      <c r="L75" s="52">
        <f>Source!U36</f>
        <v>0.35780000000000001</v>
      </c>
      <c r="O75" s="32">
        <f>G75</f>
        <v>7.26</v>
      </c>
      <c r="P75" s="32">
        <f>J75</f>
        <v>238.92000000000002</v>
      </c>
      <c r="Q75" s="32">
        <f>L75</f>
        <v>0.35780000000000001</v>
      </c>
      <c r="W75">
        <f>IF(Source!BI36&lt;=1,H69+H70+H72+H73, 0)</f>
        <v>7.26</v>
      </c>
      <c r="X75">
        <f>IF(Source!BI36=2,H69+H70+H72+H73, 0)</f>
        <v>0</v>
      </c>
      <c r="Y75">
        <f>IF(Source!BI36=3,H69+H70+H72+H73, 0)</f>
        <v>0</v>
      </c>
      <c r="Z75">
        <f>IF(Source!BI36=4,H69+H70+H72+H73, 0)</f>
        <v>0</v>
      </c>
    </row>
    <row r="76" spans="1:26" ht="14.25">
      <c r="A76" s="23" t="str">
        <f>Source!E37</f>
        <v>7</v>
      </c>
      <c r="B76" s="54" t="str">
        <f>Source!F37</f>
        <v>67-4-1</v>
      </c>
      <c r="C76" s="54" t="str">
        <f>Source!G37</f>
        <v>Демонтаж выключателей, розеток</v>
      </c>
      <c r="D76" s="37" t="str">
        <f>Source!H37</f>
        <v>100 шт.</v>
      </c>
      <c r="E76" s="10">
        <f>Source!I37</f>
        <v>0.02</v>
      </c>
      <c r="F76" s="38">
        <f>Source!AL37+Source!AM37+Source!AO37</f>
        <v>45.55</v>
      </c>
      <c r="G76" s="39"/>
      <c r="H76" s="40"/>
      <c r="I76" s="39" t="str">
        <f>Source!BO37</f>
        <v>67-4-1</v>
      </c>
      <c r="J76" s="39"/>
      <c r="K76" s="40"/>
      <c r="L76" s="41"/>
      <c r="S76">
        <f>ROUND((Source!FX37/100)*((ROUND(Source!AF37*Source!I37, 2)+ROUND(Source!AE37*Source!I37, 2))), 2)</f>
        <v>0.77</v>
      </c>
      <c r="T76">
        <f>Source!X37</f>
        <v>25.59</v>
      </c>
      <c r="U76">
        <f>ROUND((Source!FY37/100)*((ROUND(Source!AF37*Source!I37, 2)+ROUND(Source!AE37*Source!I37, 2))), 2)</f>
        <v>0.59</v>
      </c>
      <c r="V76">
        <f>Source!Y37</f>
        <v>19.57</v>
      </c>
    </row>
    <row r="77" spans="1:26">
      <c r="C77" s="31" t="str">
        <f>"Объем: "&amp;Source!I37&amp;"=2/"&amp;"100"</f>
        <v>Объем: 0,02=2/100</v>
      </c>
    </row>
    <row r="78" spans="1:26" ht="14.25">
      <c r="A78" s="23"/>
      <c r="B78" s="54"/>
      <c r="C78" s="54" t="s">
        <v>502</v>
      </c>
      <c r="D78" s="37"/>
      <c r="E78" s="10"/>
      <c r="F78" s="38">
        <f>Source!AO37</f>
        <v>45.55</v>
      </c>
      <c r="G78" s="39" t="str">
        <f>Source!DG37</f>
        <v/>
      </c>
      <c r="H78" s="40">
        <f>ROUND(Source!AF37*Source!I37, 2)</f>
        <v>0.91</v>
      </c>
      <c r="I78" s="39"/>
      <c r="J78" s="39">
        <f>IF(Source!BA37&lt;&gt; 0, Source!BA37, 1)</f>
        <v>33.049999999999997</v>
      </c>
      <c r="K78" s="40">
        <f>Source!S37</f>
        <v>30.11</v>
      </c>
      <c r="L78" s="41"/>
      <c r="R78">
        <f>H78</f>
        <v>0.91</v>
      </c>
    </row>
    <row r="79" spans="1:26" ht="14.25">
      <c r="A79" s="23"/>
      <c r="B79" s="54"/>
      <c r="C79" s="54" t="s">
        <v>504</v>
      </c>
      <c r="D79" s="37" t="s">
        <v>505</v>
      </c>
      <c r="E79" s="10">
        <f>Source!BZ37</f>
        <v>85</v>
      </c>
      <c r="F79" s="57"/>
      <c r="G79" s="39"/>
      <c r="H79" s="40">
        <f>SUM(S76:S81)</f>
        <v>0.77</v>
      </c>
      <c r="I79" s="43"/>
      <c r="J79" s="36">
        <f>Source!AT37</f>
        <v>85</v>
      </c>
      <c r="K79" s="40">
        <f>SUM(T76:T81)</f>
        <v>25.59</v>
      </c>
      <c r="L79" s="41"/>
    </row>
    <row r="80" spans="1:26" ht="14.25">
      <c r="A80" s="23"/>
      <c r="B80" s="54"/>
      <c r="C80" s="54" t="s">
        <v>506</v>
      </c>
      <c r="D80" s="37" t="s">
        <v>505</v>
      </c>
      <c r="E80" s="10">
        <f>Source!CA37</f>
        <v>65</v>
      </c>
      <c r="F80" s="57"/>
      <c r="G80" s="39"/>
      <c r="H80" s="40">
        <f>SUM(U76:U81)</f>
        <v>0.59</v>
      </c>
      <c r="I80" s="43"/>
      <c r="J80" s="36">
        <f>Source!AU37</f>
        <v>65</v>
      </c>
      <c r="K80" s="40">
        <f>SUM(V76:V81)</f>
        <v>19.57</v>
      </c>
      <c r="L80" s="41"/>
    </row>
    <row r="81" spans="1:26" ht="14.25">
      <c r="A81" s="55"/>
      <c r="B81" s="56"/>
      <c r="C81" s="56" t="s">
        <v>507</v>
      </c>
      <c r="D81" s="45" t="s">
        <v>508</v>
      </c>
      <c r="E81" s="46">
        <f>Source!AQ37</f>
        <v>5.84</v>
      </c>
      <c r="F81" s="47"/>
      <c r="G81" s="50" t="str">
        <f>Source!DI37</f>
        <v/>
      </c>
      <c r="H81" s="49"/>
      <c r="I81" s="50"/>
      <c r="J81" s="50"/>
      <c r="K81" s="49"/>
      <c r="L81" s="53">
        <f>Source!U37</f>
        <v>0.1168</v>
      </c>
    </row>
    <row r="82" spans="1:26" ht="15">
      <c r="G82" s="91">
        <f>H78+H79+H80</f>
        <v>2.27</v>
      </c>
      <c r="H82" s="91"/>
      <c r="J82" s="91">
        <f>K78+K79+K80</f>
        <v>75.27000000000001</v>
      </c>
      <c r="K82" s="91"/>
      <c r="L82" s="52">
        <f>Source!U37</f>
        <v>0.1168</v>
      </c>
      <c r="O82" s="32">
        <f>G82</f>
        <v>2.27</v>
      </c>
      <c r="P82" s="32">
        <f>J82</f>
        <v>75.27000000000001</v>
      </c>
      <c r="Q82" s="32">
        <f>L82</f>
        <v>0.1168</v>
      </c>
      <c r="W82">
        <f>IF(Source!BI37&lt;=1,H78+H79+H80, 0)</f>
        <v>2.27</v>
      </c>
      <c r="X82">
        <f>IF(Source!BI37=2,H78+H79+H80, 0)</f>
        <v>0</v>
      </c>
      <c r="Y82">
        <f>IF(Source!BI37=3,H78+H79+H80, 0)</f>
        <v>0</v>
      </c>
      <c r="Z82">
        <f>IF(Source!BI37=4,H78+H79+H80, 0)</f>
        <v>0</v>
      </c>
    </row>
    <row r="84" spans="1:26" ht="15">
      <c r="A84" s="92" t="str">
        <f>CONCATENATE("Итого по подразделу: ",IF(Source!G39&lt;&gt;"Новый подраздел", Source!G39, ""))</f>
        <v>Итого по подразделу: демонтаж</v>
      </c>
      <c r="B84" s="92"/>
      <c r="C84" s="92"/>
      <c r="D84" s="92"/>
      <c r="E84" s="92"/>
      <c r="F84" s="92"/>
      <c r="G84" s="90">
        <f>SUM(O46:O83)</f>
        <v>604.14</v>
      </c>
      <c r="H84" s="90"/>
      <c r="I84" s="35"/>
      <c r="J84" s="90">
        <f>SUM(P46:P83)</f>
        <v>19503.009999999998</v>
      </c>
      <c r="K84" s="90"/>
      <c r="L84" s="52">
        <f>SUM(Q46:Q83)</f>
        <v>28.348100000000002</v>
      </c>
    </row>
    <row r="88" spans="1:26" ht="15">
      <c r="A88" s="92" t="str">
        <f>CONCATENATE("Итого по разделу: ",IF(Source!G69&lt;&gt;"Новый раздел", Source!G69, ""))</f>
        <v>Итого по разделу: Лстничная клетка</v>
      </c>
      <c r="B88" s="92"/>
      <c r="C88" s="92"/>
      <c r="D88" s="92"/>
      <c r="E88" s="92"/>
      <c r="F88" s="92"/>
      <c r="G88" s="90">
        <f>SUM(O44:O87)</f>
        <v>604.14</v>
      </c>
      <c r="H88" s="90"/>
      <c r="I88" s="35"/>
      <c r="J88" s="90">
        <f>SUM(P44:P87)</f>
        <v>19503.009999999998</v>
      </c>
      <c r="K88" s="90"/>
      <c r="L88" s="52">
        <f>SUM(Q44:Q87)</f>
        <v>28.348100000000002</v>
      </c>
    </row>
    <row r="92" spans="1:26" ht="16.5">
      <c r="A92" s="89" t="str">
        <f>CONCATENATE("Раздел: ",IF(Source!G99&lt;&gt;"Новый раздел", Source!G99, ""))</f>
        <v>Раздел: пол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</row>
    <row r="93" spans="1:26" ht="28.5">
      <c r="A93" s="23" t="str">
        <f>Source!E103</f>
        <v>1</v>
      </c>
      <c r="B93" s="54" t="str">
        <f>Source!F103</f>
        <v>11-01-011-1</v>
      </c>
      <c r="C93" s="54" t="str">
        <f>Source!G103</f>
        <v>Устройство стяжек цементных толщиной 20 мм</v>
      </c>
      <c r="D93" s="37" t="str">
        <f>Source!H103</f>
        <v>100 м2 стяжки</v>
      </c>
      <c r="E93" s="10">
        <f>Source!I103</f>
        <v>0.25</v>
      </c>
      <c r="F93" s="38">
        <f>Source!AL103+Source!AM103+Source!AO103</f>
        <v>1485.02</v>
      </c>
      <c r="G93" s="39"/>
      <c r="H93" s="40"/>
      <c r="I93" s="39" t="str">
        <f>Source!BO103</f>
        <v>11-01-011-1</v>
      </c>
      <c r="J93" s="39"/>
      <c r="K93" s="40"/>
      <c r="L93" s="41"/>
      <c r="S93">
        <f>ROUND((Source!FX103/100)*((ROUND(Source!AF103*Source!I103, 2)+ROUND(Source!AE103*Source!I103, 2))), 2)</f>
        <v>91.57</v>
      </c>
      <c r="T93">
        <f>Source!X103</f>
        <v>3034.44</v>
      </c>
      <c r="U93">
        <f>ROUND((Source!FY103/100)*((ROUND(Source!AF103*Source!I103, 2)+ROUND(Source!AE103*Source!I103, 2))), 2)</f>
        <v>52.73</v>
      </c>
      <c r="V93">
        <f>Source!Y103</f>
        <v>1749.59</v>
      </c>
    </row>
    <row r="94" spans="1:26">
      <c r="C94" s="31" t="str">
        <f>"Объем: "&amp;Source!I103&amp;"=25/"&amp;"100"</f>
        <v>Объем: 0,25=25/100</v>
      </c>
    </row>
    <row r="95" spans="1:26" ht="14.25">
      <c r="A95" s="23"/>
      <c r="B95" s="54"/>
      <c r="C95" s="54" t="s">
        <v>502</v>
      </c>
      <c r="D95" s="37"/>
      <c r="E95" s="10"/>
      <c r="F95" s="38">
        <f>Source!AO103</f>
        <v>313.70999999999998</v>
      </c>
      <c r="G95" s="39" t="str">
        <f>Source!DG103</f>
        <v/>
      </c>
      <c r="H95" s="40">
        <f>ROUND(Source!AF103*Source!I103, 2)</f>
        <v>78.430000000000007</v>
      </c>
      <c r="I95" s="39"/>
      <c r="J95" s="39">
        <f>IF(Source!BA103&lt;&gt; 0, Source!BA103, 1)</f>
        <v>33.049999999999997</v>
      </c>
      <c r="K95" s="40">
        <f>Source!S103</f>
        <v>2592.0300000000002</v>
      </c>
      <c r="L95" s="41"/>
      <c r="R95">
        <f>H95</f>
        <v>78.430000000000007</v>
      </c>
    </row>
    <row r="96" spans="1:26" ht="14.25">
      <c r="A96" s="23"/>
      <c r="B96" s="54"/>
      <c r="C96" s="54" t="s">
        <v>70</v>
      </c>
      <c r="D96" s="37"/>
      <c r="E96" s="10"/>
      <c r="F96" s="38">
        <f>Source!AM103</f>
        <v>44.24</v>
      </c>
      <c r="G96" s="39" t="str">
        <f>Source!DE103</f>
        <v/>
      </c>
      <c r="H96" s="40">
        <f>ROUND(Source!AD103*Source!I103, 2)</f>
        <v>11.06</v>
      </c>
      <c r="I96" s="39"/>
      <c r="J96" s="39">
        <f>IF(Source!BB103&lt;&gt; 0, Source!BB103, 1)</f>
        <v>14.24</v>
      </c>
      <c r="K96" s="40">
        <f>Source!Q103</f>
        <v>157.49</v>
      </c>
      <c r="L96" s="41"/>
    </row>
    <row r="97" spans="1:26" ht="14.25">
      <c r="A97" s="23"/>
      <c r="B97" s="54"/>
      <c r="C97" s="54" t="s">
        <v>503</v>
      </c>
      <c r="D97" s="37"/>
      <c r="E97" s="10"/>
      <c r="F97" s="38">
        <f>Source!AN103</f>
        <v>17.149999999999999</v>
      </c>
      <c r="G97" s="39" t="str">
        <f>Source!DF103</f>
        <v/>
      </c>
      <c r="H97" s="42">
        <f>ROUND(Source!AE103*Source!I103, 2)</f>
        <v>4.29</v>
      </c>
      <c r="I97" s="39"/>
      <c r="J97" s="39">
        <f>IF(Source!BS103&lt;&gt; 0, Source!BS103, 1)</f>
        <v>33.049999999999997</v>
      </c>
      <c r="K97" s="42">
        <f>Source!R103</f>
        <v>141.69999999999999</v>
      </c>
      <c r="L97" s="41"/>
      <c r="R97">
        <f>H97</f>
        <v>4.29</v>
      </c>
    </row>
    <row r="98" spans="1:26" ht="14.25">
      <c r="A98" s="23"/>
      <c r="B98" s="54"/>
      <c r="C98" s="54" t="s">
        <v>509</v>
      </c>
      <c r="D98" s="37"/>
      <c r="E98" s="10"/>
      <c r="F98" s="38">
        <f>Source!AL103</f>
        <v>1127.07</v>
      </c>
      <c r="G98" s="39" t="str">
        <f>Source!DD103</f>
        <v/>
      </c>
      <c r="H98" s="40">
        <f>ROUND(Source!AC103*Source!I103, 2)</f>
        <v>281.77</v>
      </c>
      <c r="I98" s="39"/>
      <c r="J98" s="39">
        <f>IF(Source!BC103&lt;&gt; 0, Source!BC103, 1)</f>
        <v>6.23</v>
      </c>
      <c r="K98" s="40">
        <f>Source!P103</f>
        <v>1755.41</v>
      </c>
      <c r="L98" s="41"/>
    </row>
    <row r="99" spans="1:26" ht="14.25">
      <c r="A99" s="23"/>
      <c r="B99" s="54"/>
      <c r="C99" s="54" t="s">
        <v>504</v>
      </c>
      <c r="D99" s="37" t="s">
        <v>505</v>
      </c>
      <c r="E99" s="10">
        <f>Source!BZ103</f>
        <v>123</v>
      </c>
      <c r="F99" s="72" t="str">
        <f>CONCATENATE(" )", Source!DL103, Source!FT103, "=", Source!FX103)</f>
        <v xml:space="preserve"> )*0,9=110,7</v>
      </c>
      <c r="G99" s="81"/>
      <c r="H99" s="40">
        <f>SUM(S93:S101)</f>
        <v>91.57</v>
      </c>
      <c r="I99" s="43"/>
      <c r="J99" s="36">
        <f>Source!AT103</f>
        <v>111</v>
      </c>
      <c r="K99" s="40">
        <f>SUM(T93:T101)</f>
        <v>3034.44</v>
      </c>
      <c r="L99" s="41"/>
    </row>
    <row r="100" spans="1:26" ht="14.25">
      <c r="A100" s="23"/>
      <c r="B100" s="54"/>
      <c r="C100" s="54" t="s">
        <v>506</v>
      </c>
      <c r="D100" s="37" t="s">
        <v>505</v>
      </c>
      <c r="E100" s="10">
        <f>Source!CA103</f>
        <v>75</v>
      </c>
      <c r="F100" s="72" t="str">
        <f>CONCATENATE(" )", Source!DM103, Source!FU103, "=", Source!FY103)</f>
        <v xml:space="preserve"> )*0,85=63,75</v>
      </c>
      <c r="G100" s="81"/>
      <c r="H100" s="40">
        <f>SUM(U93:U101)</f>
        <v>52.73</v>
      </c>
      <c r="I100" s="43"/>
      <c r="J100" s="36">
        <f>Source!AU103</f>
        <v>64</v>
      </c>
      <c r="K100" s="40">
        <f>SUM(V93:V101)</f>
        <v>1749.59</v>
      </c>
      <c r="L100" s="41"/>
    </row>
    <row r="101" spans="1:26" ht="14.25">
      <c r="A101" s="55"/>
      <c r="B101" s="56"/>
      <c r="C101" s="56" t="s">
        <v>507</v>
      </c>
      <c r="D101" s="45" t="s">
        <v>508</v>
      </c>
      <c r="E101" s="46">
        <f>Source!AQ103</f>
        <v>39.51</v>
      </c>
      <c r="F101" s="47"/>
      <c r="G101" s="50" t="str">
        <f>Source!DI103</f>
        <v/>
      </c>
      <c r="H101" s="49"/>
      <c r="I101" s="50"/>
      <c r="J101" s="50"/>
      <c r="K101" s="49"/>
      <c r="L101" s="53">
        <f>Source!U103</f>
        <v>9.8774999999999995</v>
      </c>
    </row>
    <row r="102" spans="1:26" ht="15">
      <c r="G102" s="91">
        <f>H95+H96+H98+H99+H100</f>
        <v>515.55999999999995</v>
      </c>
      <c r="H102" s="91"/>
      <c r="J102" s="91">
        <f>K95+K96+K98+K99+K100</f>
        <v>9288.9600000000009</v>
      </c>
      <c r="K102" s="91"/>
      <c r="L102" s="52">
        <f>Source!U103</f>
        <v>9.8774999999999995</v>
      </c>
      <c r="O102" s="32">
        <f>G102</f>
        <v>515.55999999999995</v>
      </c>
      <c r="P102" s="32">
        <f>J102</f>
        <v>9288.9600000000009</v>
      </c>
      <c r="Q102" s="32">
        <f>L102</f>
        <v>9.8774999999999995</v>
      </c>
      <c r="W102">
        <f>IF(Source!BI103&lt;=1,H95+H96+H98+H99+H100, 0)</f>
        <v>515.55999999999995</v>
      </c>
      <c r="X102">
        <f>IF(Source!BI103=2,H95+H96+H98+H99+H100, 0)</f>
        <v>0</v>
      </c>
      <c r="Y102">
        <f>IF(Source!BI103=3,H95+H96+H98+H99+H100, 0)</f>
        <v>0</v>
      </c>
      <c r="Z102">
        <f>IF(Source!BI103=4,H95+H96+H98+H99+H100, 0)</f>
        <v>0</v>
      </c>
    </row>
    <row r="103" spans="1:26" ht="79.5">
      <c r="A103" s="23" t="str">
        <f>Source!E104</f>
        <v>4</v>
      </c>
      <c r="B103" s="54" t="s">
        <v>510</v>
      </c>
      <c r="C103" s="54" t="str">
        <f>Source!G104</f>
        <v>Облицовка ступеней керамогранитными плитками толщиной до 15 мм</v>
      </c>
      <c r="D103" s="37" t="str">
        <f>Source!H104</f>
        <v>100 м2 поверхности облицовки</v>
      </c>
      <c r="E103" s="10">
        <f>Source!I104</f>
        <v>0.25</v>
      </c>
      <c r="F103" s="38">
        <f>Source!AL104+Source!AM104+Source!AO104</f>
        <v>21222.97</v>
      </c>
      <c r="G103" s="39"/>
      <c r="H103" s="40"/>
      <c r="I103" s="39" t="str">
        <f>Source!BO104</f>
        <v>15-01-045-1</v>
      </c>
      <c r="J103" s="39"/>
      <c r="K103" s="40"/>
      <c r="L103" s="41"/>
      <c r="S103">
        <f>ROUND((Source!FX104/100)*((ROUND(Source!AF104*Source!I104, 2)+ROUND(Source!AE104*Source!I104, 2))), 2)</f>
        <v>950.02</v>
      </c>
      <c r="T103">
        <f>Source!X104</f>
        <v>31563.93</v>
      </c>
      <c r="U103">
        <f>ROUND((Source!FY104/100)*((ROUND(Source!AF104*Source!I104, 2)+ROUND(Source!AE104*Source!I104, 2))), 2)</f>
        <v>469.98</v>
      </c>
      <c r="V103">
        <f>Source!Y104</f>
        <v>15615.84</v>
      </c>
    </row>
    <row r="104" spans="1:26">
      <c r="C104" s="31" t="str">
        <f>"Объем: "&amp;Source!I104&amp;"=25/"&amp;"100"</f>
        <v>Объем: 0,25=25/100</v>
      </c>
    </row>
    <row r="105" spans="1:26" ht="14.25">
      <c r="A105" s="23"/>
      <c r="B105" s="54"/>
      <c r="C105" s="54" t="s">
        <v>502</v>
      </c>
      <c r="D105" s="37"/>
      <c r="E105" s="10"/>
      <c r="F105" s="38">
        <f>Source!AO104</f>
        <v>3471.6</v>
      </c>
      <c r="G105" s="39" t="str">
        <f>Source!DG104</f>
        <v>)*1,15</v>
      </c>
      <c r="H105" s="40">
        <f>ROUND(Source!AF104*Source!I104, 2)</f>
        <v>998.09</v>
      </c>
      <c r="I105" s="39"/>
      <c r="J105" s="39">
        <f>IF(Source!BA104&lt;&gt; 0, Source!BA104, 1)</f>
        <v>33.049999999999997</v>
      </c>
      <c r="K105" s="40">
        <f>Source!S104</f>
        <v>32986.71</v>
      </c>
      <c r="L105" s="41"/>
      <c r="R105">
        <f>H105</f>
        <v>998.09</v>
      </c>
    </row>
    <row r="106" spans="1:26" ht="14.25">
      <c r="A106" s="23"/>
      <c r="B106" s="54"/>
      <c r="C106" s="54" t="s">
        <v>70</v>
      </c>
      <c r="D106" s="37"/>
      <c r="E106" s="10"/>
      <c r="F106" s="38">
        <f>Source!AM104</f>
        <v>72.989999999999995</v>
      </c>
      <c r="G106" s="39" t="str">
        <f>Source!DE104</f>
        <v>)*1,25</v>
      </c>
      <c r="H106" s="40">
        <f>ROUND(Source!AD104*Source!I104, 2)</f>
        <v>22.81</v>
      </c>
      <c r="I106" s="39"/>
      <c r="J106" s="39">
        <f>IF(Source!BB104&lt;&gt; 0, Source!BB104, 1)</f>
        <v>15.78</v>
      </c>
      <c r="K106" s="40">
        <f>Source!Q104</f>
        <v>359.93</v>
      </c>
      <c r="L106" s="41"/>
    </row>
    <row r="107" spans="1:26" ht="14.25">
      <c r="A107" s="23"/>
      <c r="B107" s="54"/>
      <c r="C107" s="54" t="s">
        <v>503</v>
      </c>
      <c r="D107" s="37"/>
      <c r="E107" s="10"/>
      <c r="F107" s="38">
        <f>Source!AN104</f>
        <v>23.09</v>
      </c>
      <c r="G107" s="39" t="str">
        <f>Source!DF104</f>
        <v>)*1,25</v>
      </c>
      <c r="H107" s="42">
        <f>ROUND(Source!AE104*Source!I104, 2)</f>
        <v>7.22</v>
      </c>
      <c r="I107" s="39"/>
      <c r="J107" s="39">
        <f>IF(Source!BS104&lt;&gt; 0, Source!BS104, 1)</f>
        <v>33.049999999999997</v>
      </c>
      <c r="K107" s="42">
        <f>Source!R104</f>
        <v>238.48</v>
      </c>
      <c r="L107" s="41"/>
      <c r="R107">
        <f>H107</f>
        <v>7.22</v>
      </c>
    </row>
    <row r="108" spans="1:26" ht="14.25">
      <c r="A108" s="23"/>
      <c r="B108" s="54"/>
      <c r="C108" s="54" t="s">
        <v>509</v>
      </c>
      <c r="D108" s="37"/>
      <c r="E108" s="10"/>
      <c r="F108" s="38">
        <f>Source!AL104</f>
        <v>17678.38</v>
      </c>
      <c r="G108" s="39" t="str">
        <f>Source!DD104</f>
        <v/>
      </c>
      <c r="H108" s="40">
        <f>ROUND(Source!AC104*Source!I104, 2)</f>
        <v>4419.6000000000004</v>
      </c>
      <c r="I108" s="39"/>
      <c r="J108" s="39">
        <f>IF(Source!BC104&lt;&gt; 0, Source!BC104, 1)</f>
        <v>3.65</v>
      </c>
      <c r="K108" s="40">
        <f>Source!P104</f>
        <v>16131.52</v>
      </c>
      <c r="L108" s="41"/>
    </row>
    <row r="109" spans="1:26" ht="14.25">
      <c r="A109" s="23"/>
      <c r="B109" s="54"/>
      <c r="C109" s="54" t="s">
        <v>504</v>
      </c>
      <c r="D109" s="37" t="s">
        <v>505</v>
      </c>
      <c r="E109" s="10">
        <f>Source!BZ104</f>
        <v>105</v>
      </c>
      <c r="F109" s="72" t="str">
        <f>CONCATENATE(" )", Source!DL104, Source!FT104, "=", Source!FX104)</f>
        <v xml:space="preserve"> )*0,9=94,5</v>
      </c>
      <c r="G109" s="81"/>
      <c r="H109" s="40">
        <f>SUM(S103:S111)</f>
        <v>950.02</v>
      </c>
      <c r="I109" s="43"/>
      <c r="J109" s="36">
        <f>Source!AT104</f>
        <v>95</v>
      </c>
      <c r="K109" s="40">
        <f>SUM(T103:T111)</f>
        <v>31563.93</v>
      </c>
      <c r="L109" s="41"/>
    </row>
    <row r="110" spans="1:26" ht="14.25">
      <c r="A110" s="23"/>
      <c r="B110" s="54"/>
      <c r="C110" s="54" t="s">
        <v>506</v>
      </c>
      <c r="D110" s="37" t="s">
        <v>505</v>
      </c>
      <c r="E110" s="10">
        <f>Source!CA104</f>
        <v>55</v>
      </c>
      <c r="F110" s="72" t="str">
        <f>CONCATENATE(" )", Source!DM104, Source!FU104, "=", Source!FY104)</f>
        <v xml:space="preserve"> )*0,85=46,75</v>
      </c>
      <c r="G110" s="81"/>
      <c r="H110" s="40">
        <f>SUM(U103:U111)</f>
        <v>469.98</v>
      </c>
      <c r="I110" s="43"/>
      <c r="J110" s="36">
        <f>Source!AU104</f>
        <v>47</v>
      </c>
      <c r="K110" s="40">
        <f>SUM(V103:V111)</f>
        <v>15615.84</v>
      </c>
      <c r="L110" s="41"/>
    </row>
    <row r="111" spans="1:26" ht="14.25">
      <c r="A111" s="55"/>
      <c r="B111" s="56"/>
      <c r="C111" s="56" t="s">
        <v>507</v>
      </c>
      <c r="D111" s="45" t="s">
        <v>508</v>
      </c>
      <c r="E111" s="46">
        <f>Source!AQ104</f>
        <v>378.17</v>
      </c>
      <c r="F111" s="47"/>
      <c r="G111" s="50" t="str">
        <f>Source!DI104</f>
        <v>)*1,15</v>
      </c>
      <c r="H111" s="49"/>
      <c r="I111" s="50"/>
      <c r="J111" s="50"/>
      <c r="K111" s="49"/>
      <c r="L111" s="53">
        <f>Source!U104</f>
        <v>108.72387499999999</v>
      </c>
    </row>
    <row r="112" spans="1:26" ht="15">
      <c r="G112" s="91">
        <f>H105+H106+H108+H109+H110</f>
        <v>6860.5</v>
      </c>
      <c r="H112" s="91"/>
      <c r="J112" s="91">
        <f>K105+K106+K108+K109+K110</f>
        <v>96657.93</v>
      </c>
      <c r="K112" s="91"/>
      <c r="L112" s="52">
        <f>Source!U104</f>
        <v>108.72387499999999</v>
      </c>
      <c r="O112" s="32">
        <f>G112</f>
        <v>6860.5</v>
      </c>
      <c r="P112" s="32">
        <f>J112</f>
        <v>96657.93</v>
      </c>
      <c r="Q112" s="32">
        <f>L112</f>
        <v>108.72387499999999</v>
      </c>
      <c r="W112">
        <f>IF(Source!BI104&lt;=1,H105+H106+H108+H109+H110, 0)</f>
        <v>6860.5</v>
      </c>
      <c r="X112">
        <f>IF(Source!BI104=2,H105+H106+H108+H109+H110, 0)</f>
        <v>0</v>
      </c>
      <c r="Y112">
        <f>IF(Source!BI104=3,H105+H106+H108+H109+H110, 0)</f>
        <v>0</v>
      </c>
      <c r="Z112">
        <f>IF(Source!BI104=4,H105+H106+H108+H109+H110, 0)</f>
        <v>0</v>
      </c>
    </row>
    <row r="113" spans="1:26" ht="79.5">
      <c r="A113" s="23" t="str">
        <f>Source!E105</f>
        <v>5</v>
      </c>
      <c r="B113" s="54" t="s">
        <v>511</v>
      </c>
      <c r="C113" s="54" t="str">
        <f>Source!G105</f>
        <v>Устройство покрытий из керамогранитных плиток размером 30х30 см</v>
      </c>
      <c r="D113" s="37" t="str">
        <f>Source!H105</f>
        <v>100 м2</v>
      </c>
      <c r="E113" s="10">
        <f>Source!I105</f>
        <v>0.25</v>
      </c>
      <c r="F113" s="38">
        <f>Source!AL105+Source!AM105+Source!AO105</f>
        <v>9873.0199999999986</v>
      </c>
      <c r="G113" s="39"/>
      <c r="H113" s="40"/>
      <c r="I113" s="39" t="str">
        <f>Source!BO105</f>
        <v>11-01-300-1</v>
      </c>
      <c r="J113" s="39"/>
      <c r="K113" s="40"/>
      <c r="L113" s="41"/>
      <c r="S113">
        <f>ROUND((Source!FX105/100)*((ROUND(Source!AF105*Source!I105, 2)+ROUND(Source!AE105*Source!I105, 2))), 2)</f>
        <v>225.88</v>
      </c>
      <c r="T113">
        <f>Source!X105</f>
        <v>7485.7</v>
      </c>
      <c r="U113">
        <f>ROUND((Source!FY105/100)*((ROUND(Source!AF105*Source!I105, 2)+ROUND(Source!AE105*Source!I105, 2))), 2)</f>
        <v>130.08000000000001</v>
      </c>
      <c r="V113">
        <f>Source!Y105</f>
        <v>4316.08</v>
      </c>
    </row>
    <row r="114" spans="1:26">
      <c r="C114" s="31" t="str">
        <f>"Объем: "&amp;Source!I105&amp;"=25/"&amp;"100"</f>
        <v>Объем: 0,25=25/100</v>
      </c>
    </row>
    <row r="115" spans="1:26" ht="14.25">
      <c r="A115" s="23"/>
      <c r="B115" s="54"/>
      <c r="C115" s="54" t="s">
        <v>502</v>
      </c>
      <c r="D115" s="37"/>
      <c r="E115" s="10"/>
      <c r="F115" s="38">
        <f>Source!AO105</f>
        <v>669.75</v>
      </c>
      <c r="G115" s="39" t="str">
        <f>Source!DG105</f>
        <v>)*1,15</v>
      </c>
      <c r="H115" s="40">
        <f>ROUND(Source!AF105*Source!I105, 2)</f>
        <v>192.55</v>
      </c>
      <c r="I115" s="39"/>
      <c r="J115" s="39">
        <f>IF(Source!BA105&lt;&gt; 0, Source!BA105, 1)</f>
        <v>33.049999999999997</v>
      </c>
      <c r="K115" s="40">
        <f>Source!S105</f>
        <v>6363.88</v>
      </c>
      <c r="L115" s="41"/>
      <c r="R115">
        <f>H115</f>
        <v>192.55</v>
      </c>
    </row>
    <row r="116" spans="1:26" ht="14.25">
      <c r="A116" s="23"/>
      <c r="B116" s="54"/>
      <c r="C116" s="54" t="s">
        <v>70</v>
      </c>
      <c r="D116" s="37"/>
      <c r="E116" s="10"/>
      <c r="F116" s="38">
        <f>Source!AM105</f>
        <v>147.97</v>
      </c>
      <c r="G116" s="39" t="str">
        <f>Source!DE105</f>
        <v/>
      </c>
      <c r="H116" s="40">
        <f>ROUND(Source!AD105*Source!I105, 2)</f>
        <v>36.99</v>
      </c>
      <c r="I116" s="39"/>
      <c r="J116" s="39">
        <f>IF(Source!BB105&lt;&gt; 0, Source!BB105, 1)</f>
        <v>14.59</v>
      </c>
      <c r="K116" s="40">
        <f>Source!Q105</f>
        <v>539.72</v>
      </c>
      <c r="L116" s="41"/>
    </row>
    <row r="117" spans="1:26" ht="14.25">
      <c r="A117" s="23"/>
      <c r="B117" s="54"/>
      <c r="C117" s="54" t="s">
        <v>503</v>
      </c>
      <c r="D117" s="37"/>
      <c r="E117" s="10"/>
      <c r="F117" s="38">
        <f>Source!AN105</f>
        <v>45.99</v>
      </c>
      <c r="G117" s="39" t="str">
        <f>Source!DF105</f>
        <v/>
      </c>
      <c r="H117" s="42">
        <f>ROUND(Source!AE105*Source!I105, 2)</f>
        <v>11.5</v>
      </c>
      <c r="I117" s="39"/>
      <c r="J117" s="39">
        <f>IF(Source!BS105&lt;&gt; 0, Source!BS105, 1)</f>
        <v>33.049999999999997</v>
      </c>
      <c r="K117" s="42">
        <f>Source!R105</f>
        <v>379.99</v>
      </c>
      <c r="L117" s="41"/>
      <c r="R117">
        <f>H117</f>
        <v>11.5</v>
      </c>
    </row>
    <row r="118" spans="1:26" ht="14.25">
      <c r="A118" s="23"/>
      <c r="B118" s="54"/>
      <c r="C118" s="54" t="s">
        <v>509</v>
      </c>
      <c r="D118" s="37"/>
      <c r="E118" s="10"/>
      <c r="F118" s="38">
        <f>Source!AL105</f>
        <v>9055.2999999999993</v>
      </c>
      <c r="G118" s="39" t="str">
        <f>Source!DD105</f>
        <v/>
      </c>
      <c r="H118" s="40">
        <f>ROUND(Source!AC105*Source!I105, 2)</f>
        <v>2263.83</v>
      </c>
      <c r="I118" s="39"/>
      <c r="J118" s="39">
        <f>IF(Source!BC105&lt;&gt; 0, Source!BC105, 1)</f>
        <v>4.6100000000000003</v>
      </c>
      <c r="K118" s="40">
        <f>Source!P105</f>
        <v>10436.23</v>
      </c>
      <c r="L118" s="41"/>
    </row>
    <row r="119" spans="1:26" ht="14.25">
      <c r="A119" s="23"/>
      <c r="B119" s="54"/>
      <c r="C119" s="54" t="s">
        <v>504</v>
      </c>
      <c r="D119" s="37" t="s">
        <v>505</v>
      </c>
      <c r="E119" s="10">
        <f>Source!BZ105</f>
        <v>123</v>
      </c>
      <c r="F119" s="72" t="str">
        <f>CONCATENATE(" )", Source!DL105, Source!FT105, "=", Source!FX105)</f>
        <v xml:space="preserve"> )*0,9=110,7</v>
      </c>
      <c r="G119" s="81"/>
      <c r="H119" s="40">
        <f>SUM(S113:S121)</f>
        <v>225.88</v>
      </c>
      <c r="I119" s="43"/>
      <c r="J119" s="36">
        <f>Source!AT105</f>
        <v>111</v>
      </c>
      <c r="K119" s="40">
        <f>SUM(T113:T121)</f>
        <v>7485.7</v>
      </c>
      <c r="L119" s="41"/>
    </row>
    <row r="120" spans="1:26" ht="14.25">
      <c r="A120" s="23"/>
      <c r="B120" s="54"/>
      <c r="C120" s="54" t="s">
        <v>506</v>
      </c>
      <c r="D120" s="37" t="s">
        <v>505</v>
      </c>
      <c r="E120" s="10">
        <f>Source!CA105</f>
        <v>75</v>
      </c>
      <c r="F120" s="72" t="str">
        <f>CONCATENATE(" )", Source!DM105, Source!FU105, "=", Source!FY105)</f>
        <v xml:space="preserve"> )*0,85=63,75</v>
      </c>
      <c r="G120" s="81"/>
      <c r="H120" s="40">
        <f>SUM(U113:U121)</f>
        <v>130.08000000000001</v>
      </c>
      <c r="I120" s="43"/>
      <c r="J120" s="36">
        <f>Source!AU105</f>
        <v>64</v>
      </c>
      <c r="K120" s="40">
        <f>SUM(V113:V121)</f>
        <v>4316.08</v>
      </c>
      <c r="L120" s="41"/>
    </row>
    <row r="121" spans="1:26" ht="14.25">
      <c r="A121" s="55"/>
      <c r="B121" s="56"/>
      <c r="C121" s="56" t="s">
        <v>507</v>
      </c>
      <c r="D121" s="45" t="s">
        <v>508</v>
      </c>
      <c r="E121" s="46">
        <f>Source!AQ105</f>
        <v>76.63</v>
      </c>
      <c r="F121" s="47"/>
      <c r="G121" s="50" t="str">
        <f>Source!DI105</f>
        <v>)*1,15</v>
      </c>
      <c r="H121" s="49"/>
      <c r="I121" s="50"/>
      <c r="J121" s="50"/>
      <c r="K121" s="49"/>
      <c r="L121" s="53">
        <f>Source!U105</f>
        <v>22.031124999999996</v>
      </c>
    </row>
    <row r="122" spans="1:26" ht="15">
      <c r="G122" s="91">
        <f>H115+H116+H118+H119+H120</f>
        <v>2849.33</v>
      </c>
      <c r="H122" s="91"/>
      <c r="J122" s="91">
        <f>K115+K116+K118+K119+K120</f>
        <v>29141.61</v>
      </c>
      <c r="K122" s="91"/>
      <c r="L122" s="52">
        <f>Source!U105</f>
        <v>22.031124999999996</v>
      </c>
      <c r="O122" s="32">
        <f>G122</f>
        <v>2849.33</v>
      </c>
      <c r="P122" s="32">
        <f>J122</f>
        <v>29141.61</v>
      </c>
      <c r="Q122" s="32">
        <f>L122</f>
        <v>22.031124999999996</v>
      </c>
      <c r="W122">
        <f>IF(Source!BI105&lt;=1,H115+H116+H118+H119+H120, 0)</f>
        <v>2849.33</v>
      </c>
      <c r="X122">
        <f>IF(Source!BI105=2,H115+H116+H118+H119+H120, 0)</f>
        <v>0</v>
      </c>
      <c r="Y122">
        <f>IF(Source!BI105=3,H115+H116+H118+H119+H120, 0)</f>
        <v>0</v>
      </c>
      <c r="Z122">
        <f>IF(Source!BI105=4,H115+H116+H118+H119+H120, 0)</f>
        <v>0</v>
      </c>
    </row>
    <row r="123" spans="1:26" ht="79.5">
      <c r="A123" s="23" t="str">
        <f>Source!E106</f>
        <v>11</v>
      </c>
      <c r="B123" s="54" t="s">
        <v>512</v>
      </c>
      <c r="C123" s="54" t="str">
        <f>Source!G106</f>
        <v>Ограждение лестничных площадок перилами</v>
      </c>
      <c r="D123" s="37" t="str">
        <f>Source!H106</f>
        <v>100 м перил</v>
      </c>
      <c r="E123" s="10">
        <f>Source!I106</f>
        <v>0.11</v>
      </c>
      <c r="F123" s="38">
        <f>Source!AL106+Source!AM106+Source!AO106</f>
        <v>459.92</v>
      </c>
      <c r="G123" s="39"/>
      <c r="H123" s="40"/>
      <c r="I123" s="39" t="str">
        <f>Source!BO106</f>
        <v>10-02-041-1</v>
      </c>
      <c r="J123" s="39"/>
      <c r="K123" s="40"/>
      <c r="L123" s="41"/>
      <c r="S123">
        <f>ROUND((Source!FX106/100)*((ROUND(Source!AF106*Source!I106, 2)+ROUND(Source!AE106*Source!I106, 2))), 2)</f>
        <v>35.18</v>
      </c>
      <c r="T123">
        <f>Source!X106</f>
        <v>1160.6300000000001</v>
      </c>
      <c r="U123">
        <f>ROUND((Source!FY106/100)*((ROUND(Source!AF106*Source!I106, 2)+ROUND(Source!AE106*Source!I106, 2))), 2)</f>
        <v>17.739999999999998</v>
      </c>
      <c r="V123">
        <f>Source!Y106</f>
        <v>591.26</v>
      </c>
    </row>
    <row r="124" spans="1:26">
      <c r="C124" s="31" t="str">
        <f>"Объем: "&amp;Source!I106&amp;"=11/"&amp;"100"</f>
        <v>Объем: 0,11=11/100</v>
      </c>
    </row>
    <row r="125" spans="1:26" ht="14.25">
      <c r="A125" s="23"/>
      <c r="B125" s="54"/>
      <c r="C125" s="54" t="s">
        <v>502</v>
      </c>
      <c r="D125" s="37"/>
      <c r="E125" s="10"/>
      <c r="F125" s="38">
        <f>Source!AO106</f>
        <v>254.99</v>
      </c>
      <c r="G125" s="39" t="str">
        <f>Source!DG106</f>
        <v>)*1,15</v>
      </c>
      <c r="H125" s="40">
        <f>ROUND(Source!AF106*Source!I106, 2)</f>
        <v>32.26</v>
      </c>
      <c r="I125" s="39"/>
      <c r="J125" s="39">
        <f>IF(Source!BA106&lt;&gt; 0, Source!BA106, 1)</f>
        <v>33.049999999999997</v>
      </c>
      <c r="K125" s="40">
        <f>Source!S106</f>
        <v>1066.07</v>
      </c>
      <c r="L125" s="41"/>
      <c r="R125">
        <f>H125</f>
        <v>32.26</v>
      </c>
    </row>
    <row r="126" spans="1:26" ht="14.25">
      <c r="A126" s="23"/>
      <c r="B126" s="54"/>
      <c r="C126" s="54" t="s">
        <v>70</v>
      </c>
      <c r="D126" s="37"/>
      <c r="E126" s="10"/>
      <c r="F126" s="38">
        <f>Source!AM106</f>
        <v>113.66</v>
      </c>
      <c r="G126" s="39" t="str">
        <f>Source!DE106</f>
        <v>)*1,25</v>
      </c>
      <c r="H126" s="40">
        <f>ROUND(Source!AD106*Source!I106, 2)</f>
        <v>15.63</v>
      </c>
      <c r="I126" s="39"/>
      <c r="J126" s="39">
        <f>IF(Source!BB106&lt;&gt; 0, Source!BB106, 1)</f>
        <v>10.3</v>
      </c>
      <c r="K126" s="40">
        <f>Source!Q106</f>
        <v>160.97</v>
      </c>
      <c r="L126" s="41"/>
    </row>
    <row r="127" spans="1:26" ht="14.25">
      <c r="A127" s="23"/>
      <c r="B127" s="54"/>
      <c r="C127" s="54" t="s">
        <v>503</v>
      </c>
      <c r="D127" s="37"/>
      <c r="E127" s="10"/>
      <c r="F127" s="38">
        <f>Source!AN106</f>
        <v>6.35</v>
      </c>
      <c r="G127" s="39" t="str">
        <f>Source!DF106</f>
        <v>)*1,25</v>
      </c>
      <c r="H127" s="42">
        <f>ROUND(Source!AE106*Source!I106, 2)</f>
        <v>0.87</v>
      </c>
      <c r="I127" s="39"/>
      <c r="J127" s="39">
        <f>IF(Source!BS106&lt;&gt; 0, Source!BS106, 1)</f>
        <v>33.049999999999997</v>
      </c>
      <c r="K127" s="42">
        <f>Source!R106</f>
        <v>28.86</v>
      </c>
      <c r="L127" s="41"/>
      <c r="R127">
        <f>H127</f>
        <v>0.87</v>
      </c>
    </row>
    <row r="128" spans="1:26" ht="14.25">
      <c r="A128" s="23"/>
      <c r="B128" s="54"/>
      <c r="C128" s="54" t="s">
        <v>509</v>
      </c>
      <c r="D128" s="37"/>
      <c r="E128" s="10"/>
      <c r="F128" s="38">
        <f>Source!AL106</f>
        <v>91.27</v>
      </c>
      <c r="G128" s="39" t="str">
        <f>Source!DD106</f>
        <v/>
      </c>
      <c r="H128" s="40">
        <f>ROUND(Source!AC106*Source!I106, 2)</f>
        <v>10.039999999999999</v>
      </c>
      <c r="I128" s="39"/>
      <c r="J128" s="39">
        <f>IF(Source!BC106&lt;&gt; 0, Source!BC106, 1)</f>
        <v>4.5599999999999996</v>
      </c>
      <c r="K128" s="40">
        <f>Source!P106</f>
        <v>45.78</v>
      </c>
      <c r="L128" s="41"/>
    </row>
    <row r="129" spans="1:26" ht="14.25">
      <c r="A129" s="23"/>
      <c r="B129" s="54"/>
      <c r="C129" s="54" t="s">
        <v>504</v>
      </c>
      <c r="D129" s="37" t="s">
        <v>505</v>
      </c>
      <c r="E129" s="10">
        <f>Source!BZ106</f>
        <v>118</v>
      </c>
      <c r="F129" s="72" t="str">
        <f>CONCATENATE(" )", Source!DL106, Source!FT106, "=", Source!FX106)</f>
        <v xml:space="preserve"> )*0,9=106,2</v>
      </c>
      <c r="G129" s="81"/>
      <c r="H129" s="40">
        <f>SUM(S123:S131)</f>
        <v>35.18</v>
      </c>
      <c r="I129" s="43"/>
      <c r="J129" s="36">
        <f>Source!AT106</f>
        <v>106</v>
      </c>
      <c r="K129" s="40">
        <f>SUM(T123:T131)</f>
        <v>1160.6300000000001</v>
      </c>
      <c r="L129" s="41"/>
    </row>
    <row r="130" spans="1:26" ht="14.25">
      <c r="A130" s="23"/>
      <c r="B130" s="54"/>
      <c r="C130" s="54" t="s">
        <v>506</v>
      </c>
      <c r="D130" s="37" t="s">
        <v>505</v>
      </c>
      <c r="E130" s="10">
        <f>Source!CA106</f>
        <v>63</v>
      </c>
      <c r="F130" s="72" t="str">
        <f>CONCATENATE(" )", Source!DM106, Source!FU106, "=", Source!FY106)</f>
        <v xml:space="preserve"> )*0,85=53,55</v>
      </c>
      <c r="G130" s="81"/>
      <c r="H130" s="40">
        <f>SUM(U123:U131)</f>
        <v>17.739999999999998</v>
      </c>
      <c r="I130" s="43"/>
      <c r="J130" s="36">
        <f>Source!AU106</f>
        <v>54</v>
      </c>
      <c r="K130" s="40">
        <f>SUM(V123:V131)</f>
        <v>591.26</v>
      </c>
      <c r="L130" s="41"/>
    </row>
    <row r="131" spans="1:26" ht="14.25">
      <c r="A131" s="55"/>
      <c r="B131" s="56"/>
      <c r="C131" s="56" t="s">
        <v>507</v>
      </c>
      <c r="D131" s="45" t="s">
        <v>508</v>
      </c>
      <c r="E131" s="46">
        <f>Source!AQ106</f>
        <v>28.78</v>
      </c>
      <c r="F131" s="47"/>
      <c r="G131" s="50" t="str">
        <f>Source!DI106</f>
        <v>)*1,15</v>
      </c>
      <c r="H131" s="49"/>
      <c r="I131" s="50"/>
      <c r="J131" s="50"/>
      <c r="K131" s="49"/>
      <c r="L131" s="53">
        <f>Source!U106</f>
        <v>3.6406700000000001</v>
      </c>
    </row>
    <row r="132" spans="1:26" ht="15">
      <c r="G132" s="91">
        <f>H125+H126+H128+H129+H130</f>
        <v>110.85</v>
      </c>
      <c r="H132" s="91"/>
      <c r="J132" s="91">
        <f>K125+K126+K128+K129+K130</f>
        <v>3024.71</v>
      </c>
      <c r="K132" s="91"/>
      <c r="L132" s="52">
        <f>Source!U106</f>
        <v>3.6406700000000001</v>
      </c>
      <c r="O132" s="32">
        <f>G132</f>
        <v>110.85</v>
      </c>
      <c r="P132" s="32">
        <f>J132</f>
        <v>3024.71</v>
      </c>
      <c r="Q132" s="32">
        <f>L132</f>
        <v>3.6406700000000001</v>
      </c>
      <c r="W132">
        <f>IF(Source!BI106&lt;=1,H125+H126+H128+H129+H130, 0)</f>
        <v>110.85</v>
      </c>
      <c r="X132">
        <f>IF(Source!BI106=2,H125+H126+H128+H129+H130, 0)</f>
        <v>0</v>
      </c>
      <c r="Y132">
        <f>IF(Source!BI106=3,H125+H126+H128+H129+H130, 0)</f>
        <v>0</v>
      </c>
      <c r="Z132">
        <f>IF(Source!BI106=4,H125+H126+H128+H129+H130, 0)</f>
        <v>0</v>
      </c>
    </row>
    <row r="133" spans="1:26" ht="42.75">
      <c r="A133" s="55" t="str">
        <f>Source!E107</f>
        <v>12</v>
      </c>
      <c r="B133" s="56" t="str">
        <f>Source!F107</f>
        <v>201-0650</v>
      </c>
      <c r="C133" s="56" t="str">
        <f>Source!G107</f>
        <v>Ограждения лестничных проемов, лестничные марши, пожарные лестницы</v>
      </c>
      <c r="D133" s="45" t="str">
        <f>Source!H107</f>
        <v>т</v>
      </c>
      <c r="E133" s="46">
        <f>Source!I107</f>
        <v>0.09</v>
      </c>
      <c r="F133" s="47">
        <f>Source!AL107</f>
        <v>7571</v>
      </c>
      <c r="G133" s="50" t="str">
        <f>Source!DD107</f>
        <v/>
      </c>
      <c r="H133" s="49">
        <f>ROUND(Source!AC107*Source!I107, 2)</f>
        <v>681.39</v>
      </c>
      <c r="I133" s="50" t="str">
        <f>Source!BO107</f>
        <v>201-0650</v>
      </c>
      <c r="J133" s="50">
        <f>IF(Source!BC107&lt;&gt; 0, Source!BC107, 1)</f>
        <v>10.029999999999999</v>
      </c>
      <c r="K133" s="49">
        <f>Source!P107</f>
        <v>6834.34</v>
      </c>
      <c r="L133" s="51"/>
      <c r="S133">
        <f>ROUND((Source!FX107/100)*((ROUND(Source!AF107*Source!I107, 2)+ROUND(Source!AE107*Source!I107, 2))), 2)</f>
        <v>0</v>
      </c>
      <c r="T133">
        <f>Source!X107</f>
        <v>0</v>
      </c>
      <c r="U133">
        <f>ROUND((Source!FY107/100)*((ROUND(Source!AF107*Source!I107, 2)+ROUND(Source!AE107*Source!I107, 2))), 2)</f>
        <v>0</v>
      </c>
      <c r="V133">
        <f>Source!Y107</f>
        <v>0</v>
      </c>
    </row>
    <row r="134" spans="1:26" ht="15">
      <c r="G134" s="91">
        <f>H133</f>
        <v>681.39</v>
      </c>
      <c r="H134" s="91"/>
      <c r="J134" s="91">
        <f>K133</f>
        <v>6834.34</v>
      </c>
      <c r="K134" s="91"/>
      <c r="L134" s="52">
        <f>Source!U107</f>
        <v>0</v>
      </c>
      <c r="O134" s="32">
        <f>G134</f>
        <v>681.39</v>
      </c>
      <c r="P134" s="32">
        <f>J134</f>
        <v>6834.34</v>
      </c>
      <c r="Q134" s="32">
        <f>L134</f>
        <v>0</v>
      </c>
      <c r="W134">
        <f>IF(Source!BI107&lt;=1,H133, 0)</f>
        <v>681.39</v>
      </c>
      <c r="X134">
        <f>IF(Source!BI107=2,H133, 0)</f>
        <v>0</v>
      </c>
      <c r="Y134">
        <f>IF(Source!BI107=3,H133, 0)</f>
        <v>0</v>
      </c>
      <c r="Z134">
        <f>IF(Source!BI107=4,H133, 0)</f>
        <v>0</v>
      </c>
    </row>
    <row r="135" spans="1:26" ht="79.5">
      <c r="A135" s="23" t="str">
        <f>Source!E108</f>
        <v>13</v>
      </c>
      <c r="B135" s="54" t="s">
        <v>513</v>
      </c>
      <c r="C135" s="54" t="str">
        <f>Source!G108</f>
        <v>Светильник потолочный или настенный с креплением винтами или болтами для помещений с нормальными условиями среды, одноламповый</v>
      </c>
      <c r="D135" s="37" t="str">
        <f>Source!H108</f>
        <v>100 шт.</v>
      </c>
      <c r="E135" s="10">
        <f>Source!I108</f>
        <v>0.12</v>
      </c>
      <c r="F135" s="38">
        <f>Source!AL108+Source!AM108+Source!AO108</f>
        <v>1442.38</v>
      </c>
      <c r="G135" s="39"/>
      <c r="H135" s="40"/>
      <c r="I135" s="39" t="str">
        <f>Source!BO108</f>
        <v>м08-03-593-6</v>
      </c>
      <c r="J135" s="39"/>
      <c r="K135" s="40"/>
      <c r="L135" s="41"/>
      <c r="S135">
        <f>ROUND((Source!FX108/100)*((ROUND(Source!AF108*Source!I108, 2)+ROUND(Source!AE108*Source!I108, 2))), 2)</f>
        <v>93.22</v>
      </c>
      <c r="T135">
        <f>Source!X108</f>
        <v>3081.01</v>
      </c>
      <c r="U135">
        <f>ROUND((Source!FY108/100)*((ROUND(Source!AF108*Source!I108, 2)+ROUND(Source!AE108*Source!I108, 2))), 2)</f>
        <v>63.78</v>
      </c>
      <c r="V135">
        <f>Source!Y108</f>
        <v>2108.06</v>
      </c>
    </row>
    <row r="136" spans="1:26">
      <c r="C136" s="31" t="str">
        <f>"Объем: "&amp;Source!I108&amp;"=12/"&amp;"100"</f>
        <v>Объем: 0,12=12/100</v>
      </c>
    </row>
    <row r="137" spans="1:26" ht="14.25">
      <c r="A137" s="23"/>
      <c r="B137" s="54"/>
      <c r="C137" s="54" t="s">
        <v>502</v>
      </c>
      <c r="D137" s="37"/>
      <c r="E137" s="10"/>
      <c r="F137" s="38">
        <f>Source!AO108</f>
        <v>700.75</v>
      </c>
      <c r="G137" s="39" t="str">
        <f>Source!DG108</f>
        <v>)*1,15</v>
      </c>
      <c r="H137" s="40">
        <f>ROUND(Source!AF108*Source!I108, 2)</f>
        <v>96.7</v>
      </c>
      <c r="I137" s="39"/>
      <c r="J137" s="39">
        <f>IF(Source!BA108&lt;&gt; 0, Source!BA108, 1)</f>
        <v>33.049999999999997</v>
      </c>
      <c r="K137" s="40">
        <f>Source!S108</f>
        <v>3196.05</v>
      </c>
      <c r="L137" s="41"/>
      <c r="R137">
        <f>H137</f>
        <v>96.7</v>
      </c>
    </row>
    <row r="138" spans="1:26" ht="14.25">
      <c r="A138" s="23"/>
      <c r="B138" s="54"/>
      <c r="C138" s="54" t="s">
        <v>70</v>
      </c>
      <c r="D138" s="37"/>
      <c r="E138" s="10"/>
      <c r="F138" s="38">
        <f>Source!AM108</f>
        <v>226.27</v>
      </c>
      <c r="G138" s="39" t="str">
        <f>Source!DE108</f>
        <v/>
      </c>
      <c r="H138" s="40">
        <f>ROUND(Source!AD108*Source!I108, 2)</f>
        <v>27.15</v>
      </c>
      <c r="I138" s="39"/>
      <c r="J138" s="39">
        <f>IF(Source!BB108&lt;&gt; 0, Source!BB108, 1)</f>
        <v>8.4499999999999993</v>
      </c>
      <c r="K138" s="40">
        <f>Source!Q108</f>
        <v>229.44</v>
      </c>
      <c r="L138" s="41"/>
    </row>
    <row r="139" spans="1:26" ht="14.25">
      <c r="A139" s="23"/>
      <c r="B139" s="54"/>
      <c r="C139" s="54" t="s">
        <v>503</v>
      </c>
      <c r="D139" s="37"/>
      <c r="E139" s="10"/>
      <c r="F139" s="38">
        <f>Source!AN108</f>
        <v>11.88</v>
      </c>
      <c r="G139" s="39" t="str">
        <f>Source!DF108</f>
        <v/>
      </c>
      <c r="H139" s="42">
        <f>ROUND(Source!AE108*Source!I108, 2)</f>
        <v>1.43</v>
      </c>
      <c r="I139" s="39"/>
      <c r="J139" s="39">
        <f>IF(Source!BS108&lt;&gt; 0, Source!BS108, 1)</f>
        <v>33.049999999999997</v>
      </c>
      <c r="K139" s="42">
        <f>Source!R108</f>
        <v>47.12</v>
      </c>
      <c r="L139" s="41"/>
      <c r="R139">
        <f>H139</f>
        <v>1.43</v>
      </c>
    </row>
    <row r="140" spans="1:26" ht="14.25">
      <c r="A140" s="23"/>
      <c r="B140" s="54"/>
      <c r="C140" s="54" t="s">
        <v>509</v>
      </c>
      <c r="D140" s="37"/>
      <c r="E140" s="10"/>
      <c r="F140" s="38">
        <f>Source!AL108</f>
        <v>515.36</v>
      </c>
      <c r="G140" s="39" t="str">
        <f>Source!DD108</f>
        <v/>
      </c>
      <c r="H140" s="40">
        <f>ROUND(Source!AC108*Source!I108, 2)</f>
        <v>61.84</v>
      </c>
      <c r="I140" s="39"/>
      <c r="J140" s="39">
        <f>IF(Source!BC108&lt;&gt; 0, Source!BC108, 1)</f>
        <v>3.62</v>
      </c>
      <c r="K140" s="40">
        <f>Source!P108</f>
        <v>223.87</v>
      </c>
      <c r="L140" s="41"/>
    </row>
    <row r="141" spans="1:26" ht="14.25">
      <c r="A141" s="23"/>
      <c r="B141" s="54"/>
      <c r="C141" s="54" t="s">
        <v>504</v>
      </c>
      <c r="D141" s="37" t="s">
        <v>505</v>
      </c>
      <c r="E141" s="10">
        <f>Source!BZ108</f>
        <v>95</v>
      </c>
      <c r="F141" s="57"/>
      <c r="G141" s="39"/>
      <c r="H141" s="40">
        <f>SUM(S135:S143)</f>
        <v>93.22</v>
      </c>
      <c r="I141" s="43"/>
      <c r="J141" s="36">
        <f>Source!AT108</f>
        <v>95</v>
      </c>
      <c r="K141" s="40">
        <f>SUM(T135:T143)</f>
        <v>3081.01</v>
      </c>
      <c r="L141" s="41"/>
    </row>
    <row r="142" spans="1:26" ht="14.25">
      <c r="A142" s="23"/>
      <c r="B142" s="54"/>
      <c r="C142" s="54" t="s">
        <v>506</v>
      </c>
      <c r="D142" s="37" t="s">
        <v>505</v>
      </c>
      <c r="E142" s="10">
        <f>Source!CA108</f>
        <v>65</v>
      </c>
      <c r="F142" s="57"/>
      <c r="G142" s="39"/>
      <c r="H142" s="40">
        <f>SUM(U135:U143)</f>
        <v>63.78</v>
      </c>
      <c r="I142" s="43"/>
      <c r="J142" s="36">
        <f>Source!AU108</f>
        <v>65</v>
      </c>
      <c r="K142" s="40">
        <f>SUM(V135:V143)</f>
        <v>2108.06</v>
      </c>
      <c r="L142" s="41"/>
    </row>
    <row r="143" spans="1:26" ht="14.25">
      <c r="A143" s="55"/>
      <c r="B143" s="56"/>
      <c r="C143" s="56" t="s">
        <v>507</v>
      </c>
      <c r="D143" s="45" t="s">
        <v>508</v>
      </c>
      <c r="E143" s="46">
        <f>Source!AQ108</f>
        <v>70.64</v>
      </c>
      <c r="F143" s="47"/>
      <c r="G143" s="50" t="str">
        <f>Source!DI108</f>
        <v>)*1,15</v>
      </c>
      <c r="H143" s="49"/>
      <c r="I143" s="50"/>
      <c r="J143" s="50"/>
      <c r="K143" s="49"/>
      <c r="L143" s="53">
        <f>Source!U108</f>
        <v>9.7483199999999979</v>
      </c>
    </row>
    <row r="144" spans="1:26" ht="15">
      <c r="G144" s="91">
        <f>H137+H138+H140+H141+H142</f>
        <v>342.68999999999994</v>
      </c>
      <c r="H144" s="91"/>
      <c r="J144" s="91">
        <f>K137+K138+K140+K141+K142</f>
        <v>8838.43</v>
      </c>
      <c r="K144" s="91"/>
      <c r="L144" s="52">
        <f>Source!U108</f>
        <v>9.7483199999999979</v>
      </c>
      <c r="O144" s="32">
        <f>G144</f>
        <v>342.68999999999994</v>
      </c>
      <c r="P144" s="32">
        <f>J144</f>
        <v>8838.43</v>
      </c>
      <c r="Q144" s="32">
        <f>L144</f>
        <v>9.7483199999999979</v>
      </c>
      <c r="W144">
        <f>IF(Source!BI108&lt;=1,H137+H138+H140+H141+H142, 0)</f>
        <v>0</v>
      </c>
      <c r="X144">
        <f>IF(Source!BI108=2,H137+H138+H140+H141+H142, 0)</f>
        <v>342.68999999999994</v>
      </c>
      <c r="Y144">
        <f>IF(Source!BI108=3,H137+H138+H140+H141+H142, 0)</f>
        <v>0</v>
      </c>
      <c r="Z144">
        <f>IF(Source!BI108=4,H137+H138+H140+H141+H142, 0)</f>
        <v>0</v>
      </c>
    </row>
    <row r="145" spans="1:26" ht="79.5">
      <c r="A145" s="23" t="str">
        <f>Source!E109</f>
        <v>14</v>
      </c>
      <c r="B145" s="54" t="s">
        <v>514</v>
      </c>
      <c r="C145" s="54" t="str">
        <f>Source!G109</f>
        <v>Устройство плинтусов из плиток керамических</v>
      </c>
      <c r="D145" s="37" t="str">
        <f>Source!H109</f>
        <v>100 М ПЛИНТУСА</v>
      </c>
      <c r="E145" s="10">
        <f>Source!I109</f>
        <v>0.38</v>
      </c>
      <c r="F145" s="38">
        <f>Source!AL109+Source!AM109+Source!AO109</f>
        <v>2723.41</v>
      </c>
      <c r="G145" s="39"/>
      <c r="H145" s="40"/>
      <c r="I145" s="39" t="str">
        <f>Source!BO109</f>
        <v>11-01-039-4</v>
      </c>
      <c r="J145" s="39"/>
      <c r="K145" s="40"/>
      <c r="L145" s="41"/>
      <c r="S145">
        <f>ROUND((Source!FX109/100)*((ROUND(Source!AF109*Source!I109, 2)+ROUND(Source!AE109*Source!I109, 2))), 2)</f>
        <v>108.57</v>
      </c>
      <c r="T145">
        <f>Source!X109</f>
        <v>3598.12</v>
      </c>
      <c r="U145">
        <f>ROUND((Source!FY109/100)*((ROUND(Source!AF109*Source!I109, 2)+ROUND(Source!AE109*Source!I109, 2))), 2)</f>
        <v>62.53</v>
      </c>
      <c r="V145">
        <f>Source!Y109</f>
        <v>2074.59</v>
      </c>
    </row>
    <row r="146" spans="1:26">
      <c r="C146" s="31" t="str">
        <f>"Объем: "&amp;Source!I109&amp;"=38/"&amp;"100"</f>
        <v>Объем: 0,38=38/100</v>
      </c>
    </row>
    <row r="147" spans="1:26" ht="14.25">
      <c r="A147" s="23"/>
      <c r="B147" s="54"/>
      <c r="C147" s="54" t="s">
        <v>502</v>
      </c>
      <c r="D147" s="37"/>
      <c r="E147" s="10"/>
      <c r="F147" s="38">
        <f>Source!AO109</f>
        <v>224.44</v>
      </c>
      <c r="G147" s="39" t="str">
        <f>Source!DG109</f>
        <v>)*1,15</v>
      </c>
      <c r="H147" s="40">
        <f>ROUND(Source!AF109*Source!I109, 2)</f>
        <v>98.08</v>
      </c>
      <c r="I147" s="39"/>
      <c r="J147" s="39">
        <f>IF(Source!BA109&lt;&gt; 0, Source!BA109, 1)</f>
        <v>33.049999999999997</v>
      </c>
      <c r="K147" s="40">
        <f>Source!S109</f>
        <v>3241.55</v>
      </c>
      <c r="L147" s="41"/>
      <c r="R147">
        <f>H147</f>
        <v>98.08</v>
      </c>
    </row>
    <row r="148" spans="1:26" ht="14.25">
      <c r="A148" s="23"/>
      <c r="B148" s="54"/>
      <c r="C148" s="54" t="s">
        <v>70</v>
      </c>
      <c r="D148" s="37"/>
      <c r="E148" s="10"/>
      <c r="F148" s="38">
        <f>Source!AM109</f>
        <v>5.23</v>
      </c>
      <c r="G148" s="39" t="str">
        <f>Source!DE109</f>
        <v>)*1,25</v>
      </c>
      <c r="H148" s="40">
        <f>ROUND(Source!AD109*Source!I109, 2)</f>
        <v>2.48</v>
      </c>
      <c r="I148" s="39"/>
      <c r="J148" s="39">
        <f>IF(Source!BB109&lt;&gt; 0, Source!BB109, 1)</f>
        <v>10.7</v>
      </c>
      <c r="K148" s="40">
        <f>Source!Q109</f>
        <v>26.58</v>
      </c>
      <c r="L148" s="41"/>
    </row>
    <row r="149" spans="1:26" ht="14.25">
      <c r="A149" s="23"/>
      <c r="B149" s="54"/>
      <c r="C149" s="54" t="s">
        <v>509</v>
      </c>
      <c r="D149" s="37"/>
      <c r="E149" s="10"/>
      <c r="F149" s="38">
        <f>Source!AL109</f>
        <v>2493.7399999999998</v>
      </c>
      <c r="G149" s="39" t="str">
        <f>Source!DD109</f>
        <v/>
      </c>
      <c r="H149" s="40">
        <f>ROUND(Source!AC109*Source!I109, 2)</f>
        <v>947.62</v>
      </c>
      <c r="I149" s="39"/>
      <c r="J149" s="39">
        <f>IF(Source!BC109&lt;&gt; 0, Source!BC109, 1)</f>
        <v>14.3</v>
      </c>
      <c r="K149" s="40">
        <f>Source!P109</f>
        <v>13550.98</v>
      </c>
      <c r="L149" s="41"/>
    </row>
    <row r="150" spans="1:26" ht="14.25">
      <c r="A150" s="23"/>
      <c r="B150" s="54"/>
      <c r="C150" s="54" t="s">
        <v>504</v>
      </c>
      <c r="D150" s="37" t="s">
        <v>505</v>
      </c>
      <c r="E150" s="10">
        <f>Source!BZ109</f>
        <v>123</v>
      </c>
      <c r="F150" s="72" t="str">
        <f>CONCATENATE(" )", Source!DL109, Source!FT109, "=", Source!FX109)</f>
        <v xml:space="preserve"> )*0,9=110,7</v>
      </c>
      <c r="G150" s="81"/>
      <c r="H150" s="40">
        <f>SUM(S145:S152)</f>
        <v>108.57</v>
      </c>
      <c r="I150" s="43"/>
      <c r="J150" s="36">
        <f>Source!AT109</f>
        <v>111</v>
      </c>
      <c r="K150" s="40">
        <f>SUM(T145:T152)</f>
        <v>3598.12</v>
      </c>
      <c r="L150" s="41"/>
    </row>
    <row r="151" spans="1:26" ht="14.25">
      <c r="A151" s="23"/>
      <c r="B151" s="54"/>
      <c r="C151" s="54" t="s">
        <v>506</v>
      </c>
      <c r="D151" s="37" t="s">
        <v>505</v>
      </c>
      <c r="E151" s="10">
        <f>Source!CA109</f>
        <v>75</v>
      </c>
      <c r="F151" s="72" t="str">
        <f>CONCATENATE(" )", Source!DM109, Source!FU109, "=", Source!FY109)</f>
        <v xml:space="preserve"> )*0,85=63,75</v>
      </c>
      <c r="G151" s="81"/>
      <c r="H151" s="40">
        <f>SUM(U145:U152)</f>
        <v>62.53</v>
      </c>
      <c r="I151" s="43"/>
      <c r="J151" s="36">
        <f>Source!AU109</f>
        <v>64</v>
      </c>
      <c r="K151" s="40">
        <f>SUM(V145:V152)</f>
        <v>2074.59</v>
      </c>
      <c r="L151" s="41"/>
    </row>
    <row r="152" spans="1:26" ht="14.25">
      <c r="A152" s="55"/>
      <c r="B152" s="56"/>
      <c r="C152" s="56" t="s">
        <v>507</v>
      </c>
      <c r="D152" s="45" t="s">
        <v>508</v>
      </c>
      <c r="E152" s="46">
        <f>Source!AQ109</f>
        <v>23.6</v>
      </c>
      <c r="F152" s="47"/>
      <c r="G152" s="50" t="str">
        <f>Source!DI109</f>
        <v>)*1,15</v>
      </c>
      <c r="H152" s="49"/>
      <c r="I152" s="50"/>
      <c r="J152" s="50"/>
      <c r="K152" s="49"/>
      <c r="L152" s="53">
        <f>Source!U109</f>
        <v>10.3132</v>
      </c>
    </row>
    <row r="153" spans="1:26" ht="15">
      <c r="G153" s="91">
        <f>H147+H148+H149+H150+H151</f>
        <v>1219.28</v>
      </c>
      <c r="H153" s="91"/>
      <c r="J153" s="91">
        <f>K147+K148+K149+K150+K151</f>
        <v>22491.82</v>
      </c>
      <c r="K153" s="91"/>
      <c r="L153" s="52">
        <f>Source!U109</f>
        <v>10.3132</v>
      </c>
      <c r="O153" s="32">
        <f>G153</f>
        <v>1219.28</v>
      </c>
      <c r="P153" s="32">
        <f>J153</f>
        <v>22491.82</v>
      </c>
      <c r="Q153" s="32">
        <f>L153</f>
        <v>10.3132</v>
      </c>
      <c r="W153">
        <f>IF(Source!BI109&lt;=1,H147+H148+H149+H150+H151, 0)</f>
        <v>1219.28</v>
      </c>
      <c r="X153">
        <f>IF(Source!BI109=2,H147+H148+H149+H150+H151, 0)</f>
        <v>0</v>
      </c>
      <c r="Y153">
        <f>IF(Source!BI109=3,H147+H148+H149+H150+H151, 0)</f>
        <v>0</v>
      </c>
      <c r="Z153">
        <f>IF(Source!BI109=4,H147+H148+H149+H150+H151, 0)</f>
        <v>0</v>
      </c>
    </row>
    <row r="155" spans="1:26" ht="15">
      <c r="A155" s="92" t="str">
        <f>CONCATENATE("Итого по разделу: ",IF(Source!G111&lt;&gt;"Новый раздел", Source!G111, ""))</f>
        <v>Итого по разделу: пол</v>
      </c>
      <c r="B155" s="92"/>
      <c r="C155" s="92"/>
      <c r="D155" s="92"/>
      <c r="E155" s="92"/>
      <c r="F155" s="92"/>
      <c r="G155" s="90">
        <f>SUM(O92:O154)</f>
        <v>12579.6</v>
      </c>
      <c r="H155" s="90"/>
      <c r="I155" s="35"/>
      <c r="J155" s="90">
        <f>SUM(P92:P154)</f>
        <v>176277.8</v>
      </c>
      <c r="K155" s="90"/>
      <c r="L155" s="52">
        <f>SUM(Q92:Q154)</f>
        <v>164.33468999999999</v>
      </c>
    </row>
    <row r="159" spans="1:26" ht="16.5">
      <c r="A159" s="89" t="str">
        <f>CONCATENATE("Раздел: ",IF(Source!G141&lt;&gt;"Новый раздел", Source!G141, ""))</f>
        <v>Раздел: стены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</row>
    <row r="160" spans="1:26" ht="79.5">
      <c r="A160" s="23" t="str">
        <f>Source!E145</f>
        <v>3</v>
      </c>
      <c r="B160" s="54" t="s">
        <v>515</v>
      </c>
      <c r="C160" s="54" t="str">
        <f>Source!G145</f>
        <v>Установка подоконных досок из ПВХ в каменных стенах толщиной до 0,51 м</v>
      </c>
      <c r="D160" s="37" t="str">
        <f>Source!H145</f>
        <v>100 п. м</v>
      </c>
      <c r="E160" s="10">
        <f>Source!I145</f>
        <v>4.5999999999999999E-2</v>
      </c>
      <c r="F160" s="38">
        <f>Source!AL145+Source!AM145+Source!AO145</f>
        <v>4199.17</v>
      </c>
      <c r="G160" s="39"/>
      <c r="H160" s="40"/>
      <c r="I160" s="39" t="str">
        <f>Source!BO145</f>
        <v>10-01-035-1</v>
      </c>
      <c r="J160" s="39"/>
      <c r="K160" s="40"/>
      <c r="L160" s="41"/>
      <c r="S160">
        <f>ROUND((Source!FX145/100)*((ROUND(Source!AF145*Source!I145, 2)+ROUND(Source!AE145*Source!I145, 2))), 2)</f>
        <v>10.18</v>
      </c>
      <c r="T160">
        <f>Source!X145</f>
        <v>336.06</v>
      </c>
      <c r="U160">
        <f>ROUND((Source!FY145/100)*((ROUND(Source!AF145*Source!I145, 2)+ROUND(Source!AE145*Source!I145, 2))), 2)</f>
        <v>5.14</v>
      </c>
      <c r="V160">
        <f>Source!Y145</f>
        <v>171.2</v>
      </c>
    </row>
    <row r="161" spans="1:26">
      <c r="C161" s="31" t="str">
        <f>"Объем: "&amp;Source!I145&amp;"=4,6/"&amp;"100"</f>
        <v>Объем: 0,046=4,6/100</v>
      </c>
    </row>
    <row r="162" spans="1:26" ht="14.25">
      <c r="A162" s="23"/>
      <c r="B162" s="54"/>
      <c r="C162" s="54" t="s">
        <v>502</v>
      </c>
      <c r="D162" s="37"/>
      <c r="E162" s="10"/>
      <c r="F162" s="38">
        <f>Source!AO145</f>
        <v>180.75</v>
      </c>
      <c r="G162" s="39" t="str">
        <f>Source!DG145</f>
        <v>)*1,15</v>
      </c>
      <c r="H162" s="40">
        <f>ROUND(Source!AF145*Source!I145, 2)</f>
        <v>9.56</v>
      </c>
      <c r="I162" s="39"/>
      <c r="J162" s="39">
        <f>IF(Source!BA145&lt;&gt; 0, Source!BA145, 1)</f>
        <v>33.049999999999997</v>
      </c>
      <c r="K162" s="40">
        <f>Source!S145</f>
        <v>316.01</v>
      </c>
      <c r="L162" s="41"/>
      <c r="R162">
        <f>H162</f>
        <v>9.56</v>
      </c>
    </row>
    <row r="163" spans="1:26" ht="14.25">
      <c r="A163" s="23"/>
      <c r="B163" s="54"/>
      <c r="C163" s="54" t="s">
        <v>70</v>
      </c>
      <c r="D163" s="37"/>
      <c r="E163" s="10"/>
      <c r="F163" s="38">
        <f>Source!AM145</f>
        <v>14.33</v>
      </c>
      <c r="G163" s="39" t="str">
        <f>Source!DE145</f>
        <v>)*1,25</v>
      </c>
      <c r="H163" s="40">
        <f>ROUND(Source!AD145*Source!I145, 2)</f>
        <v>0.82</v>
      </c>
      <c r="I163" s="39"/>
      <c r="J163" s="39">
        <f>IF(Source!BB145&lt;&gt; 0, Source!BB145, 1)</f>
        <v>11.06</v>
      </c>
      <c r="K163" s="40">
        <f>Source!Q145</f>
        <v>9.11</v>
      </c>
      <c r="L163" s="41"/>
    </row>
    <row r="164" spans="1:26" ht="14.25">
      <c r="A164" s="23"/>
      <c r="B164" s="54"/>
      <c r="C164" s="54" t="s">
        <v>503</v>
      </c>
      <c r="D164" s="37"/>
      <c r="E164" s="10"/>
      <c r="F164" s="38">
        <f>Source!AN145</f>
        <v>0.54</v>
      </c>
      <c r="G164" s="39" t="str">
        <f>Source!DF145</f>
        <v>)*1,25</v>
      </c>
      <c r="H164" s="42">
        <f>ROUND(Source!AE145*Source!I145, 2)</f>
        <v>0.03</v>
      </c>
      <c r="I164" s="39"/>
      <c r="J164" s="39">
        <f>IF(Source!BS145&lt;&gt; 0, Source!BS145, 1)</f>
        <v>33.049999999999997</v>
      </c>
      <c r="K164" s="42">
        <f>Source!R145</f>
        <v>1.03</v>
      </c>
      <c r="L164" s="41"/>
      <c r="R164">
        <f>H164</f>
        <v>0.03</v>
      </c>
    </row>
    <row r="165" spans="1:26" ht="14.25">
      <c r="A165" s="23"/>
      <c r="B165" s="54"/>
      <c r="C165" s="54" t="s">
        <v>509</v>
      </c>
      <c r="D165" s="37"/>
      <c r="E165" s="10"/>
      <c r="F165" s="38">
        <f>Source!AL145</f>
        <v>4004.09</v>
      </c>
      <c r="G165" s="39" t="str">
        <f>Source!DD145</f>
        <v/>
      </c>
      <c r="H165" s="40">
        <f>ROUND(Source!AC145*Source!I145, 2)</f>
        <v>184.19</v>
      </c>
      <c r="I165" s="39"/>
      <c r="J165" s="39">
        <f>IF(Source!BC145&lt;&gt; 0, Source!BC145, 1)</f>
        <v>4.76</v>
      </c>
      <c r="K165" s="40">
        <f>Source!P145</f>
        <v>876.74</v>
      </c>
      <c r="L165" s="41"/>
    </row>
    <row r="166" spans="1:26" ht="14.25">
      <c r="A166" s="23"/>
      <c r="B166" s="54"/>
      <c r="C166" s="54" t="s">
        <v>504</v>
      </c>
      <c r="D166" s="37" t="s">
        <v>505</v>
      </c>
      <c r="E166" s="10">
        <f>Source!BZ145</f>
        <v>118</v>
      </c>
      <c r="F166" s="72" t="str">
        <f>CONCATENATE(" )", Source!DL145, Source!FT145, "=", Source!FX145)</f>
        <v xml:space="preserve"> )*0,9=106,2</v>
      </c>
      <c r="G166" s="81"/>
      <c r="H166" s="40">
        <f>SUM(S160:S169)</f>
        <v>10.18</v>
      </c>
      <c r="I166" s="43"/>
      <c r="J166" s="36">
        <f>Source!AT145</f>
        <v>106</v>
      </c>
      <c r="K166" s="40">
        <f>SUM(T160:T169)</f>
        <v>336.06</v>
      </c>
      <c r="L166" s="41"/>
    </row>
    <row r="167" spans="1:26" ht="14.25">
      <c r="A167" s="23"/>
      <c r="B167" s="54"/>
      <c r="C167" s="54" t="s">
        <v>506</v>
      </c>
      <c r="D167" s="37" t="s">
        <v>505</v>
      </c>
      <c r="E167" s="10">
        <f>Source!CA145</f>
        <v>63</v>
      </c>
      <c r="F167" s="72" t="str">
        <f>CONCATENATE(" )", Source!DM145, Source!FU145, "=", Source!FY145)</f>
        <v xml:space="preserve"> )*0,85=53,55</v>
      </c>
      <c r="G167" s="81"/>
      <c r="H167" s="40">
        <f>SUM(U160:U169)</f>
        <v>5.14</v>
      </c>
      <c r="I167" s="43"/>
      <c r="J167" s="36">
        <f>Source!AU145</f>
        <v>54</v>
      </c>
      <c r="K167" s="40">
        <f>SUM(V160:V169)</f>
        <v>171.2</v>
      </c>
      <c r="L167" s="41"/>
    </row>
    <row r="168" spans="1:26" ht="14.25">
      <c r="A168" s="23"/>
      <c r="B168" s="54"/>
      <c r="C168" s="54" t="s">
        <v>507</v>
      </c>
      <c r="D168" s="37" t="s">
        <v>508</v>
      </c>
      <c r="E168" s="10">
        <f>Source!AQ145</f>
        <v>21.19</v>
      </c>
      <c r="F168" s="38"/>
      <c r="G168" s="39" t="str">
        <f>Source!DI145</f>
        <v>)*1,15</v>
      </c>
      <c r="H168" s="40"/>
      <c r="I168" s="39"/>
      <c r="J168" s="39"/>
      <c r="K168" s="40"/>
      <c r="L168" s="44">
        <f>Source!U145</f>
        <v>1.120951</v>
      </c>
    </row>
    <row r="169" spans="1:26" ht="28.5">
      <c r="A169" s="55" t="str">
        <f>Source!E146</f>
        <v>3,1</v>
      </c>
      <c r="B169" s="56" t="str">
        <f>Source!F146</f>
        <v>101-2906</v>
      </c>
      <c r="C169" s="56" t="str">
        <f>Source!G146</f>
        <v>Доски подоконные ПВХ, шириной 300 мм</v>
      </c>
      <c r="D169" s="45" t="str">
        <f>Source!H146</f>
        <v>м</v>
      </c>
      <c r="E169" s="46">
        <f>Source!I146</f>
        <v>4.5</v>
      </c>
      <c r="F169" s="47">
        <f>Source!AL146+Source!AM146+Source!AO146</f>
        <v>189.64</v>
      </c>
      <c r="G169" s="48" t="s">
        <v>3</v>
      </c>
      <c r="H169" s="49">
        <f>ROUND(Source!AC146*Source!I146, 2)+ROUND(Source!AD146*Source!I146, 2)+ROUND(Source!AF146*Source!I146, 2)</f>
        <v>853.38</v>
      </c>
      <c r="I169" s="50"/>
      <c r="J169" s="50">
        <f>IF(Source!BC146&lt;&gt; 0, Source!BC146, 1)</f>
        <v>0.95</v>
      </c>
      <c r="K169" s="49">
        <f>Source!O146</f>
        <v>810.71</v>
      </c>
      <c r="L169" s="51"/>
      <c r="S169">
        <f>ROUND((Source!FX146/100)*((ROUND(Source!AF146*Source!I146, 2)+ROUND(Source!AE146*Source!I146, 2))), 2)</f>
        <v>0</v>
      </c>
      <c r="T169">
        <f>Source!X146</f>
        <v>0</v>
      </c>
      <c r="U169">
        <f>ROUND((Source!FY146/100)*((ROUND(Source!AF146*Source!I146, 2)+ROUND(Source!AE146*Source!I146, 2))), 2)</f>
        <v>0</v>
      </c>
      <c r="V169">
        <f>Source!Y146</f>
        <v>0</v>
      </c>
      <c r="W169">
        <f>IF(Source!BI146&lt;=1,H169, 0)</f>
        <v>853.38</v>
      </c>
      <c r="X169">
        <f>IF(Source!BI146=2,H169, 0)</f>
        <v>0</v>
      </c>
      <c r="Y169">
        <f>IF(Source!BI146=3,H169, 0)</f>
        <v>0</v>
      </c>
      <c r="Z169">
        <f>IF(Source!BI146=4,H169, 0)</f>
        <v>0</v>
      </c>
    </row>
    <row r="170" spans="1:26" ht="15">
      <c r="G170" s="91">
        <f>H162+H163+H165+H166+H167+SUM(H169:H169)</f>
        <v>1063.27</v>
      </c>
      <c r="H170" s="91"/>
      <c r="J170" s="91">
        <f>K162+K163+K165+K166+K167+SUM(K169:K169)</f>
        <v>2519.83</v>
      </c>
      <c r="K170" s="91"/>
      <c r="L170" s="52">
        <f>Source!U145</f>
        <v>1.120951</v>
      </c>
      <c r="O170" s="32">
        <f>G170</f>
        <v>1063.27</v>
      </c>
      <c r="P170" s="32">
        <f>J170</f>
        <v>2519.83</v>
      </c>
      <c r="Q170" s="32">
        <f>L170</f>
        <v>1.120951</v>
      </c>
      <c r="W170">
        <f>IF(Source!BI145&lt;=1,H162+H163+H165+H166+H167, 0)</f>
        <v>209.89</v>
      </c>
      <c r="X170">
        <f>IF(Source!BI145=2,H162+H163+H165+H166+H167, 0)</f>
        <v>0</v>
      </c>
      <c r="Y170">
        <f>IF(Source!BI145=3,H162+H163+H165+H166+H167, 0)</f>
        <v>0</v>
      </c>
      <c r="Z170">
        <f>IF(Source!BI145=4,H162+H163+H165+H166+H167, 0)</f>
        <v>0</v>
      </c>
    </row>
    <row r="171" spans="1:26" ht="57">
      <c r="A171" s="23" t="str">
        <f>Source!E147</f>
        <v>4</v>
      </c>
      <c r="B171" s="54" t="str">
        <f>Source!F147</f>
        <v>15-01-050-4</v>
      </c>
      <c r="C171" s="54" t="str">
        <f>Source!G147</f>
        <v>Облицовка оконных и дверных откосов декоративным бумажно-слоистым пластиком или листами из синтетических материалов на клее</v>
      </c>
      <c r="D171" s="37" t="str">
        <f>Source!H147</f>
        <v>100 м2 облицовки</v>
      </c>
      <c r="E171" s="10">
        <f>Source!I147</f>
        <v>3.3000000000000002E-2</v>
      </c>
      <c r="F171" s="38">
        <f>Source!AL147+Source!AM147+Source!AO147</f>
        <v>2053.38</v>
      </c>
      <c r="G171" s="39"/>
      <c r="H171" s="40"/>
      <c r="I171" s="39" t="str">
        <f>Source!BO147</f>
        <v>15-01-050-4</v>
      </c>
      <c r="J171" s="39"/>
      <c r="K171" s="40"/>
      <c r="L171" s="41"/>
      <c r="S171">
        <f>ROUND((Source!FX147/100)*((ROUND(Source!AF147*Source!I147, 2)+ROUND(Source!AE147*Source!I147, 2))), 2)</f>
        <v>54.84</v>
      </c>
      <c r="T171">
        <f>Source!X147</f>
        <v>1822.29</v>
      </c>
      <c r="U171">
        <f>ROUND((Source!FY147/100)*((ROUND(Source!AF147*Source!I147, 2)+ROUND(Source!AE147*Source!I147, 2))), 2)</f>
        <v>27.13</v>
      </c>
      <c r="V171">
        <f>Source!Y147</f>
        <v>901.55</v>
      </c>
    </row>
    <row r="172" spans="1:26">
      <c r="C172" s="31" t="str">
        <f>"Объем: "&amp;Source!I147&amp;"=3,3/"&amp;"100"</f>
        <v>Объем: 0,033=3,3/100</v>
      </c>
    </row>
    <row r="173" spans="1:26" ht="14.25">
      <c r="A173" s="23"/>
      <c r="B173" s="54"/>
      <c r="C173" s="54" t="s">
        <v>502</v>
      </c>
      <c r="D173" s="37"/>
      <c r="E173" s="10"/>
      <c r="F173" s="38">
        <f>Source!AO147</f>
        <v>1528.19</v>
      </c>
      <c r="G173" s="39" t="str">
        <f>Source!DG147</f>
        <v>)*1,15</v>
      </c>
      <c r="H173" s="40">
        <f>ROUND(Source!AF147*Source!I147, 2)</f>
        <v>57.99</v>
      </c>
      <c r="I173" s="39"/>
      <c r="J173" s="39">
        <f>IF(Source!BA147&lt;&gt; 0, Source!BA147, 1)</f>
        <v>33.049999999999997</v>
      </c>
      <c r="K173" s="40">
        <f>Source!S147</f>
        <v>1916.73</v>
      </c>
      <c r="L173" s="41"/>
      <c r="R173">
        <f>H173</f>
        <v>57.99</v>
      </c>
    </row>
    <row r="174" spans="1:26" ht="14.25">
      <c r="A174" s="23"/>
      <c r="B174" s="54"/>
      <c r="C174" s="54" t="s">
        <v>70</v>
      </c>
      <c r="D174" s="37"/>
      <c r="E174" s="10"/>
      <c r="F174" s="38">
        <f>Source!AM147</f>
        <v>46.33</v>
      </c>
      <c r="G174" s="39" t="str">
        <f>Source!DE147</f>
        <v>)*1,25</v>
      </c>
      <c r="H174" s="40">
        <f>ROUND(Source!AD147*Source!I147, 2)</f>
        <v>1.91</v>
      </c>
      <c r="I174" s="39"/>
      <c r="J174" s="39">
        <f>IF(Source!BB147&lt;&gt; 0, Source!BB147, 1)</f>
        <v>10.92</v>
      </c>
      <c r="K174" s="40">
        <f>Source!Q147</f>
        <v>20.87</v>
      </c>
      <c r="L174" s="41"/>
    </row>
    <row r="175" spans="1:26" ht="14.25">
      <c r="A175" s="23"/>
      <c r="B175" s="54"/>
      <c r="C175" s="54" t="s">
        <v>503</v>
      </c>
      <c r="D175" s="37"/>
      <c r="E175" s="10"/>
      <c r="F175" s="38">
        <f>Source!AN147</f>
        <v>1.08</v>
      </c>
      <c r="G175" s="39" t="str">
        <f>Source!DF147</f>
        <v>)*1,25</v>
      </c>
      <c r="H175" s="42">
        <f>ROUND(Source!AE147*Source!I147, 2)</f>
        <v>0.04</v>
      </c>
      <c r="I175" s="39"/>
      <c r="J175" s="39">
        <f>IF(Source!BS147&lt;&gt; 0, Source!BS147, 1)</f>
        <v>33.049999999999997</v>
      </c>
      <c r="K175" s="42">
        <f>Source!R147</f>
        <v>1.47</v>
      </c>
      <c r="L175" s="41"/>
      <c r="R175">
        <f>H175</f>
        <v>0.04</v>
      </c>
    </row>
    <row r="176" spans="1:26" ht="14.25">
      <c r="A176" s="23"/>
      <c r="B176" s="54"/>
      <c r="C176" s="54" t="s">
        <v>509</v>
      </c>
      <c r="D176" s="37"/>
      <c r="E176" s="10"/>
      <c r="F176" s="38">
        <f>Source!AL147</f>
        <v>478.86</v>
      </c>
      <c r="G176" s="39" t="str">
        <f>Source!DD147</f>
        <v/>
      </c>
      <c r="H176" s="40">
        <f>ROUND(Source!AC147*Source!I147, 2)</f>
        <v>15.8</v>
      </c>
      <c r="I176" s="39"/>
      <c r="J176" s="39">
        <f>IF(Source!BC147&lt;&gt; 0, Source!BC147, 1)</f>
        <v>3.4</v>
      </c>
      <c r="K176" s="40">
        <f>Source!P147</f>
        <v>53.73</v>
      </c>
      <c r="L176" s="41"/>
    </row>
    <row r="177" spans="1:26" ht="14.25">
      <c r="A177" s="23"/>
      <c r="B177" s="54"/>
      <c r="C177" s="54" t="s">
        <v>504</v>
      </c>
      <c r="D177" s="37" t="s">
        <v>505</v>
      </c>
      <c r="E177" s="10">
        <f>Source!BZ147</f>
        <v>105</v>
      </c>
      <c r="F177" s="72" t="str">
        <f>CONCATENATE(" )", Source!DL147, Source!FT147, "=", Source!FX147)</f>
        <v xml:space="preserve"> )*0,9=94,5</v>
      </c>
      <c r="G177" s="81"/>
      <c r="H177" s="40">
        <f>SUM(S171:S179)</f>
        <v>54.84</v>
      </c>
      <c r="I177" s="43"/>
      <c r="J177" s="36">
        <f>Source!AT147</f>
        <v>95</v>
      </c>
      <c r="K177" s="40">
        <f>SUM(T171:T179)</f>
        <v>1822.29</v>
      </c>
      <c r="L177" s="41"/>
    </row>
    <row r="178" spans="1:26" ht="14.25">
      <c r="A178" s="23"/>
      <c r="B178" s="54"/>
      <c r="C178" s="54" t="s">
        <v>506</v>
      </c>
      <c r="D178" s="37" t="s">
        <v>505</v>
      </c>
      <c r="E178" s="10">
        <f>Source!CA147</f>
        <v>55</v>
      </c>
      <c r="F178" s="72" t="str">
        <f>CONCATENATE(" )", Source!DM147, Source!FU147, "=", Source!FY147)</f>
        <v xml:space="preserve"> )*0,85=46,75</v>
      </c>
      <c r="G178" s="81"/>
      <c r="H178" s="40">
        <f>SUM(U171:U179)</f>
        <v>27.13</v>
      </c>
      <c r="I178" s="43"/>
      <c r="J178" s="36">
        <f>Source!AU147</f>
        <v>47</v>
      </c>
      <c r="K178" s="40">
        <f>SUM(V171:V179)</f>
        <v>901.55</v>
      </c>
      <c r="L178" s="41"/>
    </row>
    <row r="179" spans="1:26" ht="14.25">
      <c r="A179" s="55"/>
      <c r="B179" s="56"/>
      <c r="C179" s="56" t="s">
        <v>507</v>
      </c>
      <c r="D179" s="45" t="s">
        <v>508</v>
      </c>
      <c r="E179" s="46">
        <f>Source!AQ147</f>
        <v>166.47</v>
      </c>
      <c r="F179" s="47"/>
      <c r="G179" s="50" t="str">
        <f>Source!DI147</f>
        <v>)*1,15</v>
      </c>
      <c r="H179" s="49"/>
      <c r="I179" s="50"/>
      <c r="J179" s="50"/>
      <c r="K179" s="49"/>
      <c r="L179" s="53">
        <f>Source!U147</f>
        <v>6.3175365000000001</v>
      </c>
    </row>
    <row r="180" spans="1:26" ht="15">
      <c r="G180" s="91">
        <f>H173+H174+H176+H177+H178</f>
        <v>157.67000000000002</v>
      </c>
      <c r="H180" s="91"/>
      <c r="J180" s="91">
        <f>K173+K174+K176+K177+K178</f>
        <v>4715.17</v>
      </c>
      <c r="K180" s="91"/>
      <c r="L180" s="52">
        <f>Source!U147</f>
        <v>6.3175365000000001</v>
      </c>
      <c r="O180" s="32">
        <f>G180</f>
        <v>157.67000000000002</v>
      </c>
      <c r="P180" s="32">
        <f>J180</f>
        <v>4715.17</v>
      </c>
      <c r="Q180" s="32">
        <f>L180</f>
        <v>6.3175365000000001</v>
      </c>
      <c r="W180">
        <f>IF(Source!BI147&lt;=1,H173+H174+H176+H177+H178, 0)</f>
        <v>157.67000000000002</v>
      </c>
      <c r="X180">
        <f>IF(Source!BI147=2,H173+H174+H176+H177+H178, 0)</f>
        <v>0</v>
      </c>
      <c r="Y180">
        <f>IF(Source!BI147=3,H173+H174+H176+H177+H178, 0)</f>
        <v>0</v>
      </c>
      <c r="Z180">
        <f>IF(Source!BI147=4,H173+H174+H176+H177+H178, 0)</f>
        <v>0</v>
      </c>
    </row>
    <row r="181" spans="1:26" ht="28.5">
      <c r="A181" s="23" t="str">
        <f>Source!E148</f>
        <v>6</v>
      </c>
      <c r="B181" s="54" t="str">
        <f>Source!F148</f>
        <v>46-02-009-2</v>
      </c>
      <c r="C181" s="54" t="str">
        <f>Source!G148</f>
        <v>Отбивка штукатурки с поверхностей стен и потолков кирпичных</v>
      </c>
      <c r="D181" s="37" t="str">
        <f>Source!H148</f>
        <v>100 м2</v>
      </c>
      <c r="E181" s="10">
        <f>Source!I148</f>
        <v>1.29</v>
      </c>
      <c r="F181" s="38">
        <f>Source!AL148+Source!AM148+Source!AO148</f>
        <v>178</v>
      </c>
      <c r="G181" s="39"/>
      <c r="H181" s="40"/>
      <c r="I181" s="39" t="str">
        <f>Source!BO148</f>
        <v>46-02-009-2</v>
      </c>
      <c r="J181" s="39"/>
      <c r="K181" s="40"/>
      <c r="L181" s="41"/>
      <c r="S181">
        <f>ROUND((Source!FX148/100)*((ROUND(Source!AF148*Source!I148, 2)+ROUND(Source!AE148*Source!I148, 2))), 2)</f>
        <v>227.32</v>
      </c>
      <c r="T181">
        <f>Source!X148</f>
        <v>7513.05</v>
      </c>
      <c r="U181">
        <f>ROUND((Source!FY148/100)*((ROUND(Source!AF148*Source!I148, 2)+ROUND(Source!AE148*Source!I148, 2))), 2)</f>
        <v>136.62</v>
      </c>
      <c r="V181">
        <f>Source!Y148</f>
        <v>4553.3599999999997</v>
      </c>
    </row>
    <row r="182" spans="1:26">
      <c r="C182" s="31" t="str">
        <f>"Объем: "&amp;Source!I148&amp;"=129/"&amp;"100"</f>
        <v>Объем: 1,29=129/100</v>
      </c>
    </row>
    <row r="183" spans="1:26" ht="14.25">
      <c r="A183" s="23"/>
      <c r="B183" s="54"/>
      <c r="C183" s="54" t="s">
        <v>502</v>
      </c>
      <c r="D183" s="37"/>
      <c r="E183" s="10"/>
      <c r="F183" s="38">
        <f>Source!AO148</f>
        <v>178</v>
      </c>
      <c r="G183" s="39" t="str">
        <f>Source!DG148</f>
        <v/>
      </c>
      <c r="H183" s="40">
        <f>ROUND(Source!AF148*Source!I148, 2)</f>
        <v>229.62</v>
      </c>
      <c r="I183" s="39"/>
      <c r="J183" s="39">
        <f>IF(Source!BA148&lt;&gt; 0, Source!BA148, 1)</f>
        <v>33.049999999999997</v>
      </c>
      <c r="K183" s="40">
        <f>Source!S148</f>
        <v>7588.94</v>
      </c>
      <c r="L183" s="41"/>
      <c r="R183">
        <f>H183</f>
        <v>229.62</v>
      </c>
    </row>
    <row r="184" spans="1:26" ht="14.25">
      <c r="A184" s="23"/>
      <c r="B184" s="54"/>
      <c r="C184" s="54" t="s">
        <v>504</v>
      </c>
      <c r="D184" s="37" t="s">
        <v>505</v>
      </c>
      <c r="E184" s="10">
        <f>Source!BZ148</f>
        <v>110</v>
      </c>
      <c r="F184" s="72" t="str">
        <f>CONCATENATE(" )", Source!DL148, Source!FT148, "=", Source!FX148)</f>
        <v xml:space="preserve"> )*0,9=99</v>
      </c>
      <c r="G184" s="81"/>
      <c r="H184" s="40">
        <f>SUM(S181:S186)</f>
        <v>227.32</v>
      </c>
      <c r="I184" s="43"/>
      <c r="J184" s="36">
        <f>Source!AT148</f>
        <v>99</v>
      </c>
      <c r="K184" s="40">
        <f>SUM(T181:T186)</f>
        <v>7513.05</v>
      </c>
      <c r="L184" s="41"/>
    </row>
    <row r="185" spans="1:26" ht="14.25">
      <c r="A185" s="23"/>
      <c r="B185" s="54"/>
      <c r="C185" s="54" t="s">
        <v>506</v>
      </c>
      <c r="D185" s="37" t="s">
        <v>505</v>
      </c>
      <c r="E185" s="10">
        <f>Source!CA148</f>
        <v>70</v>
      </c>
      <c r="F185" s="72" t="str">
        <f>CONCATENATE(" )", Source!DM148, Source!FU148, "=", Source!FY148)</f>
        <v xml:space="preserve"> )*0,85=59,5</v>
      </c>
      <c r="G185" s="81"/>
      <c r="H185" s="40">
        <f>SUM(U181:U186)</f>
        <v>136.62</v>
      </c>
      <c r="I185" s="43"/>
      <c r="J185" s="36">
        <f>Source!AU148</f>
        <v>60</v>
      </c>
      <c r="K185" s="40">
        <f>SUM(V181:V186)</f>
        <v>4553.3599999999997</v>
      </c>
      <c r="L185" s="41"/>
    </row>
    <row r="186" spans="1:26" ht="14.25">
      <c r="A186" s="55"/>
      <c r="B186" s="56"/>
      <c r="C186" s="56" t="s">
        <v>507</v>
      </c>
      <c r="D186" s="45" t="s">
        <v>508</v>
      </c>
      <c r="E186" s="46">
        <f>Source!AQ148</f>
        <v>22.82</v>
      </c>
      <c r="F186" s="47"/>
      <c r="G186" s="50" t="str">
        <f>Source!DI148</f>
        <v/>
      </c>
      <c r="H186" s="49"/>
      <c r="I186" s="50"/>
      <c r="J186" s="50"/>
      <c r="K186" s="49"/>
      <c r="L186" s="53">
        <f>Source!U148</f>
        <v>29.437800000000003</v>
      </c>
    </row>
    <row r="187" spans="1:26" ht="15">
      <c r="G187" s="91">
        <f>H183+H184+H185</f>
        <v>593.55999999999995</v>
      </c>
      <c r="H187" s="91"/>
      <c r="J187" s="91">
        <f>K183+K184+K185</f>
        <v>19655.349999999999</v>
      </c>
      <c r="K187" s="91"/>
      <c r="L187" s="52">
        <f>Source!U148</f>
        <v>29.437800000000003</v>
      </c>
      <c r="O187" s="32">
        <f>G187</f>
        <v>593.55999999999995</v>
      </c>
      <c r="P187" s="32">
        <f>J187</f>
        <v>19655.349999999999</v>
      </c>
      <c r="Q187" s="32">
        <f>L187</f>
        <v>29.437800000000003</v>
      </c>
      <c r="W187">
        <f>IF(Source!BI148&lt;=1,H183+H184+H185, 0)</f>
        <v>593.55999999999995</v>
      </c>
      <c r="X187">
        <f>IF(Source!BI148=2,H183+H184+H185, 0)</f>
        <v>0</v>
      </c>
      <c r="Y187">
        <f>IF(Source!BI148=3,H183+H184+H185, 0)</f>
        <v>0</v>
      </c>
      <c r="Z187">
        <f>IF(Source!BI148=4,H183+H184+H185, 0)</f>
        <v>0</v>
      </c>
    </row>
    <row r="188" spans="1:26" ht="85.5">
      <c r="A188" s="23" t="str">
        <f>Source!E149</f>
        <v>10</v>
      </c>
      <c r="B188" s="54" t="s">
        <v>516</v>
      </c>
      <c r="C188" s="54" t="str">
        <f>Source!G149</f>
        <v>Штукатурка поверхностей внутри здания известковым раствором улучшенная по камню и бетону стен</v>
      </c>
      <c r="D188" s="37" t="str">
        <f>Source!H149</f>
        <v>100 м2 оштукатуриваемой поверхности</v>
      </c>
      <c r="E188" s="10">
        <f>Source!I149</f>
        <v>1.29</v>
      </c>
      <c r="F188" s="38">
        <f>Source!AL149+Source!AM149+Source!AO149</f>
        <v>1787.0300000000002</v>
      </c>
      <c r="G188" s="39"/>
      <c r="H188" s="40"/>
      <c r="I188" s="39" t="str">
        <f>Source!BO149</f>
        <v>15-02-015-5</v>
      </c>
      <c r="J188" s="39"/>
      <c r="K188" s="40"/>
      <c r="L188" s="41"/>
      <c r="S188">
        <f>ROUND((Source!FX149/100)*((ROUND(Source!AF149*Source!I149, 2)+ROUND(Source!AE149*Source!I149, 2))), 2)</f>
        <v>1048.33</v>
      </c>
      <c r="T188">
        <f>Source!X149</f>
        <v>34830.42</v>
      </c>
      <c r="U188">
        <f>ROUND((Source!FY149/100)*((ROUND(Source!AF149*Source!I149, 2)+ROUND(Source!AE149*Source!I149, 2))), 2)</f>
        <v>518.62</v>
      </c>
      <c r="V188">
        <f>Source!Y149</f>
        <v>17231.89</v>
      </c>
    </row>
    <row r="189" spans="1:26">
      <c r="C189" s="31" t="str">
        <f>"Объем: "&amp;Source!I149&amp;"=129/"&amp;"100"</f>
        <v>Объем: 1,29=129/100</v>
      </c>
    </row>
    <row r="190" spans="1:26" ht="14.25">
      <c r="A190" s="23"/>
      <c r="B190" s="54"/>
      <c r="C190" s="54" t="s">
        <v>502</v>
      </c>
      <c r="D190" s="37"/>
      <c r="E190" s="10"/>
      <c r="F190" s="38">
        <f>Source!AO149</f>
        <v>697.86</v>
      </c>
      <c r="G190" s="39" t="str">
        <f>Source!DG149</f>
        <v>)*1,15</v>
      </c>
      <c r="H190" s="40">
        <f>ROUND(Source!AF149*Source!I149, 2)</f>
        <v>1035.28</v>
      </c>
      <c r="I190" s="39"/>
      <c r="J190" s="39">
        <f>IF(Source!BA149&lt;&gt; 0, Source!BA149, 1)</f>
        <v>33.049999999999997</v>
      </c>
      <c r="K190" s="40">
        <f>Source!S149</f>
        <v>34215.85</v>
      </c>
      <c r="L190" s="41"/>
      <c r="R190">
        <f>H190</f>
        <v>1035.28</v>
      </c>
    </row>
    <row r="191" spans="1:26" ht="14.25">
      <c r="A191" s="23"/>
      <c r="B191" s="54"/>
      <c r="C191" s="54" t="s">
        <v>70</v>
      </c>
      <c r="D191" s="37"/>
      <c r="E191" s="10"/>
      <c r="F191" s="38">
        <f>Source!AM149</f>
        <v>80.959999999999994</v>
      </c>
      <c r="G191" s="39" t="str">
        <f>Source!DE149</f>
        <v>)*1,25</v>
      </c>
      <c r="H191" s="40">
        <f>ROUND(Source!AD149*Source!I149, 2)</f>
        <v>130.55000000000001</v>
      </c>
      <c r="I191" s="39"/>
      <c r="J191" s="39">
        <f>IF(Source!BB149&lt;&gt; 0, Source!BB149, 1)</f>
        <v>21.56</v>
      </c>
      <c r="K191" s="40">
        <f>Source!Q149</f>
        <v>2814.61</v>
      </c>
      <c r="L191" s="41"/>
    </row>
    <row r="192" spans="1:26" ht="14.25">
      <c r="A192" s="23"/>
      <c r="B192" s="54"/>
      <c r="C192" s="54" t="s">
        <v>503</v>
      </c>
      <c r="D192" s="37"/>
      <c r="E192" s="10"/>
      <c r="F192" s="38">
        <f>Source!AN149</f>
        <v>45.93</v>
      </c>
      <c r="G192" s="39" t="str">
        <f>Source!DF149</f>
        <v>)*1,25</v>
      </c>
      <c r="H192" s="42">
        <f>ROUND(Source!AE149*Source!I149, 2)</f>
        <v>74.06</v>
      </c>
      <c r="I192" s="39"/>
      <c r="J192" s="39">
        <f>IF(Source!BS149&lt;&gt; 0, Source!BS149, 1)</f>
        <v>33.049999999999997</v>
      </c>
      <c r="K192" s="42">
        <f>Source!R149</f>
        <v>2447.75</v>
      </c>
      <c r="L192" s="41"/>
      <c r="R192">
        <f>H192</f>
        <v>74.06</v>
      </c>
    </row>
    <row r="193" spans="1:26" ht="14.25">
      <c r="A193" s="23"/>
      <c r="B193" s="54"/>
      <c r="C193" s="54" t="s">
        <v>509</v>
      </c>
      <c r="D193" s="37"/>
      <c r="E193" s="10"/>
      <c r="F193" s="38">
        <f>Source!AL149</f>
        <v>1008.21</v>
      </c>
      <c r="G193" s="39" t="str">
        <f>Source!DD149</f>
        <v/>
      </c>
      <c r="H193" s="40">
        <f>ROUND(Source!AC149*Source!I149, 2)</f>
        <v>1300.5899999999999</v>
      </c>
      <c r="I193" s="39"/>
      <c r="J193" s="39">
        <f>IF(Source!BC149&lt;&gt; 0, Source!BC149, 1)</f>
        <v>6.73</v>
      </c>
      <c r="K193" s="40">
        <f>Source!P149</f>
        <v>8752.98</v>
      </c>
      <c r="L193" s="41"/>
    </row>
    <row r="194" spans="1:26" ht="14.25">
      <c r="A194" s="23"/>
      <c r="B194" s="54"/>
      <c r="C194" s="54" t="s">
        <v>504</v>
      </c>
      <c r="D194" s="37" t="s">
        <v>505</v>
      </c>
      <c r="E194" s="10">
        <f>Source!BZ149</f>
        <v>105</v>
      </c>
      <c r="F194" s="72" t="str">
        <f>CONCATENATE(" )", Source!DL149, Source!FT149, "=", Source!FX149)</f>
        <v xml:space="preserve"> )*0,9=94,5</v>
      </c>
      <c r="G194" s="81"/>
      <c r="H194" s="40">
        <f>SUM(S188:S196)</f>
        <v>1048.33</v>
      </c>
      <c r="I194" s="43"/>
      <c r="J194" s="36">
        <f>Source!AT149</f>
        <v>95</v>
      </c>
      <c r="K194" s="40">
        <f>SUM(T188:T196)</f>
        <v>34830.42</v>
      </c>
      <c r="L194" s="41"/>
    </row>
    <row r="195" spans="1:26" ht="14.25">
      <c r="A195" s="23"/>
      <c r="B195" s="54"/>
      <c r="C195" s="54" t="s">
        <v>506</v>
      </c>
      <c r="D195" s="37" t="s">
        <v>505</v>
      </c>
      <c r="E195" s="10">
        <f>Source!CA149</f>
        <v>55</v>
      </c>
      <c r="F195" s="72" t="str">
        <f>CONCATENATE(" )", Source!DM149, Source!FU149, "=", Source!FY149)</f>
        <v xml:space="preserve"> )*0,85=46,75</v>
      </c>
      <c r="G195" s="81"/>
      <c r="H195" s="40">
        <f>SUM(U188:U196)</f>
        <v>518.62</v>
      </c>
      <c r="I195" s="43"/>
      <c r="J195" s="36">
        <f>Source!AU149</f>
        <v>47</v>
      </c>
      <c r="K195" s="40">
        <f>SUM(V188:V196)</f>
        <v>17231.89</v>
      </c>
      <c r="L195" s="41"/>
    </row>
    <row r="196" spans="1:26" ht="14.25">
      <c r="A196" s="55"/>
      <c r="B196" s="56"/>
      <c r="C196" s="56" t="s">
        <v>507</v>
      </c>
      <c r="D196" s="45" t="s">
        <v>508</v>
      </c>
      <c r="E196" s="46">
        <f>Source!AQ149</f>
        <v>74.239999999999995</v>
      </c>
      <c r="F196" s="47"/>
      <c r="G196" s="50" t="str">
        <f>Source!DI149</f>
        <v>)*1,15</v>
      </c>
      <c r="H196" s="49"/>
      <c r="I196" s="50"/>
      <c r="J196" s="50"/>
      <c r="K196" s="49"/>
      <c r="L196" s="53">
        <f>Source!U149</f>
        <v>110.13503999999999</v>
      </c>
    </row>
    <row r="197" spans="1:26" ht="15">
      <c r="G197" s="91">
        <f>H190+H191+H193+H194+H195</f>
        <v>4033.37</v>
      </c>
      <c r="H197" s="91"/>
      <c r="J197" s="91">
        <f>K190+K191+K193+K194+K195</f>
        <v>97845.75</v>
      </c>
      <c r="K197" s="91"/>
      <c r="L197" s="52">
        <f>Source!U149</f>
        <v>110.13503999999999</v>
      </c>
      <c r="O197" s="32">
        <f>G197</f>
        <v>4033.37</v>
      </c>
      <c r="P197" s="32">
        <f>J197</f>
        <v>97845.75</v>
      </c>
      <c r="Q197" s="32">
        <f>L197</f>
        <v>110.13503999999999</v>
      </c>
      <c r="W197">
        <f>IF(Source!BI149&lt;=1,H190+H191+H193+H194+H195, 0)</f>
        <v>4033.37</v>
      </c>
      <c r="X197">
        <f>IF(Source!BI149=2,H190+H191+H193+H194+H195, 0)</f>
        <v>0</v>
      </c>
      <c r="Y197">
        <f>IF(Source!BI149=3,H190+H191+H193+H194+H195, 0)</f>
        <v>0</v>
      </c>
      <c r="Z197">
        <f>IF(Source!BI149=4,H190+H191+H193+H194+H195, 0)</f>
        <v>0</v>
      </c>
    </row>
    <row r="198" spans="1:26" ht="114">
      <c r="A198" s="23" t="str">
        <f>Source!E150</f>
        <v>11</v>
      </c>
      <c r="B198" s="54" t="s">
        <v>517</v>
      </c>
      <c r="C198" s="54" t="str">
        <f>Source!G150</f>
        <v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поверхности, состав с наполнителем из среднезернистого минерала (размер зерна до 3 мм)</v>
      </c>
      <c r="D198" s="37" t="str">
        <f>Source!H150</f>
        <v>100 м2 отделываемой поверхности</v>
      </c>
      <c r="E198" s="10">
        <f>Source!I150</f>
        <v>1.29</v>
      </c>
      <c r="F198" s="38">
        <f>Source!AL150+Source!AM150+Source!AO150</f>
        <v>9660.06</v>
      </c>
      <c r="G198" s="39"/>
      <c r="H198" s="40"/>
      <c r="I198" s="39" t="str">
        <f>Source!BO150</f>
        <v>15-04-048-7</v>
      </c>
      <c r="J198" s="39"/>
      <c r="K198" s="40"/>
      <c r="L198" s="41"/>
      <c r="S198">
        <f>ROUND((Source!FX150/100)*((ROUND(Source!AF150*Source!I150, 2)+ROUND(Source!AE150*Source!I150, 2))), 2)</f>
        <v>865.6</v>
      </c>
      <c r="T198">
        <f>Source!X150</f>
        <v>28759.26</v>
      </c>
      <c r="U198">
        <f>ROUND((Source!FY150/100)*((ROUND(Source!AF150*Source!I150, 2)+ROUND(Source!AE150*Source!I150, 2))), 2)</f>
        <v>428.22</v>
      </c>
      <c r="V198">
        <f>Source!Y150</f>
        <v>14228.27</v>
      </c>
    </row>
    <row r="199" spans="1:26">
      <c r="C199" s="31" t="str">
        <f>"Объем: "&amp;Source!I150&amp;"=129/"&amp;"100"</f>
        <v>Объем: 1,29=129/100</v>
      </c>
    </row>
    <row r="200" spans="1:26" ht="14.25">
      <c r="A200" s="23"/>
      <c r="B200" s="54"/>
      <c r="C200" s="54" t="s">
        <v>502</v>
      </c>
      <c r="D200" s="37"/>
      <c r="E200" s="10"/>
      <c r="F200" s="38">
        <f>Source!AO150</f>
        <v>616.55999999999995</v>
      </c>
      <c r="G200" s="39" t="str">
        <f>Source!DG150</f>
        <v>)*1,15</v>
      </c>
      <c r="H200" s="40">
        <f>ROUND(Source!AF150*Source!I150, 2)</f>
        <v>914.67</v>
      </c>
      <c r="I200" s="39"/>
      <c r="J200" s="39">
        <f>IF(Source!BA150&lt;&gt; 0, Source!BA150, 1)</f>
        <v>33.049999999999997</v>
      </c>
      <c r="K200" s="40">
        <f>Source!S150</f>
        <v>30229.74</v>
      </c>
      <c r="L200" s="41"/>
      <c r="R200">
        <f>H200</f>
        <v>914.67</v>
      </c>
    </row>
    <row r="201" spans="1:26" ht="14.25">
      <c r="A201" s="23"/>
      <c r="B201" s="54"/>
      <c r="C201" s="54" t="s">
        <v>70</v>
      </c>
      <c r="D201" s="37"/>
      <c r="E201" s="10"/>
      <c r="F201" s="38">
        <f>Source!AM150</f>
        <v>37.590000000000003</v>
      </c>
      <c r="G201" s="39" t="str">
        <f>Source!DE150</f>
        <v>)*1,25</v>
      </c>
      <c r="H201" s="40">
        <f>ROUND(Source!AD150*Source!I150, 2)</f>
        <v>60.61</v>
      </c>
      <c r="I201" s="39"/>
      <c r="J201" s="39">
        <f>IF(Source!BB150&lt;&gt; 0, Source!BB150, 1)</f>
        <v>10.43</v>
      </c>
      <c r="K201" s="40">
        <f>Source!Q150</f>
        <v>632.20000000000005</v>
      </c>
      <c r="L201" s="41"/>
    </row>
    <row r="202" spans="1:26" ht="14.25">
      <c r="A202" s="23"/>
      <c r="B202" s="54"/>
      <c r="C202" s="54" t="s">
        <v>503</v>
      </c>
      <c r="D202" s="37"/>
      <c r="E202" s="10"/>
      <c r="F202" s="38">
        <f>Source!AN150</f>
        <v>0.81</v>
      </c>
      <c r="G202" s="39" t="str">
        <f>Source!DF150</f>
        <v>)*1,25</v>
      </c>
      <c r="H202" s="42">
        <f>ROUND(Source!AE150*Source!I150, 2)</f>
        <v>1.31</v>
      </c>
      <c r="I202" s="39"/>
      <c r="J202" s="39">
        <f>IF(Source!BS150&lt;&gt; 0, Source!BS150, 1)</f>
        <v>33.049999999999997</v>
      </c>
      <c r="K202" s="42">
        <f>Source!R150</f>
        <v>43.17</v>
      </c>
      <c r="L202" s="41"/>
      <c r="R202">
        <f>H202</f>
        <v>1.31</v>
      </c>
    </row>
    <row r="203" spans="1:26" ht="14.25">
      <c r="A203" s="23"/>
      <c r="B203" s="54"/>
      <c r="C203" s="54" t="s">
        <v>509</v>
      </c>
      <c r="D203" s="37"/>
      <c r="E203" s="10"/>
      <c r="F203" s="38">
        <f>Source!AL150</f>
        <v>9005.91</v>
      </c>
      <c r="G203" s="39" t="str">
        <f>Source!DD150</f>
        <v/>
      </c>
      <c r="H203" s="40">
        <f>ROUND(Source!AC150*Source!I150, 2)</f>
        <v>11617.62</v>
      </c>
      <c r="I203" s="39"/>
      <c r="J203" s="39">
        <f>IF(Source!BC150&lt;&gt; 0, Source!BC150, 1)</f>
        <v>0.6</v>
      </c>
      <c r="K203" s="40">
        <f>Source!P150</f>
        <v>6970.57</v>
      </c>
      <c r="L203" s="41"/>
    </row>
    <row r="204" spans="1:26" ht="14.25">
      <c r="A204" s="23"/>
      <c r="B204" s="54"/>
      <c r="C204" s="54" t="s">
        <v>504</v>
      </c>
      <c r="D204" s="37" t="s">
        <v>505</v>
      </c>
      <c r="E204" s="10">
        <f>Source!BZ150</f>
        <v>105</v>
      </c>
      <c r="F204" s="72" t="str">
        <f>CONCATENATE(" )", Source!DL150, Source!FT150, "=", Source!FX150)</f>
        <v xml:space="preserve"> )*0,9=94,5</v>
      </c>
      <c r="G204" s="81"/>
      <c r="H204" s="40">
        <f>SUM(S198:S207)</f>
        <v>865.6</v>
      </c>
      <c r="I204" s="43"/>
      <c r="J204" s="36">
        <f>Source!AT150</f>
        <v>95</v>
      </c>
      <c r="K204" s="40">
        <f>SUM(T198:T207)</f>
        <v>28759.26</v>
      </c>
      <c r="L204" s="41"/>
    </row>
    <row r="205" spans="1:26" ht="14.25">
      <c r="A205" s="23"/>
      <c r="B205" s="54"/>
      <c r="C205" s="54" t="s">
        <v>506</v>
      </c>
      <c r="D205" s="37" t="s">
        <v>505</v>
      </c>
      <c r="E205" s="10">
        <f>Source!CA150</f>
        <v>55</v>
      </c>
      <c r="F205" s="72" t="str">
        <f>CONCATENATE(" )", Source!DM150, Source!FU150, "=", Source!FY150)</f>
        <v xml:space="preserve"> )*0,85=46,75</v>
      </c>
      <c r="G205" s="81"/>
      <c r="H205" s="40">
        <f>SUM(U198:U207)</f>
        <v>428.22</v>
      </c>
      <c r="I205" s="43"/>
      <c r="J205" s="36">
        <f>Source!AU150</f>
        <v>47</v>
      </c>
      <c r="K205" s="40">
        <f>SUM(V198:V207)</f>
        <v>14228.27</v>
      </c>
      <c r="L205" s="41"/>
    </row>
    <row r="206" spans="1:26" ht="14.25">
      <c r="A206" s="23"/>
      <c r="B206" s="54"/>
      <c r="C206" s="54" t="s">
        <v>507</v>
      </c>
      <c r="D206" s="37" t="s">
        <v>508</v>
      </c>
      <c r="E206" s="10">
        <f>Source!AQ150</f>
        <v>58.72</v>
      </c>
      <c r="F206" s="38"/>
      <c r="G206" s="39" t="str">
        <f>Source!DI150</f>
        <v>)*1,15</v>
      </c>
      <c r="H206" s="40"/>
      <c r="I206" s="39"/>
      <c r="J206" s="39"/>
      <c r="K206" s="40"/>
      <c r="L206" s="44">
        <f>Source!U150</f>
        <v>87.111119999999985</v>
      </c>
    </row>
    <row r="207" spans="1:26" ht="28.5">
      <c r="A207" s="55" t="str">
        <f>Source!E151</f>
        <v>11,1</v>
      </c>
      <c r="B207" s="56" t="str">
        <f>Source!F151</f>
        <v>113-9310</v>
      </c>
      <c r="C207" s="56" t="str">
        <f>Source!G151</f>
        <v>Состав грунтовочный на латексной основе</v>
      </c>
      <c r="D207" s="45" t="str">
        <f>Source!H151</f>
        <v>т</v>
      </c>
      <c r="E207" s="46">
        <f>Source!I151</f>
        <v>2.0639999999999995E-2</v>
      </c>
      <c r="F207" s="47">
        <f>Source!AL151+Source!AM151+Source!AO151</f>
        <v>0</v>
      </c>
      <c r="G207" s="48" t="s">
        <v>3</v>
      </c>
      <c r="H207" s="49">
        <f>ROUND(Source!AC151*Source!I151, 2)+ROUND(Source!AD151*Source!I151, 2)+ROUND(Source!AF151*Source!I151, 2)</f>
        <v>0</v>
      </c>
      <c r="I207" s="50"/>
      <c r="J207" s="50">
        <f>IF(Source!BC151&lt;&gt; 0, Source!BC151, 1)</f>
        <v>1</v>
      </c>
      <c r="K207" s="49">
        <f>Source!O151</f>
        <v>0</v>
      </c>
      <c r="L207" s="51"/>
      <c r="S207">
        <f>ROUND((Source!FX151/100)*((ROUND(Source!AF151*Source!I151, 2)+ROUND(Source!AE151*Source!I151, 2))), 2)</f>
        <v>0</v>
      </c>
      <c r="T207">
        <f>Source!X151</f>
        <v>0</v>
      </c>
      <c r="U207">
        <f>ROUND((Source!FY151/100)*((ROUND(Source!AF151*Source!I151, 2)+ROUND(Source!AE151*Source!I151, 2))), 2)</f>
        <v>0</v>
      </c>
      <c r="V207">
        <f>Source!Y151</f>
        <v>0</v>
      </c>
      <c r="W207">
        <f>IF(Source!BI151&lt;=1,H207, 0)</f>
        <v>0</v>
      </c>
      <c r="X207">
        <f>IF(Source!BI151=2,H207, 0)</f>
        <v>0</v>
      </c>
      <c r="Y207">
        <f>IF(Source!BI151=3,H207, 0)</f>
        <v>0</v>
      </c>
      <c r="Z207">
        <f>IF(Source!BI151=4,H207, 0)</f>
        <v>0</v>
      </c>
    </row>
    <row r="208" spans="1:26" ht="15">
      <c r="G208" s="91">
        <f>H200+H201+H203+H204+H205+SUM(H207:H207)</f>
        <v>13886.720000000001</v>
      </c>
      <c r="H208" s="91"/>
      <c r="J208" s="91">
        <f>K200+K201+K203+K204+K205+SUM(K207:K207)</f>
        <v>80820.040000000008</v>
      </c>
      <c r="K208" s="91"/>
      <c r="L208" s="52">
        <f>Source!U150</f>
        <v>87.111119999999985</v>
      </c>
      <c r="O208" s="32">
        <f>G208</f>
        <v>13886.720000000001</v>
      </c>
      <c r="P208" s="32">
        <f>J208</f>
        <v>80820.040000000008</v>
      </c>
      <c r="Q208" s="32">
        <f>L208</f>
        <v>87.111119999999985</v>
      </c>
      <c r="W208">
        <f>IF(Source!BI150&lt;=1,H200+H201+H203+H204+H205, 0)</f>
        <v>13886.720000000001</v>
      </c>
      <c r="X208">
        <f>IF(Source!BI150=2,H200+H201+H203+H204+H205, 0)</f>
        <v>0</v>
      </c>
      <c r="Y208">
        <f>IF(Source!BI150=3,H200+H201+H203+H204+H205, 0)</f>
        <v>0</v>
      </c>
      <c r="Z208">
        <f>IF(Source!BI150=4,H200+H201+H203+H204+H205, 0)</f>
        <v>0</v>
      </c>
    </row>
    <row r="209" spans="1:26" ht="28.5">
      <c r="A209" s="55" t="str">
        <f>Source!E152</f>
        <v>12</v>
      </c>
      <c r="B209" s="56" t="str">
        <f>Source!F152</f>
        <v>101-3459</v>
      </c>
      <c r="C209" s="56" t="str">
        <f>Source!G152</f>
        <v>Грунтовка акриловая PRIMER С проникающая, адгезионная, LITOCOL</v>
      </c>
      <c r="D209" s="45" t="str">
        <f>Source!H152</f>
        <v>кг</v>
      </c>
      <c r="E209" s="46">
        <f>Source!I152</f>
        <v>20</v>
      </c>
      <c r="F209" s="47">
        <f>Source!AL152</f>
        <v>53.72</v>
      </c>
      <c r="G209" s="50" t="str">
        <f>Source!DD152</f>
        <v/>
      </c>
      <c r="H209" s="49">
        <f>ROUND(Source!AC152*Source!I152, 2)</f>
        <v>1074.4000000000001</v>
      </c>
      <c r="I209" s="50" t="str">
        <f>Source!BO152</f>
        <v>101-3459</v>
      </c>
      <c r="J209" s="50">
        <f>IF(Source!BC152&lt;&gt; 0, Source!BC152, 1)</f>
        <v>2.25</v>
      </c>
      <c r="K209" s="49">
        <f>Source!P152</f>
        <v>2417.4</v>
      </c>
      <c r="L209" s="51"/>
      <c r="S209">
        <f>ROUND((Source!FX152/100)*((ROUND(Source!AF152*Source!I152, 2)+ROUND(Source!AE152*Source!I152, 2))), 2)</f>
        <v>0</v>
      </c>
      <c r="T209">
        <f>Source!X152</f>
        <v>0</v>
      </c>
      <c r="U209">
        <f>ROUND((Source!FY152/100)*((ROUND(Source!AF152*Source!I152, 2)+ROUND(Source!AE152*Source!I152, 2))), 2)</f>
        <v>0</v>
      </c>
      <c r="V209">
        <f>Source!Y152</f>
        <v>0</v>
      </c>
    </row>
    <row r="210" spans="1:26" ht="15">
      <c r="G210" s="91">
        <f>H209</f>
        <v>1074.4000000000001</v>
      </c>
      <c r="H210" s="91"/>
      <c r="J210" s="91">
        <f>K209</f>
        <v>2417.4</v>
      </c>
      <c r="K210" s="91"/>
      <c r="L210" s="52">
        <f>Source!U152</f>
        <v>0</v>
      </c>
      <c r="O210" s="32">
        <f>G210</f>
        <v>1074.4000000000001</v>
      </c>
      <c r="P210" s="32">
        <f>J210</f>
        <v>2417.4</v>
      </c>
      <c r="Q210" s="32">
        <f>L210</f>
        <v>0</v>
      </c>
      <c r="W210">
        <f>IF(Source!BI152&lt;=1,H209, 0)</f>
        <v>1074.4000000000001</v>
      </c>
      <c r="X210">
        <f>IF(Source!BI152=2,H209, 0)</f>
        <v>0</v>
      </c>
      <c r="Y210">
        <f>IF(Source!BI152=3,H209, 0)</f>
        <v>0</v>
      </c>
      <c r="Z210">
        <f>IF(Source!BI152=4,H209, 0)</f>
        <v>0</v>
      </c>
    </row>
    <row r="211" spans="1:26" ht="79.5">
      <c r="A211" s="23" t="str">
        <f>Source!E153</f>
        <v>13</v>
      </c>
      <c r="B211" s="54" t="s">
        <v>518</v>
      </c>
      <c r="C211" s="54" t="str">
        <f>Source!G153</f>
        <v>При структурировании поверхности фактурными валиками или шпателями добавлять к расценкам 15-04-048-06, 15-04-048-07, 15-04-048-08</v>
      </c>
      <c r="D211" s="37" t="str">
        <f>Source!H153</f>
        <v>100 м2 отделываемой поверхности</v>
      </c>
      <c r="E211" s="10">
        <f>Source!I153</f>
        <v>1.29</v>
      </c>
      <c r="F211" s="38">
        <f>Source!AL153+Source!AM153+Source!AO153</f>
        <v>236.78</v>
      </c>
      <c r="G211" s="39"/>
      <c r="H211" s="40"/>
      <c r="I211" s="39" t="str">
        <f>Source!BO153</f>
        <v>15-04-048-13</v>
      </c>
      <c r="J211" s="39"/>
      <c r="K211" s="40"/>
      <c r="L211" s="41"/>
      <c r="S211">
        <f>ROUND((Source!FX153/100)*((ROUND(Source!AF153*Source!I153, 2)+ROUND(Source!AE153*Source!I153, 2))), 2)</f>
        <v>331.94</v>
      </c>
      <c r="T211">
        <f>Source!X153</f>
        <v>11028.79</v>
      </c>
      <c r="U211">
        <f>ROUND((Source!FY153/100)*((ROUND(Source!AF153*Source!I153, 2)+ROUND(Source!AE153*Source!I153, 2))), 2)</f>
        <v>164.21</v>
      </c>
      <c r="V211">
        <f>Source!Y153</f>
        <v>5456.35</v>
      </c>
    </row>
    <row r="212" spans="1:26">
      <c r="C212" s="31" t="str">
        <f>"Объем: "&amp;Source!I153&amp;"=129/"&amp;"100"</f>
        <v>Объем: 1,29=129/100</v>
      </c>
    </row>
    <row r="213" spans="1:26" ht="14.25">
      <c r="A213" s="23"/>
      <c r="B213" s="54"/>
      <c r="C213" s="54" t="s">
        <v>502</v>
      </c>
      <c r="D213" s="37"/>
      <c r="E213" s="10"/>
      <c r="F213" s="38">
        <f>Source!AO153</f>
        <v>236.78</v>
      </c>
      <c r="G213" s="39" t="str">
        <f>Source!DG153</f>
        <v>)*1,15</v>
      </c>
      <c r="H213" s="40">
        <f>ROUND(Source!AF153*Source!I153, 2)</f>
        <v>351.26</v>
      </c>
      <c r="I213" s="39"/>
      <c r="J213" s="39">
        <f>IF(Source!BA153&lt;&gt; 0, Source!BA153, 1)</f>
        <v>33.049999999999997</v>
      </c>
      <c r="K213" s="40">
        <f>Source!S153</f>
        <v>11609.25</v>
      </c>
      <c r="L213" s="41"/>
      <c r="R213">
        <f>H213</f>
        <v>351.26</v>
      </c>
    </row>
    <row r="214" spans="1:26" ht="14.25">
      <c r="A214" s="23"/>
      <c r="B214" s="54"/>
      <c r="C214" s="54" t="s">
        <v>504</v>
      </c>
      <c r="D214" s="37" t="s">
        <v>505</v>
      </c>
      <c r="E214" s="10">
        <f>Source!BZ153</f>
        <v>105</v>
      </c>
      <c r="F214" s="72" t="str">
        <f>CONCATENATE(" )", Source!DL153, Source!FT153, "=", Source!FX153)</f>
        <v xml:space="preserve"> )*0,9=94,5</v>
      </c>
      <c r="G214" s="81"/>
      <c r="H214" s="40">
        <f>SUM(S211:S216)</f>
        <v>331.94</v>
      </c>
      <c r="I214" s="43"/>
      <c r="J214" s="36">
        <f>Source!AT153</f>
        <v>95</v>
      </c>
      <c r="K214" s="40">
        <f>SUM(T211:T216)</f>
        <v>11028.79</v>
      </c>
      <c r="L214" s="41"/>
    </row>
    <row r="215" spans="1:26" ht="14.25">
      <c r="A215" s="23"/>
      <c r="B215" s="54"/>
      <c r="C215" s="54" t="s">
        <v>506</v>
      </c>
      <c r="D215" s="37" t="s">
        <v>505</v>
      </c>
      <c r="E215" s="10">
        <f>Source!CA153</f>
        <v>55</v>
      </c>
      <c r="F215" s="72" t="str">
        <f>CONCATENATE(" )", Source!DM153, Source!FU153, "=", Source!FY153)</f>
        <v xml:space="preserve"> )*0,85=46,75</v>
      </c>
      <c r="G215" s="81"/>
      <c r="H215" s="40">
        <f>SUM(U211:U216)</f>
        <v>164.21</v>
      </c>
      <c r="I215" s="43"/>
      <c r="J215" s="36">
        <f>Source!AU153</f>
        <v>47</v>
      </c>
      <c r="K215" s="40">
        <f>SUM(V211:V216)</f>
        <v>5456.35</v>
      </c>
      <c r="L215" s="41"/>
    </row>
    <row r="216" spans="1:26" ht="14.25">
      <c r="A216" s="55"/>
      <c r="B216" s="56"/>
      <c r="C216" s="56" t="s">
        <v>507</v>
      </c>
      <c r="D216" s="45" t="s">
        <v>508</v>
      </c>
      <c r="E216" s="46">
        <f>Source!AQ153</f>
        <v>22.55</v>
      </c>
      <c r="F216" s="47"/>
      <c r="G216" s="50" t="str">
        <f>Source!DI153</f>
        <v>)*1,15</v>
      </c>
      <c r="H216" s="49"/>
      <c r="I216" s="50"/>
      <c r="J216" s="50"/>
      <c r="K216" s="49"/>
      <c r="L216" s="53">
        <f>Source!U153</f>
        <v>33.452925</v>
      </c>
    </row>
    <row r="217" spans="1:26" ht="15">
      <c r="G217" s="91">
        <f>H213+H214+H215</f>
        <v>847.41000000000008</v>
      </c>
      <c r="H217" s="91"/>
      <c r="J217" s="91">
        <f>K213+K214+K215</f>
        <v>28094.39</v>
      </c>
      <c r="K217" s="91"/>
      <c r="L217" s="52">
        <f>Source!U153</f>
        <v>33.452925</v>
      </c>
      <c r="O217" s="32">
        <f>G217</f>
        <v>847.41000000000008</v>
      </c>
      <c r="P217" s="32">
        <f>J217</f>
        <v>28094.39</v>
      </c>
      <c r="Q217" s="32">
        <f>L217</f>
        <v>33.452925</v>
      </c>
      <c r="W217">
        <f>IF(Source!BI153&lt;=1,H213+H214+H215, 0)</f>
        <v>847.41000000000008</v>
      </c>
      <c r="X217">
        <f>IF(Source!BI153=2,H213+H214+H215, 0)</f>
        <v>0</v>
      </c>
      <c r="Y217">
        <f>IF(Source!BI153=3,H213+H214+H215, 0)</f>
        <v>0</v>
      </c>
      <c r="Z217">
        <f>IF(Source!BI153=4,H213+H214+H215, 0)</f>
        <v>0</v>
      </c>
    </row>
    <row r="219" spans="1:26" ht="15">
      <c r="A219" s="92" t="str">
        <f>CONCATENATE("Итого по разделу: ",IF(Source!G155&lt;&gt;"Новый раздел", Source!G155, ""))</f>
        <v>Итого по разделу: стены</v>
      </c>
      <c r="B219" s="92"/>
      <c r="C219" s="92"/>
      <c r="D219" s="92"/>
      <c r="E219" s="92"/>
      <c r="F219" s="92"/>
      <c r="G219" s="90">
        <f>SUM(O159:O218)</f>
        <v>21656.400000000001</v>
      </c>
      <c r="H219" s="90"/>
      <c r="I219" s="35"/>
      <c r="J219" s="90">
        <f>SUM(P159:P218)</f>
        <v>236067.93</v>
      </c>
      <c r="K219" s="90"/>
      <c r="L219" s="52">
        <f>SUM(Q159:Q218)</f>
        <v>267.57537249999996</v>
      </c>
    </row>
    <row r="223" spans="1:26" ht="16.5">
      <c r="A223" s="89" t="str">
        <f>CONCATENATE("Раздел: ",IF(Source!G185&lt;&gt;"Новый раздел", Source!G185, ""))</f>
        <v>Раздел: потолок</v>
      </c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</row>
    <row r="224" spans="1:26" ht="79.5">
      <c r="A224" s="23" t="str">
        <f>Source!E189</f>
        <v>3</v>
      </c>
      <c r="B224" s="54" t="s">
        <v>519</v>
      </c>
      <c r="C224" s="54" t="str">
        <f>Source!G189</f>
        <v>Устройство подвесных потолков типа &lt;Армстронг&gt; по каркасу из оцинкованного профиля</v>
      </c>
      <c r="D224" s="37" t="str">
        <f>Source!H189</f>
        <v>100 м2 поверхности облицовки</v>
      </c>
      <c r="E224" s="10">
        <f>Source!I189</f>
        <v>0.30399999999999999</v>
      </c>
      <c r="F224" s="38">
        <f>Source!AL189+Source!AM189+Source!AO189</f>
        <v>6747.4000000000005</v>
      </c>
      <c r="G224" s="39"/>
      <c r="H224" s="40"/>
      <c r="I224" s="39" t="str">
        <f>Source!BO189</f>
        <v>15-01-047-15</v>
      </c>
      <c r="J224" s="39"/>
      <c r="K224" s="40"/>
      <c r="L224" s="41"/>
      <c r="S224">
        <f>ROUND((Source!FX189/100)*((ROUND(Source!AF189*Source!I189, 2)+ROUND(Source!AE189*Source!I189, 2))), 2)</f>
        <v>321.88</v>
      </c>
      <c r="T224">
        <f>Source!X189</f>
        <v>10694.17</v>
      </c>
      <c r="U224">
        <f>ROUND((Source!FY189/100)*((ROUND(Source!AF189*Source!I189, 2)+ROUND(Source!AE189*Source!I189, 2))), 2)</f>
        <v>159.24</v>
      </c>
      <c r="V224">
        <f>Source!Y189</f>
        <v>5290.8</v>
      </c>
    </row>
    <row r="225" spans="1:26">
      <c r="C225" s="31" t="str">
        <f>"Объем: "&amp;Source!I189&amp;"=30,4/"&amp;"100"</f>
        <v>Объем: 0,304=30,4/100</v>
      </c>
    </row>
    <row r="226" spans="1:26" ht="14.25">
      <c r="A226" s="23"/>
      <c r="B226" s="54"/>
      <c r="C226" s="54" t="s">
        <v>502</v>
      </c>
      <c r="D226" s="37"/>
      <c r="E226" s="10"/>
      <c r="F226" s="38">
        <f>Source!AO189</f>
        <v>963.12</v>
      </c>
      <c r="G226" s="39" t="str">
        <f>Source!DG189</f>
        <v>)*1,15</v>
      </c>
      <c r="H226" s="40">
        <f>ROUND(Source!AF189*Source!I189, 2)</f>
        <v>336.71</v>
      </c>
      <c r="I226" s="39"/>
      <c r="J226" s="39">
        <f>IF(Source!BA189&lt;&gt; 0, Source!BA189, 1)</f>
        <v>33.049999999999997</v>
      </c>
      <c r="K226" s="40">
        <f>Source!S189</f>
        <v>11128.16</v>
      </c>
      <c r="L226" s="41"/>
      <c r="R226">
        <f>H226</f>
        <v>336.71</v>
      </c>
    </row>
    <row r="227" spans="1:26" ht="14.25">
      <c r="A227" s="23"/>
      <c r="B227" s="54"/>
      <c r="C227" s="54" t="s">
        <v>70</v>
      </c>
      <c r="D227" s="37"/>
      <c r="E227" s="10"/>
      <c r="F227" s="38">
        <f>Source!AM189</f>
        <v>433.43</v>
      </c>
      <c r="G227" s="39" t="str">
        <f>Source!DE189</f>
        <v>)*1,25</v>
      </c>
      <c r="H227" s="40">
        <f>ROUND(Source!AD189*Source!I189, 2)</f>
        <v>164.7</v>
      </c>
      <c r="I227" s="39"/>
      <c r="J227" s="39">
        <f>IF(Source!BB189&lt;&gt; 0, Source!BB189, 1)</f>
        <v>10.76</v>
      </c>
      <c r="K227" s="40">
        <f>Source!Q189</f>
        <v>1772.21</v>
      </c>
      <c r="L227" s="41"/>
    </row>
    <row r="228" spans="1:26" ht="14.25">
      <c r="A228" s="23"/>
      <c r="B228" s="54"/>
      <c r="C228" s="54" t="s">
        <v>503</v>
      </c>
      <c r="D228" s="37"/>
      <c r="E228" s="10"/>
      <c r="F228" s="38">
        <f>Source!AN189</f>
        <v>10.26</v>
      </c>
      <c r="G228" s="39" t="str">
        <f>Source!DF189</f>
        <v>)*1,25</v>
      </c>
      <c r="H228" s="42">
        <f>ROUND(Source!AE189*Source!I189, 2)</f>
        <v>3.9</v>
      </c>
      <c r="I228" s="39"/>
      <c r="J228" s="39">
        <f>IF(Source!BS189&lt;&gt; 0, Source!BS189, 1)</f>
        <v>33.049999999999997</v>
      </c>
      <c r="K228" s="42">
        <f>Source!R189</f>
        <v>128.86000000000001</v>
      </c>
      <c r="L228" s="41"/>
      <c r="R228">
        <f>H228</f>
        <v>3.9</v>
      </c>
    </row>
    <row r="229" spans="1:26" ht="14.25">
      <c r="A229" s="23"/>
      <c r="B229" s="54"/>
      <c r="C229" s="54" t="s">
        <v>509</v>
      </c>
      <c r="D229" s="37"/>
      <c r="E229" s="10"/>
      <c r="F229" s="38">
        <f>Source!AL189</f>
        <v>5350.85</v>
      </c>
      <c r="G229" s="39" t="str">
        <f>Source!DD189</f>
        <v/>
      </c>
      <c r="H229" s="40">
        <f>ROUND(Source!AC189*Source!I189, 2)</f>
        <v>1626.66</v>
      </c>
      <c r="I229" s="39"/>
      <c r="J229" s="39">
        <f>IF(Source!BC189&lt;&gt; 0, Source!BC189, 1)</f>
        <v>4.75</v>
      </c>
      <c r="K229" s="40">
        <f>Source!P189</f>
        <v>7726.63</v>
      </c>
      <c r="L229" s="41"/>
    </row>
    <row r="230" spans="1:26" ht="14.25">
      <c r="A230" s="23"/>
      <c r="B230" s="54"/>
      <c r="C230" s="54" t="s">
        <v>504</v>
      </c>
      <c r="D230" s="37" t="s">
        <v>505</v>
      </c>
      <c r="E230" s="10">
        <f>Source!BZ189</f>
        <v>105</v>
      </c>
      <c r="F230" s="72" t="str">
        <f>CONCATENATE(" )", Source!DL189, Source!FT189, "=", Source!FX189)</f>
        <v xml:space="preserve"> )*0,9=94,5</v>
      </c>
      <c r="G230" s="81"/>
      <c r="H230" s="40">
        <f>SUM(S224:S232)</f>
        <v>321.88</v>
      </c>
      <c r="I230" s="43"/>
      <c r="J230" s="36">
        <f>Source!AT189</f>
        <v>95</v>
      </c>
      <c r="K230" s="40">
        <f>SUM(T224:T232)</f>
        <v>10694.17</v>
      </c>
      <c r="L230" s="41"/>
    </row>
    <row r="231" spans="1:26" ht="14.25">
      <c r="A231" s="23"/>
      <c r="B231" s="54"/>
      <c r="C231" s="54" t="s">
        <v>506</v>
      </c>
      <c r="D231" s="37" t="s">
        <v>505</v>
      </c>
      <c r="E231" s="10">
        <f>Source!CA189</f>
        <v>55</v>
      </c>
      <c r="F231" s="72" t="str">
        <f>CONCATENATE(" )", Source!DM189, Source!FU189, "=", Source!FY189)</f>
        <v xml:space="preserve"> )*0,85=46,75</v>
      </c>
      <c r="G231" s="81"/>
      <c r="H231" s="40">
        <f>SUM(U224:U232)</f>
        <v>159.24</v>
      </c>
      <c r="I231" s="43"/>
      <c r="J231" s="36">
        <f>Source!AU189</f>
        <v>47</v>
      </c>
      <c r="K231" s="40">
        <f>SUM(V224:V232)</f>
        <v>5290.8</v>
      </c>
      <c r="L231" s="41"/>
    </row>
    <row r="232" spans="1:26" ht="14.25">
      <c r="A232" s="55"/>
      <c r="B232" s="56"/>
      <c r="C232" s="56" t="s">
        <v>507</v>
      </c>
      <c r="D232" s="45" t="s">
        <v>508</v>
      </c>
      <c r="E232" s="46">
        <f>Source!AQ189</f>
        <v>102.46</v>
      </c>
      <c r="F232" s="47"/>
      <c r="G232" s="50" t="str">
        <f>Source!DI189</f>
        <v>)*1,15</v>
      </c>
      <c r="H232" s="49"/>
      <c r="I232" s="50"/>
      <c r="J232" s="50"/>
      <c r="K232" s="49"/>
      <c r="L232" s="53">
        <f>Source!U189</f>
        <v>35.820015999999995</v>
      </c>
    </row>
    <row r="233" spans="1:26" ht="15">
      <c r="G233" s="91">
        <f>H226+H227+H229+H230+H231</f>
        <v>2609.1900000000005</v>
      </c>
      <c r="H233" s="91"/>
      <c r="J233" s="91">
        <f>K226+K227+K229+K230+K231</f>
        <v>36611.97</v>
      </c>
      <c r="K233" s="91"/>
      <c r="L233" s="52">
        <f>Source!U189</f>
        <v>35.820015999999995</v>
      </c>
      <c r="O233" s="32">
        <f>G233</f>
        <v>2609.1900000000005</v>
      </c>
      <c r="P233" s="32">
        <f>J233</f>
        <v>36611.97</v>
      </c>
      <c r="Q233" s="32">
        <f>L233</f>
        <v>35.820015999999995</v>
      </c>
      <c r="W233">
        <f>IF(Source!BI189&lt;=1,H226+H227+H229+H230+H231, 0)</f>
        <v>2609.1900000000005</v>
      </c>
      <c r="X233">
        <f>IF(Source!BI189=2,H226+H227+H229+H230+H231, 0)</f>
        <v>0</v>
      </c>
      <c r="Y233">
        <f>IF(Source!BI189=3,H226+H227+H229+H230+H231, 0)</f>
        <v>0</v>
      </c>
      <c r="Z233">
        <f>IF(Source!BI189=4,H226+H227+H229+H230+H231, 0)</f>
        <v>0</v>
      </c>
    </row>
    <row r="234" spans="1:26" ht="42.75">
      <c r="A234" s="23" t="str">
        <f>Source!E190</f>
        <v>7</v>
      </c>
      <c r="B234" s="54" t="str">
        <f>Source!F190</f>
        <v>т01-01-01-041</v>
      </c>
      <c r="C234" s="54" t="str">
        <f>Source!G190</f>
        <v>Погрузка при автомобильных перевозках мусора строительного с погрузкой вручную</v>
      </c>
      <c r="D234" s="37" t="str">
        <f>Source!H190</f>
        <v>1 Т ГРУЗА</v>
      </c>
      <c r="E234" s="10">
        <f>Source!I190</f>
        <v>0.3</v>
      </c>
      <c r="F234" s="38">
        <f>Source!AL190+Source!AM190+Source!AO190</f>
        <v>42.98</v>
      </c>
      <c r="G234" s="39"/>
      <c r="H234" s="40"/>
      <c r="I234" s="39" t="str">
        <f>Source!BO190</f>
        <v/>
      </c>
      <c r="J234" s="39"/>
      <c r="K234" s="40"/>
      <c r="L234" s="41"/>
      <c r="S234">
        <f>ROUND((Source!FX190/100)*((ROUND(Source!AF190*Source!I190, 2)+ROUND(Source!AE190*Source!I190, 2))), 2)</f>
        <v>0</v>
      </c>
      <c r="T234">
        <f>Source!X190</f>
        <v>0</v>
      </c>
      <c r="U234">
        <f>ROUND((Source!FY190/100)*((ROUND(Source!AF190*Source!I190, 2)+ROUND(Source!AE190*Source!I190, 2))), 2)</f>
        <v>0</v>
      </c>
      <c r="V234">
        <f>Source!Y190</f>
        <v>0</v>
      </c>
    </row>
    <row r="235" spans="1:26" ht="14.25">
      <c r="A235" s="55"/>
      <c r="B235" s="56"/>
      <c r="C235" s="56" t="s">
        <v>70</v>
      </c>
      <c r="D235" s="45"/>
      <c r="E235" s="46"/>
      <c r="F235" s="47">
        <f>Source!AM190</f>
        <v>42.98</v>
      </c>
      <c r="G235" s="50" t="str">
        <f>Source!DE190</f>
        <v/>
      </c>
      <c r="H235" s="49">
        <f>ROUND(Source!AD190*Source!I190, 2)</f>
        <v>12.89</v>
      </c>
      <c r="I235" s="50"/>
      <c r="J235" s="50">
        <f>IF(Source!BB190&lt;&gt; 0, Source!BB190, 1)</f>
        <v>14.43</v>
      </c>
      <c r="K235" s="49">
        <f>Source!Q190</f>
        <v>186.06</v>
      </c>
      <c r="L235" s="51"/>
    </row>
    <row r="236" spans="1:26" ht="15">
      <c r="G236" s="91">
        <f>H235</f>
        <v>12.89</v>
      </c>
      <c r="H236" s="91"/>
      <c r="J236" s="91">
        <f>K235</f>
        <v>186.06</v>
      </c>
      <c r="K236" s="91"/>
      <c r="L236" s="52">
        <f>Source!U190</f>
        <v>0</v>
      </c>
      <c r="O236" s="32">
        <f>G236</f>
        <v>12.89</v>
      </c>
      <c r="P236" s="32">
        <f>J236</f>
        <v>186.06</v>
      </c>
      <c r="Q236" s="32">
        <f>L236</f>
        <v>0</v>
      </c>
      <c r="W236">
        <f>IF(Source!BI190&lt;=1,H235, 0)</f>
        <v>12.89</v>
      </c>
      <c r="X236">
        <f>IF(Source!BI190=2,H235, 0)</f>
        <v>0</v>
      </c>
      <c r="Y236">
        <f>IF(Source!BI190=3,H235, 0)</f>
        <v>0</v>
      </c>
      <c r="Z236">
        <f>IF(Source!BI190=4,H235, 0)</f>
        <v>0</v>
      </c>
    </row>
    <row r="237" spans="1:26" ht="57">
      <c r="A237" s="23" t="str">
        <f>Source!E191</f>
        <v>8</v>
      </c>
      <c r="B237" s="54" t="str">
        <f>Source!F191</f>
        <v>т03-01-01-040</v>
      </c>
      <c r="C237" s="54" t="str">
        <f>Source!G191</f>
        <v>Перевозка грузов I класса автомобилями бортовыми грузоподъемностью до 15 т на расстояние до 40 км</v>
      </c>
      <c r="D237" s="37" t="str">
        <f>Source!H191</f>
        <v>1 Т ГРУЗА</v>
      </c>
      <c r="E237" s="10">
        <f>Source!I191</f>
        <v>0.3</v>
      </c>
      <c r="F237" s="38">
        <f>Source!AL191+Source!AM191+Source!AO191</f>
        <v>20.91</v>
      </c>
      <c r="G237" s="39"/>
      <c r="H237" s="40"/>
      <c r="I237" s="39" t="str">
        <f>Source!BO191</f>
        <v/>
      </c>
      <c r="J237" s="39"/>
      <c r="K237" s="40"/>
      <c r="L237" s="41"/>
      <c r="S237">
        <f>ROUND((Source!FX191/100)*((ROUND(Source!AF191*Source!I191, 2)+ROUND(Source!AE191*Source!I191, 2))), 2)</f>
        <v>0</v>
      </c>
      <c r="T237">
        <f>Source!X191</f>
        <v>0</v>
      </c>
      <c r="U237">
        <f>ROUND((Source!FY191/100)*((ROUND(Source!AF191*Source!I191, 2)+ROUND(Source!AE191*Source!I191, 2))), 2)</f>
        <v>0</v>
      </c>
      <c r="V237">
        <f>Source!Y191</f>
        <v>0</v>
      </c>
    </row>
    <row r="238" spans="1:26" ht="14.25">
      <c r="A238" s="55"/>
      <c r="B238" s="56"/>
      <c r="C238" s="56" t="s">
        <v>70</v>
      </c>
      <c r="D238" s="45"/>
      <c r="E238" s="46"/>
      <c r="F238" s="47">
        <f>Source!AM191</f>
        <v>20.91</v>
      </c>
      <c r="G238" s="50" t="str">
        <f>Source!DE191</f>
        <v/>
      </c>
      <c r="H238" s="49">
        <f>ROUND(Source!AD191*Source!I191, 2)</f>
        <v>6.27</v>
      </c>
      <c r="I238" s="50"/>
      <c r="J238" s="50">
        <f>IF(Source!BB191&lt;&gt; 0, Source!BB191, 1)</f>
        <v>9.89</v>
      </c>
      <c r="K238" s="49">
        <f>Source!Q191</f>
        <v>62.04</v>
      </c>
      <c r="L238" s="51"/>
    </row>
    <row r="239" spans="1:26" ht="15">
      <c r="G239" s="91">
        <f>H238</f>
        <v>6.27</v>
      </c>
      <c r="H239" s="91"/>
      <c r="J239" s="91">
        <f>K238</f>
        <v>62.04</v>
      </c>
      <c r="K239" s="91"/>
      <c r="L239" s="52">
        <f>Source!U191</f>
        <v>0</v>
      </c>
      <c r="O239" s="32">
        <f>G239</f>
        <v>6.27</v>
      </c>
      <c r="P239" s="32">
        <f>J239</f>
        <v>62.04</v>
      </c>
      <c r="Q239" s="32">
        <f>L239</f>
        <v>0</v>
      </c>
      <c r="W239">
        <f>IF(Source!BI191&lt;=1,H238, 0)</f>
        <v>6.27</v>
      </c>
      <c r="X239">
        <f>IF(Source!BI191=2,H238, 0)</f>
        <v>0</v>
      </c>
      <c r="Y239">
        <f>IF(Source!BI191=3,H238, 0)</f>
        <v>0</v>
      </c>
      <c r="Z239">
        <f>IF(Source!BI191=4,H238, 0)</f>
        <v>0</v>
      </c>
    </row>
    <row r="241" spans="1:32" ht="15">
      <c r="A241" s="92" t="str">
        <f>CONCATENATE("Итого по разделу: ",IF(Source!G193&lt;&gt;"Новый раздел", Source!G193, ""))</f>
        <v>Итого по разделу: потолок</v>
      </c>
      <c r="B241" s="92"/>
      <c r="C241" s="92"/>
      <c r="D241" s="92"/>
      <c r="E241" s="92"/>
      <c r="F241" s="92"/>
      <c r="G241" s="90">
        <f>SUM(O223:O240)</f>
        <v>2628.3500000000004</v>
      </c>
      <c r="H241" s="90"/>
      <c r="I241" s="35"/>
      <c r="J241" s="90">
        <f>SUM(P223:P240)</f>
        <v>36860.07</v>
      </c>
      <c r="K241" s="90"/>
      <c r="L241" s="52">
        <f>SUM(Q223:Q240)</f>
        <v>35.820015999999995</v>
      </c>
    </row>
    <row r="245" spans="1:32" ht="15">
      <c r="A245" s="92" t="str">
        <f>CONCATENATE("Итого по локальной смете: ",IF(Source!G223&lt;&gt;"Новая локальная смета", Source!G223, ""))</f>
        <v xml:space="preserve">Итого по локальной смете: </v>
      </c>
      <c r="B245" s="92"/>
      <c r="C245" s="92"/>
      <c r="D245" s="92"/>
      <c r="E245" s="92"/>
      <c r="F245" s="92"/>
      <c r="G245" s="90">
        <f>SUM(O42:O244)</f>
        <v>37468.490000000005</v>
      </c>
      <c r="H245" s="90"/>
      <c r="I245" s="35"/>
      <c r="J245" s="90">
        <f>SUM(P42:P244)</f>
        <v>468708.81000000006</v>
      </c>
      <c r="K245" s="90"/>
      <c r="L245" s="52">
        <f>SUM(Q42:Q244)</f>
        <v>496.07817849999998</v>
      </c>
    </row>
    <row r="249" spans="1:32" ht="15">
      <c r="A249" s="92" t="str">
        <f>CONCATENATE("Итого по смете: ",IF(Source!G253&lt;&gt;"Новый объект", Source!G253, ""))</f>
        <v>Итого по смете: Ремонт лестничной клетки ОВП Ильинский Погост 2021</v>
      </c>
      <c r="B249" s="92"/>
      <c r="C249" s="92"/>
      <c r="D249" s="92"/>
      <c r="E249" s="92"/>
      <c r="F249" s="92"/>
      <c r="G249" s="90">
        <f>SUM(O1:O248)</f>
        <v>37468.490000000005</v>
      </c>
      <c r="H249" s="90"/>
      <c r="I249" s="35"/>
      <c r="J249" s="90">
        <f>SUM(P1:P248)</f>
        <v>468708.81000000006</v>
      </c>
      <c r="K249" s="90"/>
      <c r="L249" s="52">
        <f>SUM(Q1:Q248)</f>
        <v>496.07817849999998</v>
      </c>
      <c r="AF249" s="58" t="str">
        <f>CONCATENATE("Итого по смете: ",IF(Source!G253&lt;&gt;"Новый объект", Source!G253, ""))</f>
        <v>Итого по смете: Ремонт лестничной клетки ОВП Ильинский Погост 2021</v>
      </c>
    </row>
    <row r="251" spans="1:32" ht="14.25">
      <c r="C251" s="77" t="str">
        <f>Source!H282</f>
        <v>НДС 20%</v>
      </c>
      <c r="D251" s="77"/>
      <c r="E251" s="77"/>
      <c r="F251" s="77"/>
      <c r="G251" s="77"/>
      <c r="H251" s="77"/>
      <c r="I251" s="77"/>
      <c r="J251" s="87">
        <f>IF(Source!F282=0, "", Source!F282)</f>
        <v>93741.8</v>
      </c>
      <c r="K251" s="87"/>
    </row>
    <row r="252" spans="1:32" ht="14.25">
      <c r="C252" s="77" t="str">
        <f>Source!H283</f>
        <v>всего с НДС</v>
      </c>
      <c r="D252" s="77"/>
      <c r="E252" s="77"/>
      <c r="F252" s="77"/>
      <c r="G252" s="77"/>
      <c r="H252" s="77"/>
      <c r="I252" s="77"/>
      <c r="J252" s="96">
        <v>562405.74</v>
      </c>
      <c r="K252" s="96"/>
    </row>
    <row r="255" spans="1:32" ht="14.25">
      <c r="A255" s="34" t="s">
        <v>520</v>
      </c>
      <c r="B255" s="34"/>
      <c r="C255" s="10" t="s">
        <v>521</v>
      </c>
      <c r="D255" s="33" t="str">
        <f>IF(Source!CP12&lt;&gt;"", Source!CP12," ")</f>
        <v xml:space="preserve"> </v>
      </c>
      <c r="E255" s="33"/>
      <c r="F255" s="33"/>
      <c r="G255" s="33"/>
      <c r="H255" s="33"/>
      <c r="I255" s="11" t="str">
        <f>IF(Source!CO12&lt;&gt;"", Source!CO12," ")</f>
        <v xml:space="preserve"> </v>
      </c>
      <c r="J255" s="10"/>
      <c r="K255" s="11"/>
      <c r="L255" s="11"/>
    </row>
    <row r="256" spans="1:32" ht="14.25">
      <c r="A256" s="11"/>
      <c r="B256" s="11"/>
      <c r="C256" s="10"/>
      <c r="D256" s="88" t="s">
        <v>522</v>
      </c>
      <c r="E256" s="88"/>
      <c r="F256" s="88"/>
      <c r="G256" s="88"/>
      <c r="H256" s="88"/>
      <c r="I256" s="11"/>
      <c r="J256" s="10"/>
      <c r="K256" s="11"/>
      <c r="L256" s="11"/>
    </row>
    <row r="257" spans="1:12" ht="14.25">
      <c r="A257" s="11"/>
      <c r="B257" s="11"/>
      <c r="C257" s="10"/>
      <c r="D257" s="11"/>
      <c r="E257" s="11"/>
      <c r="F257" s="11"/>
      <c r="G257" s="11"/>
      <c r="H257" s="11"/>
      <c r="I257" s="11"/>
      <c r="J257" s="10"/>
      <c r="K257" s="11"/>
      <c r="L257" s="11"/>
    </row>
    <row r="258" spans="1:12" ht="14.25">
      <c r="A258" s="34" t="s">
        <v>520</v>
      </c>
      <c r="B258" s="34"/>
      <c r="C258" s="10" t="s">
        <v>523</v>
      </c>
      <c r="D258" s="33" t="str">
        <f>IF(Source!AC12&lt;&gt;"", Source!AC12," ")</f>
        <v xml:space="preserve"> </v>
      </c>
      <c r="E258" s="33"/>
      <c r="F258" s="33"/>
      <c r="G258" s="33"/>
      <c r="H258" s="33"/>
      <c r="I258" s="11" t="str">
        <f>IF(Source!AB12&lt;&gt;"", Source!AB12," ")</f>
        <v xml:space="preserve"> </v>
      </c>
      <c r="J258" s="10"/>
      <c r="K258" s="11"/>
      <c r="L258" s="11"/>
    </row>
    <row r="259" spans="1:12" ht="14.25">
      <c r="A259" s="11"/>
      <c r="B259" s="11"/>
      <c r="C259" s="11"/>
      <c r="D259" s="88" t="s">
        <v>522</v>
      </c>
      <c r="E259" s="88"/>
      <c r="F259" s="88"/>
      <c r="G259" s="88"/>
      <c r="H259" s="88"/>
      <c r="I259" s="11"/>
      <c r="J259" s="11"/>
      <c r="K259" s="11"/>
      <c r="L259" s="11"/>
    </row>
    <row r="260" spans="1:12" ht="14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 ht="14.25">
      <c r="A261" s="11"/>
      <c r="B261" s="11"/>
      <c r="C261" s="10" t="s">
        <v>524</v>
      </c>
      <c r="D261" s="33" t="str">
        <f>IF(Source!AE12&lt;&gt;"", Source!AE12," ")</f>
        <v xml:space="preserve"> </v>
      </c>
      <c r="E261" s="33"/>
      <c r="F261" s="33"/>
      <c r="G261" s="33"/>
      <c r="H261" s="33"/>
      <c r="I261" s="11" t="str">
        <f>IF(Source!AD12&lt;&gt;"", Source!AD12," ")</f>
        <v xml:space="preserve"> </v>
      </c>
      <c r="J261" s="10"/>
      <c r="K261" s="11"/>
      <c r="L261" s="11"/>
    </row>
    <row r="262" spans="1:12" ht="14.25">
      <c r="A262" s="11"/>
      <c r="B262" s="11"/>
      <c r="C262" s="11"/>
      <c r="D262" s="88" t="s">
        <v>522</v>
      </c>
      <c r="E262" s="88"/>
      <c r="F262" s="88"/>
      <c r="G262" s="88"/>
      <c r="H262" s="88"/>
      <c r="I262" s="11"/>
      <c r="J262" s="11"/>
      <c r="K262" s="11"/>
      <c r="L262" s="11"/>
    </row>
  </sheetData>
  <mergeCells count="151">
    <mergeCell ref="F215:G215"/>
    <mergeCell ref="F214:G214"/>
    <mergeCell ref="J210:K210"/>
    <mergeCell ref="G249:H249"/>
    <mergeCell ref="J249:K249"/>
    <mergeCell ref="A249:F249"/>
    <mergeCell ref="G245:H245"/>
    <mergeCell ref="J245:K245"/>
    <mergeCell ref="A223:L223"/>
    <mergeCell ref="G219:H219"/>
    <mergeCell ref="J219:K219"/>
    <mergeCell ref="A219:F219"/>
    <mergeCell ref="J217:K217"/>
    <mergeCell ref="G217:H217"/>
    <mergeCell ref="J236:K236"/>
    <mergeCell ref="G236:H236"/>
    <mergeCell ref="J233:K233"/>
    <mergeCell ref="G233:H233"/>
    <mergeCell ref="F231:G231"/>
    <mergeCell ref="F230:G230"/>
    <mergeCell ref="G180:H180"/>
    <mergeCell ref="F178:G178"/>
    <mergeCell ref="F177:G177"/>
    <mergeCell ref="J197:K197"/>
    <mergeCell ref="G197:H197"/>
    <mergeCell ref="F195:G195"/>
    <mergeCell ref="F194:G194"/>
    <mergeCell ref="J187:K187"/>
    <mergeCell ref="G187:H187"/>
    <mergeCell ref="J82:K82"/>
    <mergeCell ref="G82:H82"/>
    <mergeCell ref="J122:K122"/>
    <mergeCell ref="G122:H122"/>
    <mergeCell ref="F120:G120"/>
    <mergeCell ref="F119:G119"/>
    <mergeCell ref="J112:K112"/>
    <mergeCell ref="G210:H210"/>
    <mergeCell ref="J208:K208"/>
    <mergeCell ref="G208:H208"/>
    <mergeCell ref="F205:G205"/>
    <mergeCell ref="F204:G204"/>
    <mergeCell ref="J134:K134"/>
    <mergeCell ref="G134:H134"/>
    <mergeCell ref="J132:K132"/>
    <mergeCell ref="G132:H132"/>
    <mergeCell ref="F130:G130"/>
    <mergeCell ref="F129:G129"/>
    <mergeCell ref="J170:K170"/>
    <mergeCell ref="G170:H170"/>
    <mergeCell ref="F167:G167"/>
    <mergeCell ref="F166:G166"/>
    <mergeCell ref="F185:G185"/>
    <mergeCell ref="F184:G184"/>
    <mergeCell ref="D259:H259"/>
    <mergeCell ref="D262:H262"/>
    <mergeCell ref="G112:H112"/>
    <mergeCell ref="F110:G110"/>
    <mergeCell ref="F109:G109"/>
    <mergeCell ref="J102:K102"/>
    <mergeCell ref="G102:H102"/>
    <mergeCell ref="F150:G150"/>
    <mergeCell ref="J144:K144"/>
    <mergeCell ref="G144:H144"/>
    <mergeCell ref="A159:L159"/>
    <mergeCell ref="G155:H155"/>
    <mergeCell ref="J155:K155"/>
    <mergeCell ref="A155:F155"/>
    <mergeCell ref="J153:K153"/>
    <mergeCell ref="G153:H153"/>
    <mergeCell ref="F151:G151"/>
    <mergeCell ref="A245:F245"/>
    <mergeCell ref="G241:H241"/>
    <mergeCell ref="J241:K241"/>
    <mergeCell ref="A241:F241"/>
    <mergeCell ref="J239:K239"/>
    <mergeCell ref="G239:H239"/>
    <mergeCell ref="J180:K180"/>
    <mergeCell ref="A38:L38"/>
    <mergeCell ref="C251:I251"/>
    <mergeCell ref="J251:K251"/>
    <mergeCell ref="C252:I252"/>
    <mergeCell ref="J252:K252"/>
    <mergeCell ref="D256:H256"/>
    <mergeCell ref="F100:G100"/>
    <mergeCell ref="F99:G99"/>
    <mergeCell ref="A92:L92"/>
    <mergeCell ref="G88:H88"/>
    <mergeCell ref="A46:L46"/>
    <mergeCell ref="A44:L44"/>
    <mergeCell ref="A42:L42"/>
    <mergeCell ref="J75:K75"/>
    <mergeCell ref="G75:H75"/>
    <mergeCell ref="J66:K66"/>
    <mergeCell ref="G66:H66"/>
    <mergeCell ref="J56:K56"/>
    <mergeCell ref="G56:H56"/>
    <mergeCell ref="J88:K88"/>
    <mergeCell ref="A88:F88"/>
    <mergeCell ref="G84:H84"/>
    <mergeCell ref="J84:K84"/>
    <mergeCell ref="A84:F84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  <mergeCell ref="B15:K15"/>
    <mergeCell ref="B17:K17"/>
    <mergeCell ref="B19:K19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zoomScaleNormal="100" workbookViewId="0"/>
  </sheetViews>
  <sheetFormatPr defaultRowHeight="12.75"/>
  <cols>
    <col min="1" max="1" width="6.7109375" customWidth="1"/>
    <col min="2" max="2" width="75.7109375" customWidth="1"/>
    <col min="3" max="5" width="15.7109375" customWidth="1"/>
    <col min="30" max="31" width="0" hidden="1" customWidth="1"/>
  </cols>
  <sheetData>
    <row r="1" spans="1:5" ht="14.25">
      <c r="A1" s="11"/>
      <c r="B1" s="11"/>
      <c r="C1" s="11"/>
      <c r="D1" s="11"/>
      <c r="E1" s="11"/>
    </row>
    <row r="2" spans="1:5" ht="15.75">
      <c r="A2" s="94" t="str">
        <f>CONCATENATE("Дефектный акт ", IF(Source!AN15&lt;&gt;"", Source!AN15," "))</f>
        <v xml:space="preserve">Дефектный акт  </v>
      </c>
      <c r="B2" s="94"/>
      <c r="C2" s="94"/>
      <c r="D2" s="94"/>
      <c r="E2" s="11"/>
    </row>
    <row r="3" spans="1:5" ht="15">
      <c r="A3" s="95" t="str">
        <f>CONCATENATE("На капитальный ремонт ", Source!G12)</f>
        <v>На капитальный ремонт Ремонт лестничной клетки ОВП Ильинский Погост 2021</v>
      </c>
      <c r="B3" s="95"/>
      <c r="C3" s="95"/>
      <c r="D3" s="95"/>
      <c r="E3" s="11"/>
    </row>
    <row r="4" spans="1:5" ht="14.25">
      <c r="A4" s="11"/>
      <c r="B4" s="11"/>
      <c r="C4" s="11"/>
      <c r="D4" s="11"/>
      <c r="E4" s="11"/>
    </row>
    <row r="5" spans="1:5" ht="15">
      <c r="A5" s="11"/>
      <c r="B5" s="59" t="s">
        <v>525</v>
      </c>
      <c r="C5" s="11"/>
      <c r="D5" s="11"/>
      <c r="E5" s="11"/>
    </row>
    <row r="6" spans="1:5" ht="15">
      <c r="A6" s="11"/>
      <c r="B6" s="59" t="s">
        <v>526</v>
      </c>
      <c r="C6" s="11"/>
      <c r="D6" s="11"/>
      <c r="E6" s="11"/>
    </row>
    <row r="7" spans="1:5" ht="15">
      <c r="A7" s="11"/>
      <c r="B7" s="59" t="s">
        <v>527</v>
      </c>
      <c r="C7" s="11"/>
      <c r="D7" s="11"/>
      <c r="E7" s="11"/>
    </row>
    <row r="8" spans="1:5" ht="28.5">
      <c r="A8" s="28" t="s">
        <v>489</v>
      </c>
      <c r="B8" s="28" t="s">
        <v>491</v>
      </c>
      <c r="C8" s="28" t="s">
        <v>528</v>
      </c>
      <c r="D8" s="28" t="s">
        <v>529</v>
      </c>
      <c r="E8" s="60" t="s">
        <v>530</v>
      </c>
    </row>
    <row r="9" spans="1:5" ht="14.25">
      <c r="A9" s="61">
        <v>1</v>
      </c>
      <c r="B9" s="61">
        <v>2</v>
      </c>
      <c r="C9" s="61">
        <v>3</v>
      </c>
      <c r="D9" s="61">
        <v>4</v>
      </c>
      <c r="E9" s="62">
        <v>5</v>
      </c>
    </row>
    <row r="10" spans="1:5" ht="16.5">
      <c r="A10" s="93" t="str">
        <f>CONCATENATE("Локальная смета: ", Source!G20)</f>
        <v>Локальная смета: Новая локальная смета</v>
      </c>
      <c r="B10" s="93"/>
      <c r="C10" s="93"/>
      <c r="D10" s="93"/>
      <c r="E10" s="93"/>
    </row>
    <row r="11" spans="1:5" ht="16.5">
      <c r="A11" s="93" t="str">
        <f>CONCATENATE("Раздел: ", Source!G24)</f>
        <v>Раздел: Лстничная клетка</v>
      </c>
      <c r="B11" s="93"/>
      <c r="C11" s="93"/>
      <c r="D11" s="93"/>
      <c r="E11" s="93"/>
    </row>
    <row r="12" spans="1:5" ht="16.5">
      <c r="A12" s="93" t="str">
        <f>CONCATENATE("Подраздел: ", Source!G28)</f>
        <v>Подраздел: демонтаж</v>
      </c>
      <c r="B12" s="93"/>
      <c r="C12" s="93"/>
      <c r="D12" s="93"/>
      <c r="E12" s="93"/>
    </row>
    <row r="13" spans="1:5" ht="28.5">
      <c r="A13" s="67" t="str">
        <f>Source!E32</f>
        <v>4</v>
      </c>
      <c r="B13" s="68" t="str">
        <f>Source!G32</f>
        <v>Разборка покрытий полов из керамических плиток</v>
      </c>
      <c r="C13" s="69" t="str">
        <f>Source!H32</f>
        <v>100 м2 покрытия</v>
      </c>
      <c r="D13" s="70">
        <f>Source!I32</f>
        <v>0.25</v>
      </c>
      <c r="E13" s="68"/>
    </row>
    <row r="14" spans="1:5" ht="14.25">
      <c r="A14" s="67" t="str">
        <f>Source!E33</f>
        <v>4,1</v>
      </c>
      <c r="B14" s="68" t="str">
        <f>Source!G33</f>
        <v>Строительный мусор</v>
      </c>
      <c r="C14" s="69" t="str">
        <f>Source!H33</f>
        <v>т</v>
      </c>
      <c r="D14" s="70">
        <f>Source!I33</f>
        <v>1.3</v>
      </c>
      <c r="E14" s="68"/>
    </row>
    <row r="15" spans="1:5" ht="28.5">
      <c r="A15" s="67" t="str">
        <f>Source!E34</f>
        <v>5</v>
      </c>
      <c r="B15" s="68" t="str">
        <f>Source!G34</f>
        <v>Разборка металлических лестничных решеток при весе одного метра решетки до 60 кг</v>
      </c>
      <c r="C15" s="69" t="str">
        <f>Source!H34</f>
        <v>100 м решетки</v>
      </c>
      <c r="D15" s="70">
        <f>Source!I34</f>
        <v>0.22</v>
      </c>
      <c r="E15" s="68"/>
    </row>
    <row r="16" spans="1:5" ht="14.25">
      <c r="A16" s="67" t="str">
        <f>Source!E35</f>
        <v>5,1</v>
      </c>
      <c r="B16" s="68" t="str">
        <f>Source!G35</f>
        <v>Строительный мусор</v>
      </c>
      <c r="C16" s="69" t="str">
        <f>Source!H35</f>
        <v>т</v>
      </c>
      <c r="D16" s="70">
        <f>Source!I35</f>
        <v>0.55000000000000004</v>
      </c>
      <c r="E16" s="68"/>
    </row>
    <row r="17" spans="1:5" ht="14.25">
      <c r="A17" s="67" t="str">
        <f>Source!E36</f>
        <v>6</v>
      </c>
      <c r="B17" s="68" t="str">
        <f>Source!G36</f>
        <v>Демонтаж светильников для люминесцентных ламп</v>
      </c>
      <c r="C17" s="69" t="str">
        <f>Source!H36</f>
        <v>100 шт.</v>
      </c>
      <c r="D17" s="70">
        <f>Source!I36</f>
        <v>0.02</v>
      </c>
      <c r="E17" s="68"/>
    </row>
    <row r="18" spans="1:5" ht="14.25">
      <c r="A18" s="67" t="str">
        <f>Source!E37</f>
        <v>7</v>
      </c>
      <c r="B18" s="68" t="str">
        <f>Source!G37</f>
        <v>Демонтаж выключателей, розеток</v>
      </c>
      <c r="C18" s="69" t="str">
        <f>Source!H37</f>
        <v>100 шт.</v>
      </c>
      <c r="D18" s="70">
        <f>Source!I37</f>
        <v>0.02</v>
      </c>
      <c r="E18" s="68"/>
    </row>
    <row r="19" spans="1:5" ht="16.5">
      <c r="A19" s="93" t="str">
        <f>CONCATENATE("Раздел: ", Source!G99)</f>
        <v>Раздел: пол</v>
      </c>
      <c r="B19" s="93"/>
      <c r="C19" s="93"/>
      <c r="D19" s="93"/>
      <c r="E19" s="93"/>
    </row>
    <row r="20" spans="1:5" ht="14.25">
      <c r="A20" s="67" t="str">
        <f>Source!E103</f>
        <v>1</v>
      </c>
      <c r="B20" s="68" t="str">
        <f>Source!G103</f>
        <v>Устройство стяжек цементных толщиной 20 мм</v>
      </c>
      <c r="C20" s="69" t="str">
        <f>Source!H103</f>
        <v>100 м2 стяжки</v>
      </c>
      <c r="D20" s="70">
        <f>Source!I103</f>
        <v>0.25</v>
      </c>
      <c r="E20" s="68"/>
    </row>
    <row r="21" spans="1:5" ht="42.75">
      <c r="A21" s="67" t="str">
        <f>Source!E104</f>
        <v>4</v>
      </c>
      <c r="B21" s="68" t="str">
        <f>Source!G104</f>
        <v>Облицовка ступеней керамогранитными плитками толщиной до 15 мм</v>
      </c>
      <c r="C21" s="69" t="str">
        <f>Source!H104</f>
        <v>100 м2 поверхности облицовки</v>
      </c>
      <c r="D21" s="70">
        <f>Source!I104</f>
        <v>0.25</v>
      </c>
      <c r="E21" s="68"/>
    </row>
    <row r="22" spans="1:5" ht="14.25">
      <c r="A22" s="67" t="str">
        <f>Source!E105</f>
        <v>5</v>
      </c>
      <c r="B22" s="68" t="str">
        <f>Source!G105</f>
        <v>Устройство покрытий из керамогранитных плиток размером 30х30 см</v>
      </c>
      <c r="C22" s="69" t="str">
        <f>Source!H105</f>
        <v>100 м2</v>
      </c>
      <c r="D22" s="70">
        <f>Source!I105</f>
        <v>0.25</v>
      </c>
      <c r="E22" s="68"/>
    </row>
    <row r="23" spans="1:5" ht="14.25">
      <c r="A23" s="67" t="str">
        <f>Source!E106</f>
        <v>11</v>
      </c>
      <c r="B23" s="68" t="str">
        <f>Source!G106</f>
        <v>Ограждение лестничных площадок перилами</v>
      </c>
      <c r="C23" s="69" t="str">
        <f>Source!H106</f>
        <v>100 м перил</v>
      </c>
      <c r="D23" s="70">
        <f>Source!I106</f>
        <v>0.11</v>
      </c>
      <c r="E23" s="68"/>
    </row>
    <row r="24" spans="1:5" ht="28.5">
      <c r="A24" s="67" t="str">
        <f>Source!E107</f>
        <v>12</v>
      </c>
      <c r="B24" s="68" t="str">
        <f>Source!G107</f>
        <v>Ограждения лестничных проемов, лестничные марши, пожарные лестницы</v>
      </c>
      <c r="C24" s="69" t="str">
        <f>Source!H107</f>
        <v>т</v>
      </c>
      <c r="D24" s="70">
        <f>Source!I107</f>
        <v>0.09</v>
      </c>
      <c r="E24" s="68"/>
    </row>
    <row r="25" spans="1:5" ht="42.75">
      <c r="A25" s="67" t="str">
        <f>Source!E108</f>
        <v>13</v>
      </c>
      <c r="B25" s="68" t="str">
        <f>Source!G108</f>
        <v>Светильник потолочный или настенный с креплением винтами или болтами для помещений с нормальными условиями среды, одноламповый</v>
      </c>
      <c r="C25" s="69" t="str">
        <f>Source!H108</f>
        <v>100 шт.</v>
      </c>
      <c r="D25" s="70">
        <f>Source!I108</f>
        <v>0.12</v>
      </c>
      <c r="E25" s="68"/>
    </row>
    <row r="26" spans="1:5" ht="28.5">
      <c r="A26" s="67" t="str">
        <f>Source!E109</f>
        <v>14</v>
      </c>
      <c r="B26" s="68" t="str">
        <f>Source!G109</f>
        <v>Устройство плинтусов из плиток керамических</v>
      </c>
      <c r="C26" s="69" t="str">
        <f>Source!H109</f>
        <v>100 М ПЛИНТУСА</v>
      </c>
      <c r="D26" s="70">
        <f>Source!I109</f>
        <v>0.38</v>
      </c>
      <c r="E26" s="68"/>
    </row>
    <row r="27" spans="1:5" ht="16.5">
      <c r="A27" s="93" t="str">
        <f>CONCATENATE("Раздел: ", Source!G141)</f>
        <v>Раздел: стены</v>
      </c>
      <c r="B27" s="93"/>
      <c r="C27" s="93"/>
      <c r="D27" s="93"/>
      <c r="E27" s="93"/>
    </row>
    <row r="28" spans="1:5" ht="28.5">
      <c r="A28" s="67" t="str">
        <f>Source!E145</f>
        <v>3</v>
      </c>
      <c r="B28" s="68" t="str">
        <f>Source!G145</f>
        <v>Установка подоконных досок из ПВХ в каменных стенах толщиной до 0,51 м</v>
      </c>
      <c r="C28" s="69" t="str">
        <f>Source!H145</f>
        <v>100 п. м</v>
      </c>
      <c r="D28" s="70">
        <f>Source!I145</f>
        <v>4.5999999999999999E-2</v>
      </c>
      <c r="E28" s="68"/>
    </row>
    <row r="29" spans="1:5" ht="14.25">
      <c r="A29" s="67" t="str">
        <f>Source!E146</f>
        <v>3,1</v>
      </c>
      <c r="B29" s="68" t="str">
        <f>Source!G146</f>
        <v>Доски подоконные ПВХ, шириной 300 мм</v>
      </c>
      <c r="C29" s="69" t="str">
        <f>Source!H146</f>
        <v>м</v>
      </c>
      <c r="D29" s="70">
        <f>Source!I146</f>
        <v>4.5</v>
      </c>
      <c r="E29" s="68"/>
    </row>
    <row r="30" spans="1:5" ht="28.5">
      <c r="A30" s="67" t="str">
        <f>Source!E147</f>
        <v>4</v>
      </c>
      <c r="B30" s="68" t="str">
        <f>Source!G147</f>
        <v>Облицовка оконных и дверных откосов декоративным бумажно-слоистым пластиком или листами из синтетических материалов на клее</v>
      </c>
      <c r="C30" s="69" t="str">
        <f>Source!H147</f>
        <v>100 м2 облицовки</v>
      </c>
      <c r="D30" s="70">
        <f>Source!I147</f>
        <v>3.3000000000000002E-2</v>
      </c>
      <c r="E30" s="68"/>
    </row>
    <row r="31" spans="1:5" ht="14.25">
      <c r="A31" s="67" t="str">
        <f>Source!E148</f>
        <v>6</v>
      </c>
      <c r="B31" s="68" t="str">
        <f>Source!G148</f>
        <v>Отбивка штукатурки с поверхностей стен и потолков кирпичных</v>
      </c>
      <c r="C31" s="69" t="str">
        <f>Source!H148</f>
        <v>100 м2</v>
      </c>
      <c r="D31" s="70">
        <f>Source!I148</f>
        <v>1.29</v>
      </c>
      <c r="E31" s="68"/>
    </row>
    <row r="32" spans="1:5" ht="57">
      <c r="A32" s="67" t="str">
        <f>Source!E149</f>
        <v>10</v>
      </c>
      <c r="B32" s="68" t="str">
        <f>Source!G149</f>
        <v>Штукатурка поверхностей внутри здания известковым раствором улучшенная по камню и бетону стен</v>
      </c>
      <c r="C32" s="69" t="str">
        <f>Source!H149</f>
        <v>100 м2 оштукатуриваемой поверхности</v>
      </c>
      <c r="D32" s="70">
        <f>Source!I149</f>
        <v>1.29</v>
      </c>
      <c r="E32" s="68"/>
    </row>
    <row r="33" spans="1:5" ht="57">
      <c r="A33" s="67" t="str">
        <f>Source!E150</f>
        <v>11</v>
      </c>
      <c r="B33" s="68" t="str">
        <f>Source!G150</f>
        <v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поверхности, состав с наполнителем из среднезернистого минерала (размер зерна до 3 мм)</v>
      </c>
      <c r="C33" s="69" t="str">
        <f>Source!H150</f>
        <v>100 м2 отделываемой поверхности</v>
      </c>
      <c r="D33" s="70">
        <f>Source!I150</f>
        <v>1.29</v>
      </c>
      <c r="E33" s="68"/>
    </row>
    <row r="34" spans="1:5" ht="14.25">
      <c r="A34" s="67" t="str">
        <f>Source!E151</f>
        <v>11,1</v>
      </c>
      <c r="B34" s="68" t="str">
        <f>Source!G151</f>
        <v>Состав грунтовочный на латексной основе</v>
      </c>
      <c r="C34" s="69" t="str">
        <f>Source!H151</f>
        <v>т</v>
      </c>
      <c r="D34" s="70">
        <f>Source!I151</f>
        <v>2.0639999999999995E-2</v>
      </c>
      <c r="E34" s="68"/>
    </row>
    <row r="35" spans="1:5" ht="14.25">
      <c r="A35" s="67" t="str">
        <f>Source!E152</f>
        <v>12</v>
      </c>
      <c r="B35" s="68" t="str">
        <f>Source!G152</f>
        <v>Грунтовка акриловая PRIMER С проникающая, адгезионная, LITOCOL</v>
      </c>
      <c r="C35" s="69" t="str">
        <f>Source!H152</f>
        <v>кг</v>
      </c>
      <c r="D35" s="70">
        <f>Source!I152</f>
        <v>20</v>
      </c>
      <c r="E35" s="68"/>
    </row>
    <row r="36" spans="1:5" ht="42.75">
      <c r="A36" s="67" t="str">
        <f>Source!E153</f>
        <v>13</v>
      </c>
      <c r="B36" s="68" t="str">
        <f>Source!G153</f>
        <v>При структурировании поверхности фактурными валиками или шпателями добавлять к расценкам 15-04-048-06, 15-04-048-07, 15-04-048-08</v>
      </c>
      <c r="C36" s="69" t="str">
        <f>Source!H153</f>
        <v>100 м2 отделываемой поверхности</v>
      </c>
      <c r="D36" s="70">
        <f>Source!I153</f>
        <v>1.29</v>
      </c>
      <c r="E36" s="68"/>
    </row>
    <row r="37" spans="1:5" ht="16.5">
      <c r="A37" s="93" t="str">
        <f>CONCATENATE("Раздел: ", Source!G185)</f>
        <v>Раздел: потолок</v>
      </c>
      <c r="B37" s="93"/>
      <c r="C37" s="93"/>
      <c r="D37" s="93"/>
      <c r="E37" s="93"/>
    </row>
    <row r="38" spans="1:5" ht="42.75">
      <c r="A38" s="67" t="str">
        <f>Source!E189</f>
        <v>3</v>
      </c>
      <c r="B38" s="68" t="str">
        <f>Source!G189</f>
        <v>Устройство подвесных потолков типа &lt;Армстронг&gt; по каркасу из оцинкованного профиля</v>
      </c>
      <c r="C38" s="69" t="str">
        <f>Source!H189</f>
        <v>100 м2 поверхности облицовки</v>
      </c>
      <c r="D38" s="70">
        <f>Source!I189</f>
        <v>0.30399999999999999</v>
      </c>
      <c r="E38" s="68"/>
    </row>
    <row r="39" spans="1:5" ht="28.5">
      <c r="A39" s="67" t="str">
        <f>Source!E190</f>
        <v>7</v>
      </c>
      <c r="B39" s="68" t="str">
        <f>Source!G190</f>
        <v>Погрузка при автомобильных перевозках мусора строительного с погрузкой вручную</v>
      </c>
      <c r="C39" s="69" t="str">
        <f>Source!H190</f>
        <v>1 Т ГРУЗА</v>
      </c>
      <c r="D39" s="70">
        <f>Source!I190</f>
        <v>0.3</v>
      </c>
      <c r="E39" s="68"/>
    </row>
    <row r="40" spans="1:5" ht="28.5">
      <c r="A40" s="63" t="str">
        <f>Source!E191</f>
        <v>8</v>
      </c>
      <c r="B40" s="64" t="str">
        <f>Source!G191</f>
        <v>Перевозка грузов I класса автомобилями бортовыми грузоподъемностью до 15 т на расстояние до 40 км</v>
      </c>
      <c r="C40" s="65" t="str">
        <f>Source!H191</f>
        <v>1 Т ГРУЗА</v>
      </c>
      <c r="D40" s="66">
        <f>Source!I191</f>
        <v>0.3</v>
      </c>
      <c r="E40" s="64"/>
    </row>
    <row r="43" spans="1:5" ht="15">
      <c r="A43" s="35" t="s">
        <v>531</v>
      </c>
      <c r="B43" s="35"/>
      <c r="C43" s="35" t="s">
        <v>532</v>
      </c>
      <c r="D43" s="35"/>
      <c r="E43" s="35"/>
    </row>
  </sheetData>
  <mergeCells count="8">
    <mergeCell ref="A27:E27"/>
    <mergeCell ref="A37:E37"/>
    <mergeCell ref="A2:D2"/>
    <mergeCell ref="A3:D3"/>
    <mergeCell ref="A10:E10"/>
    <mergeCell ref="A11:E11"/>
    <mergeCell ref="A12:E12"/>
    <mergeCell ref="A19:E19"/>
  </mergeCells>
  <pageMargins left="0.4" right="0.2" top="0.2" bottom="0.4" header="0.2" footer="0.2"/>
  <pageSetup paperSize="9" scale="75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320"/>
  <sheetViews>
    <sheetView workbookViewId="0">
      <selection activeCell="A316" sqref="A316:AN316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314</v>
      </c>
      <c r="C12" s="1">
        <v>0</v>
      </c>
      <c r="D12" s="1">
        <f>ROW(A253)</f>
        <v>253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B253</f>
        <v>314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лестничной клетки ОВП Ильинский Погост 2021</v>
      </c>
      <c r="H18" s="2"/>
      <c r="I18" s="2"/>
      <c r="J18" s="2"/>
      <c r="K18" s="2"/>
      <c r="L18" s="2"/>
      <c r="M18" s="2"/>
      <c r="N18" s="2"/>
      <c r="O18" s="2">
        <f t="shared" ref="O18:AT18" si="1">O253</f>
        <v>238084.08</v>
      </c>
      <c r="P18" s="2">
        <f t="shared" si="1"/>
        <v>76704.28</v>
      </c>
      <c r="Q18" s="2">
        <f t="shared" si="1"/>
        <v>7148.81</v>
      </c>
      <c r="R18" s="2">
        <f t="shared" si="1"/>
        <v>3619.76</v>
      </c>
      <c r="S18" s="2">
        <f t="shared" si="1"/>
        <v>154230.99</v>
      </c>
      <c r="T18" s="2">
        <f t="shared" si="1"/>
        <v>0</v>
      </c>
      <c r="U18" s="2">
        <f t="shared" si="1"/>
        <v>496.07817849999998</v>
      </c>
      <c r="V18" s="2">
        <f t="shared" si="1"/>
        <v>11.065225</v>
      </c>
      <c r="W18" s="2">
        <f t="shared" si="1"/>
        <v>119.85</v>
      </c>
      <c r="X18" s="2">
        <f t="shared" si="1"/>
        <v>151158</v>
      </c>
      <c r="Y18" s="2">
        <f t="shared" si="1"/>
        <v>79466.73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468708.81</v>
      </c>
      <c r="AS18" s="2">
        <f t="shared" si="1"/>
        <v>459870.38</v>
      </c>
      <c r="AT18" s="2">
        <f t="shared" si="1"/>
        <v>8838.43</v>
      </c>
      <c r="AU18" s="2">
        <f t="shared" ref="AU18:BZ18" si="2">AU253</f>
        <v>0</v>
      </c>
      <c r="AV18" s="2">
        <f t="shared" si="2"/>
        <v>76704.28</v>
      </c>
      <c r="AW18" s="2">
        <f t="shared" si="2"/>
        <v>76704.28</v>
      </c>
      <c r="AX18" s="2">
        <f t="shared" si="2"/>
        <v>0</v>
      </c>
      <c r="AY18" s="2">
        <f t="shared" si="2"/>
        <v>76704.28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248.1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CA253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DG253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EM253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FS253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ROW(A223)</f>
        <v>223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B223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O223</f>
        <v>238084.08</v>
      </c>
      <c r="P22" s="2">
        <f t="shared" si="8"/>
        <v>76704.28</v>
      </c>
      <c r="Q22" s="2">
        <f t="shared" si="8"/>
        <v>7148.81</v>
      </c>
      <c r="R22" s="2">
        <f t="shared" si="8"/>
        <v>3619.76</v>
      </c>
      <c r="S22" s="2">
        <f t="shared" si="8"/>
        <v>154230.99</v>
      </c>
      <c r="T22" s="2">
        <f t="shared" si="8"/>
        <v>0</v>
      </c>
      <c r="U22" s="2">
        <f t="shared" si="8"/>
        <v>496.07817849999998</v>
      </c>
      <c r="V22" s="2">
        <f t="shared" si="8"/>
        <v>11.065225</v>
      </c>
      <c r="W22" s="2">
        <f t="shared" si="8"/>
        <v>119.85</v>
      </c>
      <c r="X22" s="2">
        <f t="shared" si="8"/>
        <v>151158</v>
      </c>
      <c r="Y22" s="2">
        <f t="shared" si="8"/>
        <v>79466.73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468708.81</v>
      </c>
      <c r="AS22" s="2">
        <f t="shared" si="8"/>
        <v>459870.38</v>
      </c>
      <c r="AT22" s="2">
        <f t="shared" si="8"/>
        <v>8838.43</v>
      </c>
      <c r="AU22" s="2">
        <f t="shared" ref="AU22:BZ22" si="9">AU223</f>
        <v>0</v>
      </c>
      <c r="AV22" s="2">
        <f t="shared" si="9"/>
        <v>76704.28</v>
      </c>
      <c r="AW22" s="2">
        <f t="shared" si="9"/>
        <v>76704.28</v>
      </c>
      <c r="AX22" s="2">
        <f t="shared" si="9"/>
        <v>0</v>
      </c>
      <c r="AY22" s="2">
        <f t="shared" si="9"/>
        <v>76704.28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248.1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CA223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DG223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EM223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FS223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ROW(A69)</f>
        <v>69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B69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Лстничная клетка</v>
      </c>
      <c r="H26" s="2"/>
      <c r="I26" s="2"/>
      <c r="J26" s="2"/>
      <c r="K26" s="2"/>
      <c r="L26" s="2"/>
      <c r="M26" s="2"/>
      <c r="N26" s="2"/>
      <c r="O26" s="2">
        <f t="shared" ref="O26:AT26" si="15">O69</f>
        <v>8074.99</v>
      </c>
      <c r="P26" s="2">
        <f t="shared" si="15"/>
        <v>117.39</v>
      </c>
      <c r="Q26" s="2">
        <f t="shared" si="15"/>
        <v>177.58</v>
      </c>
      <c r="R26" s="2">
        <f t="shared" si="15"/>
        <v>161.33000000000001</v>
      </c>
      <c r="S26" s="2">
        <f t="shared" si="15"/>
        <v>7780.02</v>
      </c>
      <c r="T26" s="2">
        <f t="shared" si="15"/>
        <v>0</v>
      </c>
      <c r="U26" s="2">
        <f t="shared" si="15"/>
        <v>28.348100000000002</v>
      </c>
      <c r="V26" s="2">
        <f t="shared" si="15"/>
        <v>0.36159999999999998</v>
      </c>
      <c r="W26" s="2">
        <f t="shared" si="15"/>
        <v>0</v>
      </c>
      <c r="X26" s="2">
        <f t="shared" si="15"/>
        <v>6250.13</v>
      </c>
      <c r="Y26" s="2">
        <f t="shared" si="15"/>
        <v>5177.8900000000003</v>
      </c>
      <c r="Z26" s="2">
        <f t="shared" si="15"/>
        <v>0</v>
      </c>
      <c r="AA26" s="2">
        <f t="shared" si="15"/>
        <v>0</v>
      </c>
      <c r="AB26" s="2">
        <f t="shared" si="15"/>
        <v>0</v>
      </c>
      <c r="AC26" s="2">
        <f t="shared" si="15"/>
        <v>0</v>
      </c>
      <c r="AD26" s="2">
        <f t="shared" si="15"/>
        <v>0</v>
      </c>
      <c r="AE26" s="2">
        <f t="shared" si="15"/>
        <v>0</v>
      </c>
      <c r="AF26" s="2">
        <f t="shared" si="15"/>
        <v>0</v>
      </c>
      <c r="AG26" s="2">
        <f t="shared" si="15"/>
        <v>0</v>
      </c>
      <c r="AH26" s="2">
        <f t="shared" si="15"/>
        <v>0</v>
      </c>
      <c r="AI26" s="2">
        <f t="shared" si="15"/>
        <v>0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19503.009999999998</v>
      </c>
      <c r="AS26" s="2">
        <f t="shared" si="15"/>
        <v>19503.009999999998</v>
      </c>
      <c r="AT26" s="2">
        <f t="shared" si="15"/>
        <v>0</v>
      </c>
      <c r="AU26" s="2">
        <f t="shared" ref="AU26:BZ26" si="16">AU69</f>
        <v>0</v>
      </c>
      <c r="AV26" s="2">
        <f t="shared" si="16"/>
        <v>117.39</v>
      </c>
      <c r="AW26" s="2">
        <f t="shared" si="16"/>
        <v>117.39</v>
      </c>
      <c r="AX26" s="2">
        <f t="shared" si="16"/>
        <v>0</v>
      </c>
      <c r="AY26" s="2">
        <f t="shared" si="16"/>
        <v>117.39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CA69</f>
        <v>0</v>
      </c>
      <c r="CB26" s="2">
        <f t="shared" si="17"/>
        <v>0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DG69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EM69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FS69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 s="1">
        <v>5</v>
      </c>
      <c r="B28" s="1">
        <v>1</v>
      </c>
      <c r="C28" s="1"/>
      <c r="D28" s="1">
        <f>ROW(A39)</f>
        <v>39</v>
      </c>
      <c r="E28" s="1"/>
      <c r="F28" s="1" t="s">
        <v>15</v>
      </c>
      <c r="G28" s="1" t="s">
        <v>16</v>
      </c>
      <c r="H28" s="1" t="s">
        <v>3</v>
      </c>
      <c r="I28" s="1">
        <v>0</v>
      </c>
      <c r="J28" s="1"/>
      <c r="K28" s="1">
        <v>0</v>
      </c>
      <c r="L28" s="1"/>
      <c r="M28" s="1" t="s">
        <v>3</v>
      </c>
      <c r="N28" s="1"/>
      <c r="O28" s="1"/>
      <c r="P28" s="1"/>
      <c r="Q28" s="1"/>
      <c r="R28" s="1"/>
      <c r="S28" s="1">
        <v>0</v>
      </c>
      <c r="T28" s="1"/>
      <c r="U28" s="1" t="s">
        <v>3</v>
      </c>
      <c r="V28" s="1">
        <v>0</v>
      </c>
      <c r="W28" s="1"/>
      <c r="X28" s="1"/>
      <c r="Y28" s="1"/>
      <c r="Z28" s="1"/>
      <c r="AA28" s="1"/>
      <c r="AB28" s="1" t="s">
        <v>3</v>
      </c>
      <c r="AC28" s="1" t="s">
        <v>3</v>
      </c>
      <c r="AD28" s="1" t="s">
        <v>3</v>
      </c>
      <c r="AE28" s="1" t="s">
        <v>3</v>
      </c>
      <c r="AF28" s="1" t="s">
        <v>3</v>
      </c>
      <c r="AG28" s="1" t="s">
        <v>3</v>
      </c>
      <c r="AH28" s="1"/>
      <c r="AI28" s="1"/>
      <c r="AJ28" s="1"/>
      <c r="AK28" s="1"/>
      <c r="AL28" s="1"/>
      <c r="AM28" s="1"/>
      <c r="AN28" s="1"/>
      <c r="AO28" s="1"/>
      <c r="AP28" s="1" t="s">
        <v>3</v>
      </c>
      <c r="AQ28" s="1" t="s">
        <v>3</v>
      </c>
      <c r="AR28" s="1" t="s">
        <v>3</v>
      </c>
      <c r="AS28" s="1"/>
      <c r="AT28" s="1"/>
      <c r="AU28" s="1"/>
      <c r="AV28" s="1"/>
      <c r="AW28" s="1"/>
      <c r="AX28" s="1"/>
      <c r="AY28" s="1"/>
      <c r="AZ28" s="1" t="s">
        <v>3</v>
      </c>
      <c r="BA28" s="1"/>
      <c r="BB28" s="1" t="s">
        <v>3</v>
      </c>
      <c r="BC28" s="1" t="s">
        <v>3</v>
      </c>
      <c r="BD28" s="1" t="s">
        <v>3</v>
      </c>
      <c r="BE28" s="1" t="s">
        <v>3</v>
      </c>
      <c r="BF28" s="1" t="s">
        <v>3</v>
      </c>
      <c r="BG28" s="1" t="s">
        <v>3</v>
      </c>
      <c r="BH28" s="1" t="s">
        <v>3</v>
      </c>
      <c r="BI28" s="1" t="s">
        <v>3</v>
      </c>
      <c r="BJ28" s="1" t="s">
        <v>3</v>
      </c>
      <c r="BK28" s="1" t="s">
        <v>3</v>
      </c>
      <c r="BL28" s="1" t="s">
        <v>3</v>
      </c>
      <c r="BM28" s="1" t="s">
        <v>3</v>
      </c>
      <c r="BN28" s="1" t="s">
        <v>3</v>
      </c>
      <c r="BO28" s="1" t="s">
        <v>3</v>
      </c>
      <c r="BP28" s="1" t="s">
        <v>3</v>
      </c>
      <c r="BQ28" s="1"/>
      <c r="BR28" s="1"/>
      <c r="BS28" s="1"/>
      <c r="BT28" s="1"/>
      <c r="BU28" s="1"/>
      <c r="BV28" s="1"/>
      <c r="BW28" s="1"/>
      <c r="BX28" s="1">
        <v>0</v>
      </c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>
        <v>0</v>
      </c>
    </row>
    <row r="30" spans="1:245">
      <c r="A30" s="2">
        <v>52</v>
      </c>
      <c r="B30" s="2">
        <f t="shared" ref="B30:G30" si="21">B39</f>
        <v>1</v>
      </c>
      <c r="C30" s="2">
        <f t="shared" si="21"/>
        <v>5</v>
      </c>
      <c r="D30" s="2">
        <f t="shared" si="21"/>
        <v>28</v>
      </c>
      <c r="E30" s="2">
        <f t="shared" si="21"/>
        <v>0</v>
      </c>
      <c r="F30" s="2" t="str">
        <f t="shared" si="21"/>
        <v>Новый подраздел</v>
      </c>
      <c r="G30" s="2" t="str">
        <f t="shared" si="21"/>
        <v>демонтаж</v>
      </c>
      <c r="H30" s="2"/>
      <c r="I30" s="2"/>
      <c r="J30" s="2"/>
      <c r="K30" s="2"/>
      <c r="L30" s="2"/>
      <c r="M30" s="2"/>
      <c r="N30" s="2"/>
      <c r="O30" s="2">
        <f t="shared" ref="O30:AT30" si="22">O39</f>
        <v>8074.99</v>
      </c>
      <c r="P30" s="2">
        <f t="shared" si="22"/>
        <v>117.39</v>
      </c>
      <c r="Q30" s="2">
        <f t="shared" si="22"/>
        <v>177.58</v>
      </c>
      <c r="R30" s="2">
        <f t="shared" si="22"/>
        <v>161.33000000000001</v>
      </c>
      <c r="S30" s="2">
        <f t="shared" si="22"/>
        <v>7780.02</v>
      </c>
      <c r="T30" s="2">
        <f t="shared" si="22"/>
        <v>0</v>
      </c>
      <c r="U30" s="2">
        <f t="shared" si="22"/>
        <v>28.348100000000002</v>
      </c>
      <c r="V30" s="2">
        <f t="shared" si="22"/>
        <v>0.36159999999999998</v>
      </c>
      <c r="W30" s="2">
        <f t="shared" si="22"/>
        <v>0</v>
      </c>
      <c r="X30" s="2">
        <f t="shared" si="22"/>
        <v>6250.13</v>
      </c>
      <c r="Y30" s="2">
        <f t="shared" si="22"/>
        <v>5177.8900000000003</v>
      </c>
      <c r="Z30" s="2">
        <f t="shared" si="22"/>
        <v>0</v>
      </c>
      <c r="AA30" s="2">
        <f t="shared" si="22"/>
        <v>0</v>
      </c>
      <c r="AB30" s="2">
        <f t="shared" si="22"/>
        <v>8074.99</v>
      </c>
      <c r="AC30" s="2">
        <f t="shared" si="22"/>
        <v>117.39</v>
      </c>
      <c r="AD30" s="2">
        <f t="shared" si="22"/>
        <v>177.58</v>
      </c>
      <c r="AE30" s="2">
        <f t="shared" si="22"/>
        <v>161.33000000000001</v>
      </c>
      <c r="AF30" s="2">
        <f t="shared" si="22"/>
        <v>7780.02</v>
      </c>
      <c r="AG30" s="2">
        <f t="shared" si="22"/>
        <v>0</v>
      </c>
      <c r="AH30" s="2">
        <f t="shared" si="22"/>
        <v>28.348100000000002</v>
      </c>
      <c r="AI30" s="2">
        <f t="shared" si="22"/>
        <v>0.36159999999999998</v>
      </c>
      <c r="AJ30" s="2">
        <f t="shared" si="22"/>
        <v>0</v>
      </c>
      <c r="AK30" s="2">
        <f t="shared" si="22"/>
        <v>6250.13</v>
      </c>
      <c r="AL30" s="2">
        <f t="shared" si="22"/>
        <v>5177.8900000000003</v>
      </c>
      <c r="AM30" s="2">
        <f t="shared" si="22"/>
        <v>0</v>
      </c>
      <c r="AN30" s="2">
        <f t="shared" si="22"/>
        <v>0</v>
      </c>
      <c r="AO30" s="2">
        <f t="shared" si="22"/>
        <v>0</v>
      </c>
      <c r="AP30" s="2">
        <f t="shared" si="22"/>
        <v>0</v>
      </c>
      <c r="AQ30" s="2">
        <f t="shared" si="22"/>
        <v>0</v>
      </c>
      <c r="AR30" s="2">
        <f t="shared" si="22"/>
        <v>19503.009999999998</v>
      </c>
      <c r="AS30" s="2">
        <f t="shared" si="22"/>
        <v>19503.009999999998</v>
      </c>
      <c r="AT30" s="2">
        <f t="shared" si="22"/>
        <v>0</v>
      </c>
      <c r="AU30" s="2">
        <f t="shared" ref="AU30:BZ30" si="23">AU39</f>
        <v>0</v>
      </c>
      <c r="AV30" s="2">
        <f t="shared" si="23"/>
        <v>117.39</v>
      </c>
      <c r="AW30" s="2">
        <f t="shared" si="23"/>
        <v>117.39</v>
      </c>
      <c r="AX30" s="2">
        <f t="shared" si="23"/>
        <v>0</v>
      </c>
      <c r="AY30" s="2">
        <f t="shared" si="23"/>
        <v>117.39</v>
      </c>
      <c r="AZ30" s="2">
        <f t="shared" si="23"/>
        <v>0</v>
      </c>
      <c r="BA30" s="2">
        <f t="shared" si="23"/>
        <v>0</v>
      </c>
      <c r="BB30" s="2">
        <f t="shared" si="23"/>
        <v>0</v>
      </c>
      <c r="BC30" s="2">
        <f t="shared" si="23"/>
        <v>0</v>
      </c>
      <c r="BD30" s="2">
        <f t="shared" si="23"/>
        <v>0</v>
      </c>
      <c r="BE30" s="2">
        <f t="shared" si="23"/>
        <v>0</v>
      </c>
      <c r="BF30" s="2">
        <f t="shared" si="23"/>
        <v>0</v>
      </c>
      <c r="BG30" s="2">
        <f t="shared" si="23"/>
        <v>0</v>
      </c>
      <c r="BH30" s="2">
        <f t="shared" si="23"/>
        <v>0</v>
      </c>
      <c r="BI30" s="2">
        <f t="shared" si="23"/>
        <v>0</v>
      </c>
      <c r="BJ30" s="2">
        <f t="shared" si="23"/>
        <v>0</v>
      </c>
      <c r="BK30" s="2">
        <f t="shared" si="23"/>
        <v>0</v>
      </c>
      <c r="BL30" s="2">
        <f t="shared" si="23"/>
        <v>0</v>
      </c>
      <c r="BM30" s="2">
        <f t="shared" si="23"/>
        <v>0</v>
      </c>
      <c r="BN30" s="2">
        <f t="shared" si="23"/>
        <v>0</v>
      </c>
      <c r="BO30" s="2">
        <f t="shared" si="23"/>
        <v>0</v>
      </c>
      <c r="BP30" s="2">
        <f t="shared" si="23"/>
        <v>0</v>
      </c>
      <c r="BQ30" s="2">
        <f t="shared" si="23"/>
        <v>0</v>
      </c>
      <c r="BR30" s="2">
        <f t="shared" si="23"/>
        <v>0</v>
      </c>
      <c r="BS30" s="2">
        <f t="shared" si="23"/>
        <v>0</v>
      </c>
      <c r="BT30" s="2">
        <f t="shared" si="23"/>
        <v>0</v>
      </c>
      <c r="BU30" s="2">
        <f t="shared" si="23"/>
        <v>0</v>
      </c>
      <c r="BV30" s="2">
        <f t="shared" si="23"/>
        <v>0</v>
      </c>
      <c r="BW30" s="2">
        <f t="shared" si="23"/>
        <v>0</v>
      </c>
      <c r="BX30" s="2">
        <f t="shared" si="23"/>
        <v>0</v>
      </c>
      <c r="BY30" s="2">
        <f t="shared" si="23"/>
        <v>0</v>
      </c>
      <c r="BZ30" s="2">
        <f t="shared" si="23"/>
        <v>0</v>
      </c>
      <c r="CA30" s="2">
        <f t="shared" ref="CA30:DF30" si="24">CA39</f>
        <v>19503.009999999998</v>
      </c>
      <c r="CB30" s="2">
        <f t="shared" si="24"/>
        <v>19503.009999999998</v>
      </c>
      <c r="CC30" s="2">
        <f t="shared" si="24"/>
        <v>0</v>
      </c>
      <c r="CD30" s="2">
        <f t="shared" si="24"/>
        <v>0</v>
      </c>
      <c r="CE30" s="2">
        <f t="shared" si="24"/>
        <v>117.39</v>
      </c>
      <c r="CF30" s="2">
        <f t="shared" si="24"/>
        <v>117.39</v>
      </c>
      <c r="CG30" s="2">
        <f t="shared" si="24"/>
        <v>0</v>
      </c>
      <c r="CH30" s="2">
        <f t="shared" si="24"/>
        <v>117.39</v>
      </c>
      <c r="CI30" s="2">
        <f t="shared" si="24"/>
        <v>0</v>
      </c>
      <c r="CJ30" s="2">
        <f t="shared" si="24"/>
        <v>0</v>
      </c>
      <c r="CK30" s="2">
        <f t="shared" si="24"/>
        <v>0</v>
      </c>
      <c r="CL30" s="2">
        <f t="shared" si="24"/>
        <v>0</v>
      </c>
      <c r="CM30" s="2">
        <f t="shared" si="24"/>
        <v>0</v>
      </c>
      <c r="CN30" s="2">
        <f t="shared" si="24"/>
        <v>0</v>
      </c>
      <c r="CO30" s="2">
        <f t="shared" si="24"/>
        <v>0</v>
      </c>
      <c r="CP30" s="2">
        <f t="shared" si="24"/>
        <v>0</v>
      </c>
      <c r="CQ30" s="2">
        <f t="shared" si="24"/>
        <v>0</v>
      </c>
      <c r="CR30" s="2">
        <f t="shared" si="24"/>
        <v>0</v>
      </c>
      <c r="CS30" s="2">
        <f t="shared" si="24"/>
        <v>0</v>
      </c>
      <c r="CT30" s="2">
        <f t="shared" si="24"/>
        <v>0</v>
      </c>
      <c r="CU30" s="2">
        <f t="shared" si="24"/>
        <v>0</v>
      </c>
      <c r="CV30" s="2">
        <f t="shared" si="24"/>
        <v>0</v>
      </c>
      <c r="CW30" s="2">
        <f t="shared" si="24"/>
        <v>0</v>
      </c>
      <c r="CX30" s="2">
        <f t="shared" si="24"/>
        <v>0</v>
      </c>
      <c r="CY30" s="2">
        <f t="shared" si="24"/>
        <v>0</v>
      </c>
      <c r="CZ30" s="2">
        <f t="shared" si="24"/>
        <v>0</v>
      </c>
      <c r="DA30" s="2">
        <f t="shared" si="24"/>
        <v>0</v>
      </c>
      <c r="DB30" s="2">
        <f t="shared" si="24"/>
        <v>0</v>
      </c>
      <c r="DC30" s="2">
        <f t="shared" si="24"/>
        <v>0</v>
      </c>
      <c r="DD30" s="2">
        <f t="shared" si="24"/>
        <v>0</v>
      </c>
      <c r="DE30" s="2">
        <f t="shared" si="24"/>
        <v>0</v>
      </c>
      <c r="DF30" s="2">
        <f t="shared" si="24"/>
        <v>0</v>
      </c>
      <c r="DG30" s="3">
        <f t="shared" ref="DG30:EL30" si="25">DG39</f>
        <v>0</v>
      </c>
      <c r="DH30" s="3">
        <f t="shared" si="25"/>
        <v>0</v>
      </c>
      <c r="DI30" s="3">
        <f t="shared" si="25"/>
        <v>0</v>
      </c>
      <c r="DJ30" s="3">
        <f t="shared" si="25"/>
        <v>0</v>
      </c>
      <c r="DK30" s="3">
        <f t="shared" si="25"/>
        <v>0</v>
      </c>
      <c r="DL30" s="3">
        <f t="shared" si="25"/>
        <v>0</v>
      </c>
      <c r="DM30" s="3">
        <f t="shared" si="25"/>
        <v>0</v>
      </c>
      <c r="DN30" s="3">
        <f t="shared" si="25"/>
        <v>0</v>
      </c>
      <c r="DO30" s="3">
        <f t="shared" si="25"/>
        <v>0</v>
      </c>
      <c r="DP30" s="3">
        <f t="shared" si="25"/>
        <v>0</v>
      </c>
      <c r="DQ30" s="3">
        <f t="shared" si="25"/>
        <v>0</v>
      </c>
      <c r="DR30" s="3">
        <f t="shared" si="25"/>
        <v>0</v>
      </c>
      <c r="DS30" s="3">
        <f t="shared" si="25"/>
        <v>0</v>
      </c>
      <c r="DT30" s="3">
        <f t="shared" si="25"/>
        <v>0</v>
      </c>
      <c r="DU30" s="3">
        <f t="shared" si="25"/>
        <v>0</v>
      </c>
      <c r="DV30" s="3">
        <f t="shared" si="25"/>
        <v>0</v>
      </c>
      <c r="DW30" s="3">
        <f t="shared" si="25"/>
        <v>0</v>
      </c>
      <c r="DX30" s="3">
        <f t="shared" si="25"/>
        <v>0</v>
      </c>
      <c r="DY30" s="3">
        <f t="shared" si="25"/>
        <v>0</v>
      </c>
      <c r="DZ30" s="3">
        <f t="shared" si="25"/>
        <v>0</v>
      </c>
      <c r="EA30" s="3">
        <f t="shared" si="25"/>
        <v>0</v>
      </c>
      <c r="EB30" s="3">
        <f t="shared" si="25"/>
        <v>0</v>
      </c>
      <c r="EC30" s="3">
        <f t="shared" si="25"/>
        <v>0</v>
      </c>
      <c r="ED30" s="3">
        <f t="shared" si="25"/>
        <v>0</v>
      </c>
      <c r="EE30" s="3">
        <f t="shared" si="25"/>
        <v>0</v>
      </c>
      <c r="EF30" s="3">
        <f t="shared" si="25"/>
        <v>0</v>
      </c>
      <c r="EG30" s="3">
        <f t="shared" si="25"/>
        <v>0</v>
      </c>
      <c r="EH30" s="3">
        <f t="shared" si="25"/>
        <v>0</v>
      </c>
      <c r="EI30" s="3">
        <f t="shared" si="25"/>
        <v>0</v>
      </c>
      <c r="EJ30" s="3">
        <f t="shared" si="25"/>
        <v>0</v>
      </c>
      <c r="EK30" s="3">
        <f t="shared" si="25"/>
        <v>0</v>
      </c>
      <c r="EL30" s="3">
        <f t="shared" si="25"/>
        <v>0</v>
      </c>
      <c r="EM30" s="3">
        <f t="shared" ref="EM30:FR30" si="26">EM39</f>
        <v>0</v>
      </c>
      <c r="EN30" s="3">
        <f t="shared" si="26"/>
        <v>0</v>
      </c>
      <c r="EO30" s="3">
        <f t="shared" si="26"/>
        <v>0</v>
      </c>
      <c r="EP30" s="3">
        <f t="shared" si="26"/>
        <v>0</v>
      </c>
      <c r="EQ30" s="3">
        <f t="shared" si="26"/>
        <v>0</v>
      </c>
      <c r="ER30" s="3">
        <f t="shared" si="26"/>
        <v>0</v>
      </c>
      <c r="ES30" s="3">
        <f t="shared" si="26"/>
        <v>0</v>
      </c>
      <c r="ET30" s="3">
        <f t="shared" si="26"/>
        <v>0</v>
      </c>
      <c r="EU30" s="3">
        <f t="shared" si="26"/>
        <v>0</v>
      </c>
      <c r="EV30" s="3">
        <f t="shared" si="26"/>
        <v>0</v>
      </c>
      <c r="EW30" s="3">
        <f t="shared" si="26"/>
        <v>0</v>
      </c>
      <c r="EX30" s="3">
        <f t="shared" si="26"/>
        <v>0</v>
      </c>
      <c r="EY30" s="3">
        <f t="shared" si="26"/>
        <v>0</v>
      </c>
      <c r="EZ30" s="3">
        <f t="shared" si="26"/>
        <v>0</v>
      </c>
      <c r="FA30" s="3">
        <f t="shared" si="26"/>
        <v>0</v>
      </c>
      <c r="FB30" s="3">
        <f t="shared" si="26"/>
        <v>0</v>
      </c>
      <c r="FC30" s="3">
        <f t="shared" si="26"/>
        <v>0</v>
      </c>
      <c r="FD30" s="3">
        <f t="shared" si="26"/>
        <v>0</v>
      </c>
      <c r="FE30" s="3">
        <f t="shared" si="26"/>
        <v>0</v>
      </c>
      <c r="FF30" s="3">
        <f t="shared" si="26"/>
        <v>0</v>
      </c>
      <c r="FG30" s="3">
        <f t="shared" si="26"/>
        <v>0</v>
      </c>
      <c r="FH30" s="3">
        <f t="shared" si="26"/>
        <v>0</v>
      </c>
      <c r="FI30" s="3">
        <f t="shared" si="26"/>
        <v>0</v>
      </c>
      <c r="FJ30" s="3">
        <f t="shared" si="26"/>
        <v>0</v>
      </c>
      <c r="FK30" s="3">
        <f t="shared" si="26"/>
        <v>0</v>
      </c>
      <c r="FL30" s="3">
        <f t="shared" si="26"/>
        <v>0</v>
      </c>
      <c r="FM30" s="3">
        <f t="shared" si="26"/>
        <v>0</v>
      </c>
      <c r="FN30" s="3">
        <f t="shared" si="26"/>
        <v>0</v>
      </c>
      <c r="FO30" s="3">
        <f t="shared" si="26"/>
        <v>0</v>
      </c>
      <c r="FP30" s="3">
        <f t="shared" si="26"/>
        <v>0</v>
      </c>
      <c r="FQ30" s="3">
        <f t="shared" si="26"/>
        <v>0</v>
      </c>
      <c r="FR30" s="3">
        <f t="shared" si="26"/>
        <v>0</v>
      </c>
      <c r="FS30" s="3">
        <f t="shared" ref="FS30:GX30" si="27">FS39</f>
        <v>0</v>
      </c>
      <c r="FT30" s="3">
        <f t="shared" si="27"/>
        <v>0</v>
      </c>
      <c r="FU30" s="3">
        <f t="shared" si="27"/>
        <v>0</v>
      </c>
      <c r="FV30" s="3">
        <f t="shared" si="27"/>
        <v>0</v>
      </c>
      <c r="FW30" s="3">
        <f t="shared" si="27"/>
        <v>0</v>
      </c>
      <c r="FX30" s="3">
        <f t="shared" si="27"/>
        <v>0</v>
      </c>
      <c r="FY30" s="3">
        <f t="shared" si="27"/>
        <v>0</v>
      </c>
      <c r="FZ30" s="3">
        <f t="shared" si="27"/>
        <v>0</v>
      </c>
      <c r="GA30" s="3">
        <f t="shared" si="27"/>
        <v>0</v>
      </c>
      <c r="GB30" s="3">
        <f t="shared" si="27"/>
        <v>0</v>
      </c>
      <c r="GC30" s="3">
        <f t="shared" si="27"/>
        <v>0</v>
      </c>
      <c r="GD30" s="3">
        <f t="shared" si="27"/>
        <v>0</v>
      </c>
      <c r="GE30" s="3">
        <f t="shared" si="27"/>
        <v>0</v>
      </c>
      <c r="GF30" s="3">
        <f t="shared" si="27"/>
        <v>0</v>
      </c>
      <c r="GG30" s="3">
        <f t="shared" si="27"/>
        <v>0</v>
      </c>
      <c r="GH30" s="3">
        <f t="shared" si="27"/>
        <v>0</v>
      </c>
      <c r="GI30" s="3">
        <f t="shared" si="27"/>
        <v>0</v>
      </c>
      <c r="GJ30" s="3">
        <f t="shared" si="27"/>
        <v>0</v>
      </c>
      <c r="GK30" s="3">
        <f t="shared" si="27"/>
        <v>0</v>
      </c>
      <c r="GL30" s="3">
        <f t="shared" si="27"/>
        <v>0</v>
      </c>
      <c r="GM30" s="3">
        <f t="shared" si="27"/>
        <v>0</v>
      </c>
      <c r="GN30" s="3">
        <f t="shared" si="27"/>
        <v>0</v>
      </c>
      <c r="GO30" s="3">
        <f t="shared" si="27"/>
        <v>0</v>
      </c>
      <c r="GP30" s="3">
        <f t="shared" si="27"/>
        <v>0</v>
      </c>
      <c r="GQ30" s="3">
        <f t="shared" si="27"/>
        <v>0</v>
      </c>
      <c r="GR30" s="3">
        <f t="shared" si="27"/>
        <v>0</v>
      </c>
      <c r="GS30" s="3">
        <f t="shared" si="27"/>
        <v>0</v>
      </c>
      <c r="GT30" s="3">
        <f t="shared" si="27"/>
        <v>0</v>
      </c>
      <c r="GU30" s="3">
        <f t="shared" si="27"/>
        <v>0</v>
      </c>
      <c r="GV30" s="3">
        <f t="shared" si="27"/>
        <v>0</v>
      </c>
      <c r="GW30" s="3">
        <f t="shared" si="27"/>
        <v>0</v>
      </c>
      <c r="GX30" s="3">
        <f t="shared" si="27"/>
        <v>0</v>
      </c>
    </row>
    <row r="32" spans="1:245">
      <c r="A32">
        <v>17</v>
      </c>
      <c r="B32">
        <v>1</v>
      </c>
      <c r="C32">
        <f>ROW(SmtRes!A4)</f>
        <v>4</v>
      </c>
      <c r="D32">
        <f>ROW(EtalonRes!A4)</f>
        <v>4</v>
      </c>
      <c r="E32" t="s">
        <v>17</v>
      </c>
      <c r="F32" t="s">
        <v>18</v>
      </c>
      <c r="G32" t="s">
        <v>19</v>
      </c>
      <c r="H32" t="s">
        <v>20</v>
      </c>
      <c r="I32">
        <f>ROUND(25/100,9)</f>
        <v>0.25</v>
      </c>
      <c r="J32">
        <v>0</v>
      </c>
      <c r="K32">
        <f>ROUND(25/100,9)</f>
        <v>0.25</v>
      </c>
      <c r="O32">
        <f t="shared" ref="O32:O37" si="28">ROUND(CP32,2)</f>
        <v>5092.37</v>
      </c>
      <c r="P32">
        <f t="shared" ref="P32:P37" si="29">ROUND(CQ32*I32,2)</f>
        <v>0</v>
      </c>
      <c r="Q32">
        <f t="shared" ref="Q32:Q37" si="30">ROUND(CR32*I32,2)</f>
        <v>168</v>
      </c>
      <c r="R32">
        <f t="shared" ref="R32:R37" si="31">ROUND(CS32*I32,2)</f>
        <v>160.62</v>
      </c>
      <c r="S32">
        <f t="shared" ref="S32:S37" si="32">ROUND(CT32*I32,2)</f>
        <v>4924.37</v>
      </c>
      <c r="T32">
        <f t="shared" ref="T32:T37" si="33">ROUND(CU32*I32,2)</f>
        <v>0</v>
      </c>
      <c r="U32">
        <f t="shared" ref="U32:U37" si="34">CV32*I32</f>
        <v>17.467500000000001</v>
      </c>
      <c r="V32">
        <f t="shared" ref="V32:V37" si="35">CW32*I32</f>
        <v>0.36</v>
      </c>
      <c r="W32">
        <f t="shared" ref="W32:W37" si="36">ROUND(CX32*I32,2)</f>
        <v>0</v>
      </c>
      <c r="X32">
        <f t="shared" ref="X32:Y37" si="37">ROUND(CY32,2)</f>
        <v>4067.99</v>
      </c>
      <c r="Y32">
        <f t="shared" si="37"/>
        <v>3457.79</v>
      </c>
      <c r="AA32">
        <v>35822480</v>
      </c>
      <c r="AB32">
        <f t="shared" ref="AB32:AB37" si="38">ROUND((AC32+AD32+AF32),6)</f>
        <v>641</v>
      </c>
      <c r="AC32">
        <f t="shared" ref="AC32:AC37" si="39">ROUND((ES32),6)</f>
        <v>0</v>
      </c>
      <c r="AD32">
        <f t="shared" ref="AD32:AD37" si="40">ROUND((((ET32)-(EU32))+AE32),6)</f>
        <v>45.01</v>
      </c>
      <c r="AE32">
        <f t="shared" ref="AE32:AF37" si="41">ROUND((EU32),6)</f>
        <v>19.440000000000001</v>
      </c>
      <c r="AF32">
        <f t="shared" si="41"/>
        <v>595.99</v>
      </c>
      <c r="AG32">
        <f t="shared" ref="AG32:AG37" si="42">ROUND((AP32),6)</f>
        <v>0</v>
      </c>
      <c r="AH32">
        <f t="shared" ref="AH32:AI37" si="43">(EW32)</f>
        <v>69.87</v>
      </c>
      <c r="AI32">
        <f t="shared" si="43"/>
        <v>1.44</v>
      </c>
      <c r="AJ32">
        <f t="shared" ref="AJ32:AJ37" si="44">(AS32)</f>
        <v>0</v>
      </c>
      <c r="AK32">
        <v>641</v>
      </c>
      <c r="AL32">
        <v>0</v>
      </c>
      <c r="AM32">
        <v>45.01</v>
      </c>
      <c r="AN32">
        <v>19.440000000000001</v>
      </c>
      <c r="AO32">
        <v>595.99</v>
      </c>
      <c r="AP32">
        <v>0</v>
      </c>
      <c r="AQ32">
        <v>69.87</v>
      </c>
      <c r="AR32">
        <v>1.44</v>
      </c>
      <c r="AS32">
        <v>0</v>
      </c>
      <c r="AT32">
        <v>80</v>
      </c>
      <c r="AU32">
        <v>68</v>
      </c>
      <c r="AV32">
        <v>1</v>
      </c>
      <c r="AW32">
        <v>1</v>
      </c>
      <c r="AZ32">
        <v>1</v>
      </c>
      <c r="BA32">
        <v>33.049999999999997</v>
      </c>
      <c r="BB32">
        <v>14.93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21</v>
      </c>
      <c r="BM32">
        <v>57001</v>
      </c>
      <c r="BN32">
        <v>0</v>
      </c>
      <c r="BO32" t="s">
        <v>18</v>
      </c>
      <c r="BP32">
        <v>1</v>
      </c>
      <c r="BQ32">
        <v>6</v>
      </c>
      <c r="BR32">
        <v>0</v>
      </c>
      <c r="BS32">
        <v>33.049999999999997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ref="CP32:CP37" si="45">(P32+Q32+S32)</f>
        <v>5092.37</v>
      </c>
      <c r="CQ32">
        <f t="shared" ref="CQ32:CQ37" si="46">AC32*BC32</f>
        <v>0</v>
      </c>
      <c r="CR32">
        <f t="shared" ref="CR32:CR37" si="47">AD32*BB32</f>
        <v>671.99929999999995</v>
      </c>
      <c r="CS32">
        <f t="shared" ref="CS32:CS37" si="48">AE32*BS32</f>
        <v>642.49199999999996</v>
      </c>
      <c r="CT32">
        <f t="shared" ref="CT32:CT37" si="49">AF32*BA32</f>
        <v>19697.469499999999</v>
      </c>
      <c r="CU32">
        <f t="shared" ref="CU32:CX37" si="50">AG32</f>
        <v>0</v>
      </c>
      <c r="CV32">
        <f t="shared" si="50"/>
        <v>69.87</v>
      </c>
      <c r="CW32">
        <f t="shared" si="50"/>
        <v>1.44</v>
      </c>
      <c r="CX32">
        <f t="shared" si="50"/>
        <v>0</v>
      </c>
      <c r="CY32">
        <f t="shared" ref="CY32:CY37" si="51">(((S32+R32)*AT32)/100)</f>
        <v>4067.9919999999997</v>
      </c>
      <c r="CZ32">
        <f t="shared" ref="CZ32:CZ37" si="52">(((S32+R32)*AU32)/100)</f>
        <v>3457.7932000000001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20</v>
      </c>
      <c r="DW32" t="s">
        <v>20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36260505</v>
      </c>
      <c r="EF32">
        <v>6</v>
      </c>
      <c r="EG32" t="s">
        <v>22</v>
      </c>
      <c r="EH32">
        <v>0</v>
      </c>
      <c r="EI32" t="s">
        <v>3</v>
      </c>
      <c r="EJ32">
        <v>1</v>
      </c>
      <c r="EK32">
        <v>57001</v>
      </c>
      <c r="EL32" t="s">
        <v>23</v>
      </c>
      <c r="EM32" t="s">
        <v>24</v>
      </c>
      <c r="EO32" t="s">
        <v>3</v>
      </c>
      <c r="EQ32">
        <v>0</v>
      </c>
      <c r="ER32">
        <v>641</v>
      </c>
      <c r="ES32">
        <v>0</v>
      </c>
      <c r="ET32">
        <v>45.01</v>
      </c>
      <c r="EU32">
        <v>19.440000000000001</v>
      </c>
      <c r="EV32">
        <v>595.99</v>
      </c>
      <c r="EW32">
        <v>69.87</v>
      </c>
      <c r="EX32">
        <v>1.44</v>
      </c>
      <c r="EY32">
        <v>0</v>
      </c>
      <c r="FQ32">
        <v>0</v>
      </c>
      <c r="FR32">
        <f t="shared" ref="FR32:FR37" si="53">ROUND(IF(AND(BH32=3,BI32=3),P32,0),2)</f>
        <v>0</v>
      </c>
      <c r="FS32">
        <v>0</v>
      </c>
      <c r="FX32">
        <v>80</v>
      </c>
      <c r="FY32">
        <v>68</v>
      </c>
      <c r="GA32" t="s">
        <v>3</v>
      </c>
      <c r="GD32">
        <v>1</v>
      </c>
      <c r="GF32">
        <v>1408343215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ref="GL32:GL37" si="54">ROUND(IF(AND(BH32=3,BI32=3,FS32&lt;&gt;0),P32,0),2)</f>
        <v>0</v>
      </c>
      <c r="GM32">
        <f t="shared" ref="GM32:GM37" si="55">ROUND(O32+X32+Y32,2)+GX32</f>
        <v>12618.15</v>
      </c>
      <c r="GN32">
        <f t="shared" ref="GN32:GN37" si="56">IF(OR(BI32=0,BI32=1),ROUND(O32+X32+Y32,2),0)</f>
        <v>12618.15</v>
      </c>
      <c r="GO32">
        <f t="shared" ref="GO32:GO37" si="57">IF(BI32=2,ROUND(O32+X32+Y32,2),0)</f>
        <v>0</v>
      </c>
      <c r="GP32">
        <f t="shared" ref="GP32:GP37" si="58">IF(BI32=4,ROUND(O32+X32+Y32,2)+GX32,0)</f>
        <v>0</v>
      </c>
      <c r="GR32">
        <v>0</v>
      </c>
      <c r="GS32">
        <v>3</v>
      </c>
      <c r="GT32">
        <v>0</v>
      </c>
      <c r="GU32" t="s">
        <v>3</v>
      </c>
      <c r="GV32">
        <f t="shared" ref="GV32:GV37" si="59">ROUND((GT32),6)</f>
        <v>0</v>
      </c>
      <c r="GW32">
        <v>1</v>
      </c>
      <c r="GX32">
        <f t="shared" ref="GX32:GX37" si="60">ROUND(HC32*I32,2)</f>
        <v>0</v>
      </c>
      <c r="HA32">
        <v>0</v>
      </c>
      <c r="HB32">
        <v>0</v>
      </c>
      <c r="HC32">
        <f t="shared" ref="HC32:HC37" si="61">GV32*GW32</f>
        <v>0</v>
      </c>
      <c r="HE32" t="s">
        <v>3</v>
      </c>
      <c r="HF32" t="s">
        <v>3</v>
      </c>
      <c r="HM32" t="s">
        <v>3</v>
      </c>
      <c r="IK32">
        <v>0</v>
      </c>
    </row>
    <row r="33" spans="1:245">
      <c r="A33">
        <v>18</v>
      </c>
      <c r="B33">
        <v>1</v>
      </c>
      <c r="C33">
        <v>4</v>
      </c>
      <c r="E33" t="s">
        <v>25</v>
      </c>
      <c r="F33" t="s">
        <v>26</v>
      </c>
      <c r="G33" t="s">
        <v>27</v>
      </c>
      <c r="H33" t="s">
        <v>28</v>
      </c>
      <c r="I33">
        <f>I32*J33</f>
        <v>1.3</v>
      </c>
      <c r="J33">
        <v>5.2</v>
      </c>
      <c r="K33">
        <v>5.2</v>
      </c>
      <c r="O33">
        <f t="shared" si="28"/>
        <v>0</v>
      </c>
      <c r="P33">
        <f t="shared" si="29"/>
        <v>0</v>
      </c>
      <c r="Q33">
        <f t="shared" si="30"/>
        <v>0</v>
      </c>
      <c r="R33">
        <f t="shared" si="31"/>
        <v>0</v>
      </c>
      <c r="S33">
        <f t="shared" si="32"/>
        <v>0</v>
      </c>
      <c r="T33">
        <f t="shared" si="33"/>
        <v>0</v>
      </c>
      <c r="U33">
        <f t="shared" si="34"/>
        <v>0</v>
      </c>
      <c r="V33">
        <f t="shared" si="35"/>
        <v>0</v>
      </c>
      <c r="W33">
        <f t="shared" si="36"/>
        <v>0</v>
      </c>
      <c r="X33">
        <f t="shared" si="37"/>
        <v>0</v>
      </c>
      <c r="Y33">
        <f t="shared" si="37"/>
        <v>0</v>
      </c>
      <c r="AA33">
        <v>35822480</v>
      </c>
      <c r="AB33">
        <f t="shared" si="38"/>
        <v>0</v>
      </c>
      <c r="AC33">
        <f t="shared" si="39"/>
        <v>0</v>
      </c>
      <c r="AD33">
        <f t="shared" si="40"/>
        <v>0</v>
      </c>
      <c r="AE33">
        <f t="shared" si="41"/>
        <v>0</v>
      </c>
      <c r="AF33">
        <f t="shared" si="41"/>
        <v>0</v>
      </c>
      <c r="AG33">
        <f t="shared" si="42"/>
        <v>0</v>
      </c>
      <c r="AH33">
        <f t="shared" si="43"/>
        <v>0</v>
      </c>
      <c r="AI33">
        <f t="shared" si="43"/>
        <v>0</v>
      </c>
      <c r="AJ33">
        <f t="shared" si="44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80</v>
      </c>
      <c r="AU33">
        <v>68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29</v>
      </c>
      <c r="BM33">
        <v>57001</v>
      </c>
      <c r="BN33">
        <v>0</v>
      </c>
      <c r="BO33" t="s">
        <v>3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80</v>
      </c>
      <c r="CA33">
        <v>68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5"/>
        <v>0</v>
      </c>
      <c r="CQ33">
        <f t="shared" si="46"/>
        <v>0</v>
      </c>
      <c r="CR33">
        <f t="shared" si="47"/>
        <v>0</v>
      </c>
      <c r="CS33">
        <f t="shared" si="48"/>
        <v>0</v>
      </c>
      <c r="CT33">
        <f t="shared" si="49"/>
        <v>0</v>
      </c>
      <c r="CU33">
        <f t="shared" si="50"/>
        <v>0</v>
      </c>
      <c r="CV33">
        <f t="shared" si="50"/>
        <v>0</v>
      </c>
      <c r="CW33">
        <f t="shared" si="50"/>
        <v>0</v>
      </c>
      <c r="CX33">
        <f t="shared" si="50"/>
        <v>0</v>
      </c>
      <c r="CY33">
        <f t="shared" si="51"/>
        <v>0</v>
      </c>
      <c r="CZ33">
        <f t="shared" si="52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28</v>
      </c>
      <c r="DW33" t="s">
        <v>28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36260505</v>
      </c>
      <c r="EF33">
        <v>6</v>
      </c>
      <c r="EG33" t="s">
        <v>22</v>
      </c>
      <c r="EH33">
        <v>0</v>
      </c>
      <c r="EI33" t="s">
        <v>3</v>
      </c>
      <c r="EJ33">
        <v>1</v>
      </c>
      <c r="EK33">
        <v>57001</v>
      </c>
      <c r="EL33" t="s">
        <v>23</v>
      </c>
      <c r="EM33" t="s">
        <v>24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53"/>
        <v>0</v>
      </c>
      <c r="FS33">
        <v>0</v>
      </c>
      <c r="FX33">
        <v>80</v>
      </c>
      <c r="FY33">
        <v>68</v>
      </c>
      <c r="GA33" t="s">
        <v>3</v>
      </c>
      <c r="GD33">
        <v>1</v>
      </c>
      <c r="GF33">
        <v>-304821490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54"/>
        <v>0</v>
      </c>
      <c r="GM33">
        <f t="shared" si="55"/>
        <v>0</v>
      </c>
      <c r="GN33">
        <f t="shared" si="56"/>
        <v>0</v>
      </c>
      <c r="GO33">
        <f t="shared" si="57"/>
        <v>0</v>
      </c>
      <c r="GP33">
        <f t="shared" si="58"/>
        <v>0</v>
      </c>
      <c r="GR33">
        <v>0</v>
      </c>
      <c r="GS33">
        <v>3</v>
      </c>
      <c r="GT33">
        <v>0</v>
      </c>
      <c r="GU33" t="s">
        <v>3</v>
      </c>
      <c r="GV33">
        <f t="shared" si="59"/>
        <v>0</v>
      </c>
      <c r="GW33">
        <v>1</v>
      </c>
      <c r="GX33">
        <f t="shared" si="60"/>
        <v>0</v>
      </c>
      <c r="HA33">
        <v>0</v>
      </c>
      <c r="HB33">
        <v>0</v>
      </c>
      <c r="HC33">
        <f t="shared" si="61"/>
        <v>0</v>
      </c>
      <c r="HE33" t="s">
        <v>3</v>
      </c>
      <c r="HF33" t="s">
        <v>3</v>
      </c>
      <c r="HM33" t="s">
        <v>3</v>
      </c>
      <c r="IK33">
        <v>0</v>
      </c>
    </row>
    <row r="34" spans="1:245">
      <c r="A34">
        <v>17</v>
      </c>
      <c r="B34">
        <v>1</v>
      </c>
      <c r="C34">
        <f>ROW(SmtRes!A9)</f>
        <v>9</v>
      </c>
      <c r="D34">
        <f>ROW(EtalonRes!A9)</f>
        <v>9</v>
      </c>
      <c r="E34" t="s">
        <v>30</v>
      </c>
      <c r="F34" t="s">
        <v>31</v>
      </c>
      <c r="G34" t="s">
        <v>32</v>
      </c>
      <c r="H34" t="s">
        <v>33</v>
      </c>
      <c r="I34">
        <f>ROUND(22/100,9)</f>
        <v>0.22</v>
      </c>
      <c r="J34">
        <v>0</v>
      </c>
      <c r="K34">
        <f>ROUND(22/100,9)</f>
        <v>0.22</v>
      </c>
      <c r="O34">
        <f t="shared" si="28"/>
        <v>2856.92</v>
      </c>
      <c r="P34">
        <f t="shared" si="29"/>
        <v>117.39</v>
      </c>
      <c r="Q34">
        <f t="shared" si="30"/>
        <v>8.83</v>
      </c>
      <c r="R34">
        <f t="shared" si="31"/>
        <v>0</v>
      </c>
      <c r="S34">
        <f t="shared" si="32"/>
        <v>2730.7</v>
      </c>
      <c r="T34">
        <f t="shared" si="33"/>
        <v>0</v>
      </c>
      <c r="U34">
        <f t="shared" si="34"/>
        <v>10.405999999999999</v>
      </c>
      <c r="V34">
        <f t="shared" si="35"/>
        <v>0</v>
      </c>
      <c r="W34">
        <f t="shared" si="36"/>
        <v>0</v>
      </c>
      <c r="X34">
        <f t="shared" si="37"/>
        <v>2075.33</v>
      </c>
      <c r="Y34">
        <f t="shared" si="37"/>
        <v>1638.42</v>
      </c>
      <c r="AA34">
        <v>35822480</v>
      </c>
      <c r="AB34">
        <f t="shared" si="38"/>
        <v>428.59</v>
      </c>
      <c r="AC34">
        <f t="shared" si="39"/>
        <v>47.39</v>
      </c>
      <c r="AD34">
        <f t="shared" si="40"/>
        <v>5.64</v>
      </c>
      <c r="AE34">
        <f t="shared" si="41"/>
        <v>0</v>
      </c>
      <c r="AF34">
        <f t="shared" si="41"/>
        <v>375.56</v>
      </c>
      <c r="AG34">
        <f t="shared" si="42"/>
        <v>0</v>
      </c>
      <c r="AH34">
        <f t="shared" si="43"/>
        <v>47.3</v>
      </c>
      <c r="AI34">
        <f t="shared" si="43"/>
        <v>0</v>
      </c>
      <c r="AJ34">
        <f t="shared" si="44"/>
        <v>0</v>
      </c>
      <c r="AK34">
        <v>428.59</v>
      </c>
      <c r="AL34">
        <v>47.39</v>
      </c>
      <c r="AM34">
        <v>5.64</v>
      </c>
      <c r="AN34">
        <v>0</v>
      </c>
      <c r="AO34">
        <v>375.56</v>
      </c>
      <c r="AP34">
        <v>0</v>
      </c>
      <c r="AQ34">
        <v>47.3</v>
      </c>
      <c r="AR34">
        <v>0</v>
      </c>
      <c r="AS34">
        <v>0</v>
      </c>
      <c r="AT34">
        <v>76</v>
      </c>
      <c r="AU34">
        <v>60</v>
      </c>
      <c r="AV34">
        <v>1</v>
      </c>
      <c r="AW34">
        <v>1</v>
      </c>
      <c r="AZ34">
        <v>1</v>
      </c>
      <c r="BA34">
        <v>33.049999999999997</v>
      </c>
      <c r="BB34">
        <v>7.12</v>
      </c>
      <c r="BC34">
        <v>11.26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34</v>
      </c>
      <c r="BM34">
        <v>59001</v>
      </c>
      <c r="BN34">
        <v>0</v>
      </c>
      <c r="BO34" t="s">
        <v>31</v>
      </c>
      <c r="BP34">
        <v>1</v>
      </c>
      <c r="BQ34">
        <v>6</v>
      </c>
      <c r="BR34">
        <v>0</v>
      </c>
      <c r="BS34">
        <v>33.049999999999997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76</v>
      </c>
      <c r="CA34">
        <v>60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5"/>
        <v>2856.9199999999996</v>
      </c>
      <c r="CQ34">
        <f t="shared" si="46"/>
        <v>533.6114</v>
      </c>
      <c r="CR34">
        <f t="shared" si="47"/>
        <v>40.156799999999997</v>
      </c>
      <c r="CS34">
        <f t="shared" si="48"/>
        <v>0</v>
      </c>
      <c r="CT34">
        <f t="shared" si="49"/>
        <v>12412.258</v>
      </c>
      <c r="CU34">
        <f t="shared" si="50"/>
        <v>0</v>
      </c>
      <c r="CV34">
        <f t="shared" si="50"/>
        <v>47.3</v>
      </c>
      <c r="CW34">
        <f t="shared" si="50"/>
        <v>0</v>
      </c>
      <c r="CX34">
        <f t="shared" si="50"/>
        <v>0</v>
      </c>
      <c r="CY34">
        <f t="shared" si="51"/>
        <v>2075.3319999999999</v>
      </c>
      <c r="CZ34">
        <f t="shared" si="52"/>
        <v>1638.42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33</v>
      </c>
      <c r="DW34" t="s">
        <v>33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36260507</v>
      </c>
      <c r="EF34">
        <v>6</v>
      </c>
      <c r="EG34" t="s">
        <v>22</v>
      </c>
      <c r="EH34">
        <v>0</v>
      </c>
      <c r="EI34" t="s">
        <v>3</v>
      </c>
      <c r="EJ34">
        <v>1</v>
      </c>
      <c r="EK34">
        <v>59001</v>
      </c>
      <c r="EL34" t="s">
        <v>35</v>
      </c>
      <c r="EM34" t="s">
        <v>36</v>
      </c>
      <c r="EO34" t="s">
        <v>3</v>
      </c>
      <c r="EQ34">
        <v>0</v>
      </c>
      <c r="ER34">
        <v>428.59</v>
      </c>
      <c r="ES34">
        <v>47.39</v>
      </c>
      <c r="ET34">
        <v>5.64</v>
      </c>
      <c r="EU34">
        <v>0</v>
      </c>
      <c r="EV34">
        <v>375.56</v>
      </c>
      <c r="EW34">
        <v>47.3</v>
      </c>
      <c r="EX34">
        <v>0</v>
      </c>
      <c r="EY34">
        <v>0</v>
      </c>
      <c r="FQ34">
        <v>0</v>
      </c>
      <c r="FR34">
        <f t="shared" si="53"/>
        <v>0</v>
      </c>
      <c r="FS34">
        <v>0</v>
      </c>
      <c r="FX34">
        <v>76</v>
      </c>
      <c r="FY34">
        <v>60</v>
      </c>
      <c r="GA34" t="s">
        <v>3</v>
      </c>
      <c r="GD34">
        <v>1</v>
      </c>
      <c r="GF34">
        <v>-1831528682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54"/>
        <v>0</v>
      </c>
      <c r="GM34">
        <f t="shared" si="55"/>
        <v>6570.67</v>
      </c>
      <c r="GN34">
        <f t="shared" si="56"/>
        <v>6570.67</v>
      </c>
      <c r="GO34">
        <f t="shared" si="57"/>
        <v>0</v>
      </c>
      <c r="GP34">
        <f t="shared" si="58"/>
        <v>0</v>
      </c>
      <c r="GR34">
        <v>0</v>
      </c>
      <c r="GS34">
        <v>3</v>
      </c>
      <c r="GT34">
        <v>0</v>
      </c>
      <c r="GU34" t="s">
        <v>3</v>
      </c>
      <c r="GV34">
        <f t="shared" si="59"/>
        <v>0</v>
      </c>
      <c r="GW34">
        <v>1</v>
      </c>
      <c r="GX34">
        <f t="shared" si="60"/>
        <v>0</v>
      </c>
      <c r="HA34">
        <v>0</v>
      </c>
      <c r="HB34">
        <v>0</v>
      </c>
      <c r="HC34">
        <f t="shared" si="61"/>
        <v>0</v>
      </c>
      <c r="HE34" t="s">
        <v>3</v>
      </c>
      <c r="HF34" t="s">
        <v>3</v>
      </c>
      <c r="HM34" t="s">
        <v>3</v>
      </c>
      <c r="IK34">
        <v>0</v>
      </c>
    </row>
    <row r="35" spans="1:245">
      <c r="A35">
        <v>18</v>
      </c>
      <c r="B35">
        <v>1</v>
      </c>
      <c r="C35">
        <v>9</v>
      </c>
      <c r="E35" t="s">
        <v>37</v>
      </c>
      <c r="F35" t="s">
        <v>26</v>
      </c>
      <c r="G35" t="s">
        <v>27</v>
      </c>
      <c r="H35" t="s">
        <v>28</v>
      </c>
      <c r="I35">
        <f>I34*J35</f>
        <v>0.55000000000000004</v>
      </c>
      <c r="J35">
        <v>2.5</v>
      </c>
      <c r="K35">
        <v>2.5</v>
      </c>
      <c r="O35">
        <f t="shared" si="28"/>
        <v>0</v>
      </c>
      <c r="P35">
        <f t="shared" si="29"/>
        <v>0</v>
      </c>
      <c r="Q35">
        <f t="shared" si="30"/>
        <v>0</v>
      </c>
      <c r="R35">
        <f t="shared" si="31"/>
        <v>0</v>
      </c>
      <c r="S35">
        <f t="shared" si="32"/>
        <v>0</v>
      </c>
      <c r="T35">
        <f t="shared" si="33"/>
        <v>0</v>
      </c>
      <c r="U35">
        <f t="shared" si="34"/>
        <v>0</v>
      </c>
      <c r="V35">
        <f t="shared" si="35"/>
        <v>0</v>
      </c>
      <c r="W35">
        <f t="shared" si="36"/>
        <v>0</v>
      </c>
      <c r="X35">
        <f t="shared" si="37"/>
        <v>0</v>
      </c>
      <c r="Y35">
        <f t="shared" si="37"/>
        <v>0</v>
      </c>
      <c r="AA35">
        <v>35822480</v>
      </c>
      <c r="AB35">
        <f t="shared" si="38"/>
        <v>0</v>
      </c>
      <c r="AC35">
        <f t="shared" si="39"/>
        <v>0</v>
      </c>
      <c r="AD35">
        <f t="shared" si="40"/>
        <v>0</v>
      </c>
      <c r="AE35">
        <f t="shared" si="41"/>
        <v>0</v>
      </c>
      <c r="AF35">
        <f t="shared" si="41"/>
        <v>0</v>
      </c>
      <c r="AG35">
        <f t="shared" si="42"/>
        <v>0</v>
      </c>
      <c r="AH35">
        <f t="shared" si="43"/>
        <v>0</v>
      </c>
      <c r="AI35">
        <f t="shared" si="43"/>
        <v>0</v>
      </c>
      <c r="AJ35">
        <f t="shared" si="44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76</v>
      </c>
      <c r="AU35">
        <v>60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29</v>
      </c>
      <c r="BM35">
        <v>59001</v>
      </c>
      <c r="BN35">
        <v>0</v>
      </c>
      <c r="BO35" t="s">
        <v>3</v>
      </c>
      <c r="BP35">
        <v>0</v>
      </c>
      <c r="BQ35">
        <v>6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76</v>
      </c>
      <c r="CA35">
        <v>60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5"/>
        <v>0</v>
      </c>
      <c r="CQ35">
        <f t="shared" si="46"/>
        <v>0</v>
      </c>
      <c r="CR35">
        <f t="shared" si="47"/>
        <v>0</v>
      </c>
      <c r="CS35">
        <f t="shared" si="48"/>
        <v>0</v>
      </c>
      <c r="CT35">
        <f t="shared" si="49"/>
        <v>0</v>
      </c>
      <c r="CU35">
        <f t="shared" si="50"/>
        <v>0</v>
      </c>
      <c r="CV35">
        <f t="shared" si="50"/>
        <v>0</v>
      </c>
      <c r="CW35">
        <f t="shared" si="50"/>
        <v>0</v>
      </c>
      <c r="CX35">
        <f t="shared" si="50"/>
        <v>0</v>
      </c>
      <c r="CY35">
        <f t="shared" si="51"/>
        <v>0</v>
      </c>
      <c r="CZ35">
        <f t="shared" si="52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28</v>
      </c>
      <c r="DW35" t="s">
        <v>28</v>
      </c>
      <c r="DX35">
        <v>1000</v>
      </c>
      <c r="DZ35" t="s">
        <v>3</v>
      </c>
      <c r="EA35" t="s">
        <v>3</v>
      </c>
      <c r="EB35" t="s">
        <v>3</v>
      </c>
      <c r="EC35" t="s">
        <v>3</v>
      </c>
      <c r="EE35">
        <v>36260507</v>
      </c>
      <c r="EF35">
        <v>6</v>
      </c>
      <c r="EG35" t="s">
        <v>22</v>
      </c>
      <c r="EH35">
        <v>0</v>
      </c>
      <c r="EI35" t="s">
        <v>3</v>
      </c>
      <c r="EJ35">
        <v>1</v>
      </c>
      <c r="EK35">
        <v>59001</v>
      </c>
      <c r="EL35" t="s">
        <v>35</v>
      </c>
      <c r="EM35" t="s">
        <v>36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53"/>
        <v>0</v>
      </c>
      <c r="FS35">
        <v>0</v>
      </c>
      <c r="FX35">
        <v>76</v>
      </c>
      <c r="FY35">
        <v>60</v>
      </c>
      <c r="GA35" t="s">
        <v>3</v>
      </c>
      <c r="GD35">
        <v>1</v>
      </c>
      <c r="GF35">
        <v>-304821490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54"/>
        <v>0</v>
      </c>
      <c r="GM35">
        <f t="shared" si="55"/>
        <v>0</v>
      </c>
      <c r="GN35">
        <f t="shared" si="56"/>
        <v>0</v>
      </c>
      <c r="GO35">
        <f t="shared" si="57"/>
        <v>0</v>
      </c>
      <c r="GP35">
        <f t="shared" si="58"/>
        <v>0</v>
      </c>
      <c r="GR35">
        <v>0</v>
      </c>
      <c r="GS35">
        <v>3</v>
      </c>
      <c r="GT35">
        <v>0</v>
      </c>
      <c r="GU35" t="s">
        <v>3</v>
      </c>
      <c r="GV35">
        <f t="shared" si="59"/>
        <v>0</v>
      </c>
      <c r="GW35">
        <v>1</v>
      </c>
      <c r="GX35">
        <f t="shared" si="60"/>
        <v>0</v>
      </c>
      <c r="HA35">
        <v>0</v>
      </c>
      <c r="HB35">
        <v>0</v>
      </c>
      <c r="HC35">
        <f t="shared" si="61"/>
        <v>0</v>
      </c>
      <c r="HE35" t="s">
        <v>3</v>
      </c>
      <c r="HF35" t="s">
        <v>3</v>
      </c>
      <c r="HM35" t="s">
        <v>3</v>
      </c>
      <c r="IK35">
        <v>0</v>
      </c>
    </row>
    <row r="36" spans="1:245">
      <c r="A36">
        <v>17</v>
      </c>
      <c r="B36">
        <v>1</v>
      </c>
      <c r="C36">
        <f>ROW(SmtRes!A12)</f>
        <v>12</v>
      </c>
      <c r="D36">
        <f>ROW(EtalonRes!A12)</f>
        <v>12</v>
      </c>
      <c r="E36" t="s">
        <v>38</v>
      </c>
      <c r="F36" t="s">
        <v>39</v>
      </c>
      <c r="G36" t="s">
        <v>40</v>
      </c>
      <c r="H36" t="s">
        <v>41</v>
      </c>
      <c r="I36">
        <f>ROUND(2/100,9)</f>
        <v>0.02</v>
      </c>
      <c r="J36">
        <v>0</v>
      </c>
      <c r="K36">
        <f>ROUND(2/100,9)</f>
        <v>0.02</v>
      </c>
      <c r="O36">
        <f t="shared" si="28"/>
        <v>95.59</v>
      </c>
      <c r="P36">
        <f t="shared" si="29"/>
        <v>0</v>
      </c>
      <c r="Q36">
        <f t="shared" si="30"/>
        <v>0.75</v>
      </c>
      <c r="R36">
        <f t="shared" si="31"/>
        <v>0.71</v>
      </c>
      <c r="S36">
        <f t="shared" si="32"/>
        <v>94.84</v>
      </c>
      <c r="T36">
        <f t="shared" si="33"/>
        <v>0</v>
      </c>
      <c r="U36">
        <f t="shared" si="34"/>
        <v>0.35780000000000001</v>
      </c>
      <c r="V36">
        <f t="shared" si="35"/>
        <v>1.6000000000000001E-3</v>
      </c>
      <c r="W36">
        <f t="shared" si="36"/>
        <v>0</v>
      </c>
      <c r="X36">
        <f t="shared" si="37"/>
        <v>81.22</v>
      </c>
      <c r="Y36">
        <f t="shared" si="37"/>
        <v>62.11</v>
      </c>
      <c r="AA36">
        <v>35822480</v>
      </c>
      <c r="AB36">
        <f t="shared" si="38"/>
        <v>145.97999999999999</v>
      </c>
      <c r="AC36">
        <f t="shared" si="39"/>
        <v>0</v>
      </c>
      <c r="AD36">
        <f t="shared" si="40"/>
        <v>2.5</v>
      </c>
      <c r="AE36">
        <f t="shared" si="41"/>
        <v>1.08</v>
      </c>
      <c r="AF36">
        <f t="shared" si="41"/>
        <v>143.47999999999999</v>
      </c>
      <c r="AG36">
        <f t="shared" si="42"/>
        <v>0</v>
      </c>
      <c r="AH36">
        <f t="shared" si="43"/>
        <v>17.89</v>
      </c>
      <c r="AI36">
        <f t="shared" si="43"/>
        <v>0.08</v>
      </c>
      <c r="AJ36">
        <f t="shared" si="44"/>
        <v>0</v>
      </c>
      <c r="AK36">
        <v>145.97999999999999</v>
      </c>
      <c r="AL36">
        <v>0</v>
      </c>
      <c r="AM36">
        <v>2.5</v>
      </c>
      <c r="AN36">
        <v>1.08</v>
      </c>
      <c r="AO36">
        <v>143.47999999999999</v>
      </c>
      <c r="AP36">
        <v>0</v>
      </c>
      <c r="AQ36">
        <v>17.89</v>
      </c>
      <c r="AR36">
        <v>0.08</v>
      </c>
      <c r="AS36">
        <v>0</v>
      </c>
      <c r="AT36">
        <v>85</v>
      </c>
      <c r="AU36">
        <v>65</v>
      </c>
      <c r="AV36">
        <v>1</v>
      </c>
      <c r="AW36">
        <v>1</v>
      </c>
      <c r="AZ36">
        <v>1</v>
      </c>
      <c r="BA36">
        <v>33.049999999999997</v>
      </c>
      <c r="BB36">
        <v>14.94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42</v>
      </c>
      <c r="BM36">
        <v>67001</v>
      </c>
      <c r="BN36">
        <v>0</v>
      </c>
      <c r="BO36" t="s">
        <v>39</v>
      </c>
      <c r="BP36">
        <v>1</v>
      </c>
      <c r="BQ36">
        <v>6</v>
      </c>
      <c r="BR36">
        <v>0</v>
      </c>
      <c r="BS36">
        <v>33.049999999999997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85</v>
      </c>
      <c r="CA36">
        <v>65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5"/>
        <v>95.59</v>
      </c>
      <c r="CQ36">
        <f t="shared" si="46"/>
        <v>0</v>
      </c>
      <c r="CR36">
        <f t="shared" si="47"/>
        <v>37.35</v>
      </c>
      <c r="CS36">
        <f t="shared" si="48"/>
        <v>35.694000000000003</v>
      </c>
      <c r="CT36">
        <f t="shared" si="49"/>
        <v>4742.0139999999992</v>
      </c>
      <c r="CU36">
        <f t="shared" si="50"/>
        <v>0</v>
      </c>
      <c r="CV36">
        <f t="shared" si="50"/>
        <v>17.89</v>
      </c>
      <c r="CW36">
        <f t="shared" si="50"/>
        <v>0.08</v>
      </c>
      <c r="CX36">
        <f t="shared" si="50"/>
        <v>0</v>
      </c>
      <c r="CY36">
        <f t="shared" si="51"/>
        <v>81.217500000000001</v>
      </c>
      <c r="CZ36">
        <f t="shared" si="52"/>
        <v>62.107500000000002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1010</v>
      </c>
      <c r="DV36" t="s">
        <v>41</v>
      </c>
      <c r="DW36" t="s">
        <v>41</v>
      </c>
      <c r="DX36">
        <v>100</v>
      </c>
      <c r="DZ36" t="s">
        <v>3</v>
      </c>
      <c r="EA36" t="s">
        <v>3</v>
      </c>
      <c r="EB36" t="s">
        <v>3</v>
      </c>
      <c r="EC36" t="s">
        <v>3</v>
      </c>
      <c r="EE36">
        <v>36260551</v>
      </c>
      <c r="EF36">
        <v>6</v>
      </c>
      <c r="EG36" t="s">
        <v>22</v>
      </c>
      <c r="EH36">
        <v>0</v>
      </c>
      <c r="EI36" t="s">
        <v>3</v>
      </c>
      <c r="EJ36">
        <v>1</v>
      </c>
      <c r="EK36">
        <v>67001</v>
      </c>
      <c r="EL36" t="s">
        <v>43</v>
      </c>
      <c r="EM36" t="s">
        <v>44</v>
      </c>
      <c r="EO36" t="s">
        <v>3</v>
      </c>
      <c r="EQ36">
        <v>0</v>
      </c>
      <c r="ER36">
        <v>145.97999999999999</v>
      </c>
      <c r="ES36">
        <v>0</v>
      </c>
      <c r="ET36">
        <v>2.5</v>
      </c>
      <c r="EU36">
        <v>1.08</v>
      </c>
      <c r="EV36">
        <v>143.47999999999999</v>
      </c>
      <c r="EW36">
        <v>17.89</v>
      </c>
      <c r="EX36">
        <v>0.08</v>
      </c>
      <c r="EY36">
        <v>0</v>
      </c>
      <c r="FQ36">
        <v>0</v>
      </c>
      <c r="FR36">
        <f t="shared" si="53"/>
        <v>0</v>
      </c>
      <c r="FS36">
        <v>0</v>
      </c>
      <c r="FX36">
        <v>85</v>
      </c>
      <c r="FY36">
        <v>65</v>
      </c>
      <c r="GA36" t="s">
        <v>3</v>
      </c>
      <c r="GD36">
        <v>1</v>
      </c>
      <c r="GF36">
        <v>1945260508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54"/>
        <v>0</v>
      </c>
      <c r="GM36">
        <f t="shared" si="55"/>
        <v>238.92</v>
      </c>
      <c r="GN36">
        <f t="shared" si="56"/>
        <v>238.92</v>
      </c>
      <c r="GO36">
        <f t="shared" si="57"/>
        <v>0</v>
      </c>
      <c r="GP36">
        <f t="shared" si="58"/>
        <v>0</v>
      </c>
      <c r="GR36">
        <v>0</v>
      </c>
      <c r="GS36">
        <v>3</v>
      </c>
      <c r="GT36">
        <v>0</v>
      </c>
      <c r="GU36" t="s">
        <v>3</v>
      </c>
      <c r="GV36">
        <f t="shared" si="59"/>
        <v>0</v>
      </c>
      <c r="GW36">
        <v>1</v>
      </c>
      <c r="GX36">
        <f t="shared" si="60"/>
        <v>0</v>
      </c>
      <c r="HA36">
        <v>0</v>
      </c>
      <c r="HB36">
        <v>0</v>
      </c>
      <c r="HC36">
        <f t="shared" si="61"/>
        <v>0</v>
      </c>
      <c r="HE36" t="s">
        <v>3</v>
      </c>
      <c r="HF36" t="s">
        <v>3</v>
      </c>
      <c r="HM36" t="s">
        <v>3</v>
      </c>
      <c r="IK36">
        <v>0</v>
      </c>
    </row>
    <row r="37" spans="1:245">
      <c r="A37">
        <v>17</v>
      </c>
      <c r="B37">
        <v>1</v>
      </c>
      <c r="C37">
        <f>ROW(SmtRes!A13)</f>
        <v>13</v>
      </c>
      <c r="D37">
        <f>ROW(EtalonRes!A13)</f>
        <v>13</v>
      </c>
      <c r="E37" t="s">
        <v>45</v>
      </c>
      <c r="F37" t="s">
        <v>46</v>
      </c>
      <c r="G37" t="s">
        <v>47</v>
      </c>
      <c r="H37" t="s">
        <v>41</v>
      </c>
      <c r="I37">
        <f>ROUND(2/100,9)</f>
        <v>0.02</v>
      </c>
      <c r="J37">
        <v>0</v>
      </c>
      <c r="K37">
        <f>ROUND(2/100,9)</f>
        <v>0.02</v>
      </c>
      <c r="O37">
        <f t="shared" si="28"/>
        <v>30.11</v>
      </c>
      <c r="P37">
        <f t="shared" si="29"/>
        <v>0</v>
      </c>
      <c r="Q37">
        <f t="shared" si="30"/>
        <v>0</v>
      </c>
      <c r="R37">
        <f t="shared" si="31"/>
        <v>0</v>
      </c>
      <c r="S37">
        <f t="shared" si="32"/>
        <v>30.11</v>
      </c>
      <c r="T37">
        <f t="shared" si="33"/>
        <v>0</v>
      </c>
      <c r="U37">
        <f t="shared" si="34"/>
        <v>0.1168</v>
      </c>
      <c r="V37">
        <f t="shared" si="35"/>
        <v>0</v>
      </c>
      <c r="W37">
        <f t="shared" si="36"/>
        <v>0</v>
      </c>
      <c r="X37">
        <f t="shared" si="37"/>
        <v>25.59</v>
      </c>
      <c r="Y37">
        <f t="shared" si="37"/>
        <v>19.57</v>
      </c>
      <c r="AA37">
        <v>35822480</v>
      </c>
      <c r="AB37">
        <f t="shared" si="38"/>
        <v>45.55</v>
      </c>
      <c r="AC37">
        <f t="shared" si="39"/>
        <v>0</v>
      </c>
      <c r="AD37">
        <f t="shared" si="40"/>
        <v>0</v>
      </c>
      <c r="AE37">
        <f t="shared" si="41"/>
        <v>0</v>
      </c>
      <c r="AF37">
        <f t="shared" si="41"/>
        <v>45.55</v>
      </c>
      <c r="AG37">
        <f t="shared" si="42"/>
        <v>0</v>
      </c>
      <c r="AH37">
        <f t="shared" si="43"/>
        <v>5.84</v>
      </c>
      <c r="AI37">
        <f t="shared" si="43"/>
        <v>0</v>
      </c>
      <c r="AJ37">
        <f t="shared" si="44"/>
        <v>0</v>
      </c>
      <c r="AK37">
        <v>45.55</v>
      </c>
      <c r="AL37">
        <v>0</v>
      </c>
      <c r="AM37">
        <v>0</v>
      </c>
      <c r="AN37">
        <v>0</v>
      </c>
      <c r="AO37">
        <v>45.55</v>
      </c>
      <c r="AP37">
        <v>0</v>
      </c>
      <c r="AQ37">
        <v>5.84</v>
      </c>
      <c r="AR37">
        <v>0</v>
      </c>
      <c r="AS37">
        <v>0</v>
      </c>
      <c r="AT37">
        <v>85</v>
      </c>
      <c r="AU37">
        <v>65</v>
      </c>
      <c r="AV37">
        <v>1</v>
      </c>
      <c r="AW37">
        <v>1</v>
      </c>
      <c r="AZ37">
        <v>1</v>
      </c>
      <c r="BA37">
        <v>33.049999999999997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48</v>
      </c>
      <c r="BM37">
        <v>67001</v>
      </c>
      <c r="BN37">
        <v>0</v>
      </c>
      <c r="BO37" t="s">
        <v>46</v>
      </c>
      <c r="BP37">
        <v>1</v>
      </c>
      <c r="BQ37">
        <v>6</v>
      </c>
      <c r="BR37">
        <v>0</v>
      </c>
      <c r="BS37">
        <v>33.049999999999997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85</v>
      </c>
      <c r="CA37">
        <v>65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5"/>
        <v>30.11</v>
      </c>
      <c r="CQ37">
        <f t="shared" si="46"/>
        <v>0</v>
      </c>
      <c r="CR37">
        <f t="shared" si="47"/>
        <v>0</v>
      </c>
      <c r="CS37">
        <f t="shared" si="48"/>
        <v>0</v>
      </c>
      <c r="CT37">
        <f t="shared" si="49"/>
        <v>1505.4274999999998</v>
      </c>
      <c r="CU37">
        <f t="shared" si="50"/>
        <v>0</v>
      </c>
      <c r="CV37">
        <f t="shared" si="50"/>
        <v>5.84</v>
      </c>
      <c r="CW37">
        <f t="shared" si="50"/>
        <v>0</v>
      </c>
      <c r="CX37">
        <f t="shared" si="50"/>
        <v>0</v>
      </c>
      <c r="CY37">
        <f t="shared" si="51"/>
        <v>25.593499999999999</v>
      </c>
      <c r="CZ37">
        <f t="shared" si="52"/>
        <v>19.5715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41</v>
      </c>
      <c r="DW37" t="s">
        <v>41</v>
      </c>
      <c r="DX37">
        <v>100</v>
      </c>
      <c r="DZ37" t="s">
        <v>3</v>
      </c>
      <c r="EA37" t="s">
        <v>3</v>
      </c>
      <c r="EB37" t="s">
        <v>3</v>
      </c>
      <c r="EC37" t="s">
        <v>3</v>
      </c>
      <c r="EE37">
        <v>36260551</v>
      </c>
      <c r="EF37">
        <v>6</v>
      </c>
      <c r="EG37" t="s">
        <v>22</v>
      </c>
      <c r="EH37">
        <v>0</v>
      </c>
      <c r="EI37" t="s">
        <v>3</v>
      </c>
      <c r="EJ37">
        <v>1</v>
      </c>
      <c r="EK37">
        <v>67001</v>
      </c>
      <c r="EL37" t="s">
        <v>43</v>
      </c>
      <c r="EM37" t="s">
        <v>44</v>
      </c>
      <c r="EO37" t="s">
        <v>3</v>
      </c>
      <c r="EQ37">
        <v>0</v>
      </c>
      <c r="ER37">
        <v>45.55</v>
      </c>
      <c r="ES37">
        <v>0</v>
      </c>
      <c r="ET37">
        <v>0</v>
      </c>
      <c r="EU37">
        <v>0</v>
      </c>
      <c r="EV37">
        <v>45.55</v>
      </c>
      <c r="EW37">
        <v>5.84</v>
      </c>
      <c r="EX37">
        <v>0</v>
      </c>
      <c r="EY37">
        <v>0</v>
      </c>
      <c r="FQ37">
        <v>0</v>
      </c>
      <c r="FR37">
        <f t="shared" si="53"/>
        <v>0</v>
      </c>
      <c r="FS37">
        <v>0</v>
      </c>
      <c r="FX37">
        <v>85</v>
      </c>
      <c r="FY37">
        <v>65</v>
      </c>
      <c r="GA37" t="s">
        <v>3</v>
      </c>
      <c r="GD37">
        <v>1</v>
      </c>
      <c r="GF37">
        <v>-1255865036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54"/>
        <v>0</v>
      </c>
      <c r="GM37">
        <f t="shared" si="55"/>
        <v>75.27</v>
      </c>
      <c r="GN37">
        <f t="shared" si="56"/>
        <v>75.27</v>
      </c>
      <c r="GO37">
        <f t="shared" si="57"/>
        <v>0</v>
      </c>
      <c r="GP37">
        <f t="shared" si="58"/>
        <v>0</v>
      </c>
      <c r="GR37">
        <v>0</v>
      </c>
      <c r="GS37">
        <v>3</v>
      </c>
      <c r="GT37">
        <v>0</v>
      </c>
      <c r="GU37" t="s">
        <v>3</v>
      </c>
      <c r="GV37">
        <f t="shared" si="59"/>
        <v>0</v>
      </c>
      <c r="GW37">
        <v>1</v>
      </c>
      <c r="GX37">
        <f t="shared" si="60"/>
        <v>0</v>
      </c>
      <c r="HA37">
        <v>0</v>
      </c>
      <c r="HB37">
        <v>0</v>
      </c>
      <c r="HC37">
        <f t="shared" si="61"/>
        <v>0</v>
      </c>
      <c r="HE37" t="s">
        <v>3</v>
      </c>
      <c r="HF37" t="s">
        <v>3</v>
      </c>
      <c r="HM37" t="s">
        <v>3</v>
      </c>
      <c r="IK37">
        <v>0</v>
      </c>
    </row>
    <row r="39" spans="1:245">
      <c r="A39" s="2">
        <v>51</v>
      </c>
      <c r="B39" s="2">
        <f>B28</f>
        <v>1</v>
      </c>
      <c r="C39" s="2">
        <f>A28</f>
        <v>5</v>
      </c>
      <c r="D39" s="2">
        <f>ROW(A28)</f>
        <v>28</v>
      </c>
      <c r="E39" s="2"/>
      <c r="F39" s="2" t="str">
        <f>IF(F28&lt;&gt;"",F28,"")</f>
        <v>Новый подраздел</v>
      </c>
      <c r="G39" s="2" t="str">
        <f>IF(G28&lt;&gt;"",G28,"")</f>
        <v>демонтаж</v>
      </c>
      <c r="H39" s="2">
        <v>0</v>
      </c>
      <c r="I39" s="2"/>
      <c r="J39" s="2"/>
      <c r="K39" s="2"/>
      <c r="L39" s="2"/>
      <c r="M39" s="2"/>
      <c r="N39" s="2"/>
      <c r="O39" s="2">
        <f t="shared" ref="O39:T39" si="62">ROUND(AB39,2)</f>
        <v>8074.99</v>
      </c>
      <c r="P39" s="2">
        <f t="shared" si="62"/>
        <v>117.39</v>
      </c>
      <c r="Q39" s="2">
        <f t="shared" si="62"/>
        <v>177.58</v>
      </c>
      <c r="R39" s="2">
        <f t="shared" si="62"/>
        <v>161.33000000000001</v>
      </c>
      <c r="S39" s="2">
        <f t="shared" si="62"/>
        <v>7780.02</v>
      </c>
      <c r="T39" s="2">
        <f t="shared" si="62"/>
        <v>0</v>
      </c>
      <c r="U39" s="2">
        <f>AH39</f>
        <v>28.348100000000002</v>
      </c>
      <c r="V39" s="2">
        <f>AI39</f>
        <v>0.36159999999999998</v>
      </c>
      <c r="W39" s="2">
        <f>ROUND(AJ39,2)</f>
        <v>0</v>
      </c>
      <c r="X39" s="2">
        <f>ROUND(AK39,2)</f>
        <v>6250.13</v>
      </c>
      <c r="Y39" s="2">
        <f>ROUND(AL39,2)</f>
        <v>5177.8900000000003</v>
      </c>
      <c r="Z39" s="2"/>
      <c r="AA39" s="2"/>
      <c r="AB39" s="2">
        <f>ROUND(SUMIF(AA32:AA37,"=35822480",O32:O37),2)</f>
        <v>8074.99</v>
      </c>
      <c r="AC39" s="2">
        <f>ROUND(SUMIF(AA32:AA37,"=35822480",P32:P37),2)</f>
        <v>117.39</v>
      </c>
      <c r="AD39" s="2">
        <f>ROUND(SUMIF(AA32:AA37,"=35822480",Q32:Q37),2)</f>
        <v>177.58</v>
      </c>
      <c r="AE39" s="2">
        <f>ROUND(SUMIF(AA32:AA37,"=35822480",R32:R37),2)</f>
        <v>161.33000000000001</v>
      </c>
      <c r="AF39" s="2">
        <f>ROUND(SUMIF(AA32:AA37,"=35822480",S32:S37),2)</f>
        <v>7780.02</v>
      </c>
      <c r="AG39" s="2">
        <f>ROUND(SUMIF(AA32:AA37,"=35822480",T32:T37),2)</f>
        <v>0</v>
      </c>
      <c r="AH39" s="2">
        <f>SUMIF(AA32:AA37,"=35822480",U32:U37)</f>
        <v>28.348100000000002</v>
      </c>
      <c r="AI39" s="2">
        <f>SUMIF(AA32:AA37,"=35822480",V32:V37)</f>
        <v>0.36159999999999998</v>
      </c>
      <c r="AJ39" s="2">
        <f>ROUND(SUMIF(AA32:AA37,"=35822480",W32:W37),2)</f>
        <v>0</v>
      </c>
      <c r="AK39" s="2">
        <f>ROUND(SUMIF(AA32:AA37,"=35822480",X32:X37),2)</f>
        <v>6250.13</v>
      </c>
      <c r="AL39" s="2">
        <f>ROUND(SUMIF(AA32:AA37,"=35822480",Y32:Y37),2)</f>
        <v>5177.8900000000003</v>
      </c>
      <c r="AM39" s="2"/>
      <c r="AN39" s="2"/>
      <c r="AO39" s="2">
        <f t="shared" ref="AO39:BD39" si="63">ROUND(BX39,2)</f>
        <v>0</v>
      </c>
      <c r="AP39" s="2">
        <f t="shared" si="63"/>
        <v>0</v>
      </c>
      <c r="AQ39" s="2">
        <f t="shared" si="63"/>
        <v>0</v>
      </c>
      <c r="AR39" s="2">
        <f t="shared" si="63"/>
        <v>19503.009999999998</v>
      </c>
      <c r="AS39" s="2">
        <f t="shared" si="63"/>
        <v>19503.009999999998</v>
      </c>
      <c r="AT39" s="2">
        <f t="shared" si="63"/>
        <v>0</v>
      </c>
      <c r="AU39" s="2">
        <f t="shared" si="63"/>
        <v>0</v>
      </c>
      <c r="AV39" s="2">
        <f t="shared" si="63"/>
        <v>117.39</v>
      </c>
      <c r="AW39" s="2">
        <f t="shared" si="63"/>
        <v>117.39</v>
      </c>
      <c r="AX39" s="2">
        <f t="shared" si="63"/>
        <v>0</v>
      </c>
      <c r="AY39" s="2">
        <f t="shared" si="63"/>
        <v>117.39</v>
      </c>
      <c r="AZ39" s="2">
        <f t="shared" si="63"/>
        <v>0</v>
      </c>
      <c r="BA39" s="2">
        <f t="shared" si="63"/>
        <v>0</v>
      </c>
      <c r="BB39" s="2">
        <f t="shared" si="63"/>
        <v>0</v>
      </c>
      <c r="BC39" s="2">
        <f t="shared" si="63"/>
        <v>0</v>
      </c>
      <c r="BD39" s="2">
        <f t="shared" si="63"/>
        <v>0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>
        <f>ROUND(SUMIF(AA32:AA37,"=35822480",FQ32:FQ37),2)</f>
        <v>0</v>
      </c>
      <c r="BY39" s="2">
        <f>ROUND(SUMIF(AA32:AA37,"=35822480",FR32:FR37),2)</f>
        <v>0</v>
      </c>
      <c r="BZ39" s="2">
        <f>ROUND(SUMIF(AA32:AA37,"=35822480",GL32:GL37),2)</f>
        <v>0</v>
      </c>
      <c r="CA39" s="2">
        <f>ROUND(SUMIF(AA32:AA37,"=35822480",GM32:GM37),2)</f>
        <v>19503.009999999998</v>
      </c>
      <c r="CB39" s="2">
        <f>ROUND(SUMIF(AA32:AA37,"=35822480",GN32:GN37),2)</f>
        <v>19503.009999999998</v>
      </c>
      <c r="CC39" s="2">
        <f>ROUND(SUMIF(AA32:AA37,"=35822480",GO32:GO37),2)</f>
        <v>0</v>
      </c>
      <c r="CD39" s="2">
        <f>ROUND(SUMIF(AA32:AA37,"=35822480",GP32:GP37),2)</f>
        <v>0</v>
      </c>
      <c r="CE39" s="2">
        <f>AC39-BX39</f>
        <v>117.39</v>
      </c>
      <c r="CF39" s="2">
        <f>AC39-BY39</f>
        <v>117.39</v>
      </c>
      <c r="CG39" s="2">
        <f>BX39-BZ39</f>
        <v>0</v>
      </c>
      <c r="CH39" s="2">
        <f>AC39-BX39-BY39+BZ39</f>
        <v>117.39</v>
      </c>
      <c r="CI39" s="2">
        <f>BY39-BZ39</f>
        <v>0</v>
      </c>
      <c r="CJ39" s="2">
        <f>ROUND(SUMIF(AA32:AA37,"=35822480",GX32:GX37),2)</f>
        <v>0</v>
      </c>
      <c r="CK39" s="2">
        <f>ROUND(SUMIF(AA32:AA37,"=35822480",GY32:GY37),2)</f>
        <v>0</v>
      </c>
      <c r="CL39" s="2">
        <f>ROUND(SUMIF(AA32:AA37,"=35822480",GZ32:GZ37),2)</f>
        <v>0</v>
      </c>
      <c r="CM39" s="2">
        <f>ROUND(SUMIF(AA32:AA37,"=35822480",HD32:HD37),2)</f>
        <v>0</v>
      </c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>
        <v>0</v>
      </c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201</v>
      </c>
      <c r="F41" s="4">
        <f>ROUND(Source!O39,O41)</f>
        <v>8074.99</v>
      </c>
      <c r="G41" s="4" t="s">
        <v>49</v>
      </c>
      <c r="H41" s="4" t="s">
        <v>50</v>
      </c>
      <c r="I41" s="4"/>
      <c r="J41" s="4"/>
      <c r="K41" s="4">
        <v>201</v>
      </c>
      <c r="L41" s="4">
        <v>1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202</v>
      </c>
      <c r="F42" s="4">
        <f>ROUND(Source!P39,O42)</f>
        <v>117.39</v>
      </c>
      <c r="G42" s="4" t="s">
        <v>51</v>
      </c>
      <c r="H42" s="4" t="s">
        <v>52</v>
      </c>
      <c r="I42" s="4"/>
      <c r="J42" s="4"/>
      <c r="K42" s="4">
        <v>202</v>
      </c>
      <c r="L42" s="4">
        <v>2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222</v>
      </c>
      <c r="F43" s="4">
        <f>ROUND(Source!AO39,O43)</f>
        <v>0</v>
      </c>
      <c r="G43" s="4" t="s">
        <v>53</v>
      </c>
      <c r="H43" s="4" t="s">
        <v>54</v>
      </c>
      <c r="I43" s="4"/>
      <c r="J43" s="4"/>
      <c r="K43" s="4">
        <v>222</v>
      </c>
      <c r="L43" s="4">
        <v>3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225</v>
      </c>
      <c r="F44" s="4">
        <f>ROUND(Source!AV39,O44)</f>
        <v>117.39</v>
      </c>
      <c r="G44" s="4" t="s">
        <v>55</v>
      </c>
      <c r="H44" s="4" t="s">
        <v>56</v>
      </c>
      <c r="I44" s="4"/>
      <c r="J44" s="4"/>
      <c r="K44" s="4">
        <v>225</v>
      </c>
      <c r="L44" s="4">
        <v>4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226</v>
      </c>
      <c r="F45" s="4">
        <f>ROUND(Source!AW39,O45)</f>
        <v>117.39</v>
      </c>
      <c r="G45" s="4" t="s">
        <v>57</v>
      </c>
      <c r="H45" s="4" t="s">
        <v>58</v>
      </c>
      <c r="I45" s="4"/>
      <c r="J45" s="4"/>
      <c r="K45" s="4">
        <v>226</v>
      </c>
      <c r="L45" s="4">
        <v>5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227</v>
      </c>
      <c r="F46" s="4">
        <f>ROUND(Source!AX39,O46)</f>
        <v>0</v>
      </c>
      <c r="G46" s="4" t="s">
        <v>59</v>
      </c>
      <c r="H46" s="4" t="s">
        <v>60</v>
      </c>
      <c r="I46" s="4"/>
      <c r="J46" s="4"/>
      <c r="K46" s="4">
        <v>227</v>
      </c>
      <c r="L46" s="4">
        <v>6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228</v>
      </c>
      <c r="F47" s="4">
        <f>ROUND(Source!AY39,O47)</f>
        <v>117.39</v>
      </c>
      <c r="G47" s="4" t="s">
        <v>61</v>
      </c>
      <c r="H47" s="4" t="s">
        <v>62</v>
      </c>
      <c r="I47" s="4"/>
      <c r="J47" s="4"/>
      <c r="K47" s="4">
        <v>228</v>
      </c>
      <c r="L47" s="4">
        <v>7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216</v>
      </c>
      <c r="F48" s="4">
        <f>ROUND(Source!AP39,O48)</f>
        <v>0</v>
      </c>
      <c r="G48" s="4" t="s">
        <v>63</v>
      </c>
      <c r="H48" s="4" t="s">
        <v>64</v>
      </c>
      <c r="I48" s="4"/>
      <c r="J48" s="4"/>
      <c r="K48" s="4">
        <v>216</v>
      </c>
      <c r="L48" s="4">
        <v>8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223</v>
      </c>
      <c r="F49" s="4">
        <f>ROUND(Source!AQ39,O49)</f>
        <v>0</v>
      </c>
      <c r="G49" s="4" t="s">
        <v>65</v>
      </c>
      <c r="H49" s="4" t="s">
        <v>66</v>
      </c>
      <c r="I49" s="4"/>
      <c r="J49" s="4"/>
      <c r="K49" s="4">
        <v>223</v>
      </c>
      <c r="L49" s="4">
        <v>9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229</v>
      </c>
      <c r="F50" s="4">
        <f>ROUND(Source!AZ39,O50)</f>
        <v>0</v>
      </c>
      <c r="G50" s="4" t="s">
        <v>67</v>
      </c>
      <c r="H50" s="4" t="s">
        <v>68</v>
      </c>
      <c r="I50" s="4"/>
      <c r="J50" s="4"/>
      <c r="K50" s="4">
        <v>229</v>
      </c>
      <c r="L50" s="4">
        <v>10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203</v>
      </c>
      <c r="F51" s="4">
        <f>ROUND(Source!Q39,O51)</f>
        <v>177.58</v>
      </c>
      <c r="G51" s="4" t="s">
        <v>69</v>
      </c>
      <c r="H51" s="4" t="s">
        <v>70</v>
      </c>
      <c r="I51" s="4"/>
      <c r="J51" s="4"/>
      <c r="K51" s="4">
        <v>203</v>
      </c>
      <c r="L51" s="4">
        <v>11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231</v>
      </c>
      <c r="F52" s="4">
        <f>ROUND(Source!BB39,O52)</f>
        <v>0</v>
      </c>
      <c r="G52" s="4" t="s">
        <v>71</v>
      </c>
      <c r="H52" s="4" t="s">
        <v>72</v>
      </c>
      <c r="I52" s="4"/>
      <c r="J52" s="4"/>
      <c r="K52" s="4">
        <v>231</v>
      </c>
      <c r="L52" s="4">
        <v>12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204</v>
      </c>
      <c r="F53" s="4">
        <f>ROUND(Source!R39,O53)</f>
        <v>161.33000000000001</v>
      </c>
      <c r="G53" s="4" t="s">
        <v>73</v>
      </c>
      <c r="H53" s="4" t="s">
        <v>74</v>
      </c>
      <c r="I53" s="4"/>
      <c r="J53" s="4"/>
      <c r="K53" s="4">
        <v>204</v>
      </c>
      <c r="L53" s="4">
        <v>13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205</v>
      </c>
      <c r="F54" s="4">
        <f>ROUND(Source!S39,O54)</f>
        <v>7780.02</v>
      </c>
      <c r="G54" s="4" t="s">
        <v>75</v>
      </c>
      <c r="H54" s="4" t="s">
        <v>76</v>
      </c>
      <c r="I54" s="4"/>
      <c r="J54" s="4"/>
      <c r="K54" s="4">
        <v>205</v>
      </c>
      <c r="L54" s="4">
        <v>14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232</v>
      </c>
      <c r="F55" s="4">
        <f>ROUND(Source!BC39,O55)</f>
        <v>0</v>
      </c>
      <c r="G55" s="4" t="s">
        <v>77</v>
      </c>
      <c r="H55" s="4" t="s">
        <v>78</v>
      </c>
      <c r="I55" s="4"/>
      <c r="J55" s="4"/>
      <c r="K55" s="4">
        <v>232</v>
      </c>
      <c r="L55" s="4">
        <v>15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214</v>
      </c>
      <c r="F56" s="4">
        <f>ROUND(Source!AS39,O56)</f>
        <v>19503.009999999998</v>
      </c>
      <c r="G56" s="4" t="s">
        <v>79</v>
      </c>
      <c r="H56" s="4" t="s">
        <v>80</v>
      </c>
      <c r="I56" s="4"/>
      <c r="J56" s="4"/>
      <c r="K56" s="4">
        <v>214</v>
      </c>
      <c r="L56" s="4">
        <v>16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215</v>
      </c>
      <c r="F57" s="4">
        <f>ROUND(Source!AT39,O57)</f>
        <v>0</v>
      </c>
      <c r="G57" s="4" t="s">
        <v>81</v>
      </c>
      <c r="H57" s="4" t="s">
        <v>82</v>
      </c>
      <c r="I57" s="4"/>
      <c r="J57" s="4"/>
      <c r="K57" s="4">
        <v>215</v>
      </c>
      <c r="L57" s="4">
        <v>17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217</v>
      </c>
      <c r="F58" s="4">
        <f>ROUND(Source!AU39,O58)</f>
        <v>0</v>
      </c>
      <c r="G58" s="4" t="s">
        <v>83</v>
      </c>
      <c r="H58" s="4" t="s">
        <v>84</v>
      </c>
      <c r="I58" s="4"/>
      <c r="J58" s="4"/>
      <c r="K58" s="4">
        <v>217</v>
      </c>
      <c r="L58" s="4">
        <v>18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230</v>
      </c>
      <c r="F59" s="4">
        <f>ROUND(Source!BA39,O59)</f>
        <v>0</v>
      </c>
      <c r="G59" s="4" t="s">
        <v>85</v>
      </c>
      <c r="H59" s="4" t="s">
        <v>86</v>
      </c>
      <c r="I59" s="4"/>
      <c r="J59" s="4"/>
      <c r="K59" s="4">
        <v>230</v>
      </c>
      <c r="L59" s="4">
        <v>19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206</v>
      </c>
      <c r="F60" s="4">
        <f>ROUND(Source!T39,O60)</f>
        <v>0</v>
      </c>
      <c r="G60" s="4" t="s">
        <v>87</v>
      </c>
      <c r="H60" s="4" t="s">
        <v>88</v>
      </c>
      <c r="I60" s="4"/>
      <c r="J60" s="4"/>
      <c r="K60" s="4">
        <v>206</v>
      </c>
      <c r="L60" s="4">
        <v>20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207</v>
      </c>
      <c r="F61" s="4">
        <f>Source!U39</f>
        <v>28.348100000000002</v>
      </c>
      <c r="G61" s="4" t="s">
        <v>89</v>
      </c>
      <c r="H61" s="4" t="s">
        <v>90</v>
      </c>
      <c r="I61" s="4"/>
      <c r="J61" s="4"/>
      <c r="K61" s="4">
        <v>207</v>
      </c>
      <c r="L61" s="4">
        <v>21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208</v>
      </c>
      <c r="F62" s="4">
        <f>Source!V39</f>
        <v>0.36159999999999998</v>
      </c>
      <c r="G62" s="4" t="s">
        <v>91</v>
      </c>
      <c r="H62" s="4" t="s">
        <v>92</v>
      </c>
      <c r="I62" s="4"/>
      <c r="J62" s="4"/>
      <c r="K62" s="4">
        <v>208</v>
      </c>
      <c r="L62" s="4">
        <v>22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209</v>
      </c>
      <c r="F63" s="4">
        <f>ROUND(Source!W39,O63)</f>
        <v>0</v>
      </c>
      <c r="G63" s="4" t="s">
        <v>93</v>
      </c>
      <c r="H63" s="4" t="s">
        <v>94</v>
      </c>
      <c r="I63" s="4"/>
      <c r="J63" s="4"/>
      <c r="K63" s="4">
        <v>209</v>
      </c>
      <c r="L63" s="4">
        <v>23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233</v>
      </c>
      <c r="F64" s="4">
        <f>ROUND(Source!BD39,O64)</f>
        <v>0</v>
      </c>
      <c r="G64" s="4" t="s">
        <v>95</v>
      </c>
      <c r="H64" s="4" t="s">
        <v>96</v>
      </c>
      <c r="I64" s="4"/>
      <c r="J64" s="4"/>
      <c r="K64" s="4">
        <v>233</v>
      </c>
      <c r="L64" s="4">
        <v>24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210</v>
      </c>
      <c r="F65" s="4">
        <f>ROUND(Source!X39,O65)</f>
        <v>6250.13</v>
      </c>
      <c r="G65" s="4" t="s">
        <v>97</v>
      </c>
      <c r="H65" s="4" t="s">
        <v>98</v>
      </c>
      <c r="I65" s="4"/>
      <c r="J65" s="4"/>
      <c r="K65" s="4">
        <v>210</v>
      </c>
      <c r="L65" s="4">
        <v>25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211</v>
      </c>
      <c r="F66" s="4">
        <f>ROUND(Source!Y39,O66)</f>
        <v>5177.8900000000003</v>
      </c>
      <c r="G66" s="4" t="s">
        <v>99</v>
      </c>
      <c r="H66" s="4" t="s">
        <v>100</v>
      </c>
      <c r="I66" s="4"/>
      <c r="J66" s="4"/>
      <c r="K66" s="4">
        <v>211</v>
      </c>
      <c r="L66" s="4">
        <v>26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224</v>
      </c>
      <c r="F67" s="4">
        <f>ROUND(Source!AR39,O67)</f>
        <v>19503.009999999998</v>
      </c>
      <c r="G67" s="4" t="s">
        <v>101</v>
      </c>
      <c r="H67" s="4" t="s">
        <v>102</v>
      </c>
      <c r="I67" s="4"/>
      <c r="J67" s="4"/>
      <c r="K67" s="4">
        <v>224</v>
      </c>
      <c r="L67" s="4">
        <v>27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B24</f>
        <v>1</v>
      </c>
      <c r="C69" s="2">
        <f>A24</f>
        <v>4</v>
      </c>
      <c r="D69" s="2">
        <f>ROW(A24)</f>
        <v>24</v>
      </c>
      <c r="E69" s="2"/>
      <c r="F69" s="2" t="str">
        <f>IF(F24&lt;&gt;"",F24,"")</f>
        <v>Новый раздел</v>
      </c>
      <c r="G69" s="2" t="str">
        <f>IF(G24&lt;&gt;"",G24,"")</f>
        <v>Лстничная клетка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64">ROUND(O39+AB69,2)</f>
        <v>8074.99</v>
      </c>
      <c r="P69" s="2">
        <f t="shared" si="64"/>
        <v>117.39</v>
      </c>
      <c r="Q69" s="2">
        <f t="shared" si="64"/>
        <v>177.58</v>
      </c>
      <c r="R69" s="2">
        <f t="shared" si="64"/>
        <v>161.33000000000001</v>
      </c>
      <c r="S69" s="2">
        <f t="shared" si="64"/>
        <v>7780.02</v>
      </c>
      <c r="T69" s="2">
        <f t="shared" si="64"/>
        <v>0</v>
      </c>
      <c r="U69" s="2">
        <f>U39+AH69</f>
        <v>28.348100000000002</v>
      </c>
      <c r="V69" s="2">
        <f>V39+AI69</f>
        <v>0.36159999999999998</v>
      </c>
      <c r="W69" s="2">
        <f>ROUND(W39+AJ69,2)</f>
        <v>0</v>
      </c>
      <c r="X69" s="2">
        <f>ROUND(X39+AK69,2)</f>
        <v>6250.13</v>
      </c>
      <c r="Y69" s="2">
        <f>ROUND(Y39+AL69,2)</f>
        <v>5177.8900000000003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D69" si="65">ROUND(AO39+BX69,2)</f>
        <v>0</v>
      </c>
      <c r="AP69" s="2">
        <f t="shared" si="65"/>
        <v>0</v>
      </c>
      <c r="AQ69" s="2">
        <f t="shared" si="65"/>
        <v>0</v>
      </c>
      <c r="AR69" s="2">
        <f t="shared" si="65"/>
        <v>19503.009999999998</v>
      </c>
      <c r="AS69" s="2">
        <f t="shared" si="65"/>
        <v>19503.009999999998</v>
      </c>
      <c r="AT69" s="2">
        <f t="shared" si="65"/>
        <v>0</v>
      </c>
      <c r="AU69" s="2">
        <f t="shared" si="65"/>
        <v>0</v>
      </c>
      <c r="AV69" s="2">
        <f t="shared" si="65"/>
        <v>117.39</v>
      </c>
      <c r="AW69" s="2">
        <f t="shared" si="65"/>
        <v>117.39</v>
      </c>
      <c r="AX69" s="2">
        <f t="shared" si="65"/>
        <v>0</v>
      </c>
      <c r="AY69" s="2">
        <f t="shared" si="65"/>
        <v>117.39</v>
      </c>
      <c r="AZ69" s="2">
        <f t="shared" si="65"/>
        <v>0</v>
      </c>
      <c r="BA69" s="2">
        <f t="shared" si="65"/>
        <v>0</v>
      </c>
      <c r="BB69" s="2">
        <f t="shared" si="65"/>
        <v>0</v>
      </c>
      <c r="BC69" s="2">
        <f t="shared" si="65"/>
        <v>0</v>
      </c>
      <c r="BD69" s="2">
        <f t="shared" si="65"/>
        <v>0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201</v>
      </c>
      <c r="F71" s="4">
        <f>ROUND(Source!O69,O71)</f>
        <v>8074.99</v>
      </c>
      <c r="G71" s="4" t="s">
        <v>49</v>
      </c>
      <c r="H71" s="4" t="s">
        <v>50</v>
      </c>
      <c r="I71" s="4"/>
      <c r="J71" s="4"/>
      <c r="K71" s="4">
        <v>201</v>
      </c>
      <c r="L71" s="4">
        <v>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202</v>
      </c>
      <c r="F72" s="4">
        <f>ROUND(Source!P69,O72)</f>
        <v>117.39</v>
      </c>
      <c r="G72" s="4" t="s">
        <v>51</v>
      </c>
      <c r="H72" s="4" t="s">
        <v>52</v>
      </c>
      <c r="I72" s="4"/>
      <c r="J72" s="4"/>
      <c r="K72" s="4">
        <v>202</v>
      </c>
      <c r="L72" s="4">
        <v>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53</v>
      </c>
      <c r="H73" s="4" t="s">
        <v>54</v>
      </c>
      <c r="I73" s="4"/>
      <c r="J73" s="4"/>
      <c r="K73" s="4">
        <v>222</v>
      </c>
      <c r="L73" s="4">
        <v>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117.39</v>
      </c>
      <c r="G74" s="4" t="s">
        <v>55</v>
      </c>
      <c r="H74" s="4" t="s">
        <v>56</v>
      </c>
      <c r="I74" s="4"/>
      <c r="J74" s="4"/>
      <c r="K74" s="4">
        <v>225</v>
      </c>
      <c r="L74" s="4">
        <v>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226</v>
      </c>
      <c r="F75" s="4">
        <f>ROUND(Source!AW69,O75)</f>
        <v>117.39</v>
      </c>
      <c r="G75" s="4" t="s">
        <v>57</v>
      </c>
      <c r="H75" s="4" t="s">
        <v>58</v>
      </c>
      <c r="I75" s="4"/>
      <c r="J75" s="4"/>
      <c r="K75" s="4">
        <v>226</v>
      </c>
      <c r="L75" s="4">
        <v>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59</v>
      </c>
      <c r="H76" s="4" t="s">
        <v>60</v>
      </c>
      <c r="I76" s="4"/>
      <c r="J76" s="4"/>
      <c r="K76" s="4">
        <v>227</v>
      </c>
      <c r="L76" s="4">
        <v>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117.39</v>
      </c>
      <c r="G77" s="4" t="s">
        <v>61</v>
      </c>
      <c r="H77" s="4" t="s">
        <v>62</v>
      </c>
      <c r="I77" s="4"/>
      <c r="J77" s="4"/>
      <c r="K77" s="4">
        <v>228</v>
      </c>
      <c r="L77" s="4">
        <v>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216</v>
      </c>
      <c r="F78" s="4">
        <f>ROUND(Source!AP69,O78)</f>
        <v>0</v>
      </c>
      <c r="G78" s="4" t="s">
        <v>63</v>
      </c>
      <c r="H78" s="4" t="s">
        <v>64</v>
      </c>
      <c r="I78" s="4"/>
      <c r="J78" s="4"/>
      <c r="K78" s="4">
        <v>216</v>
      </c>
      <c r="L78" s="4">
        <v>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65</v>
      </c>
      <c r="H79" s="4" t="s">
        <v>66</v>
      </c>
      <c r="I79" s="4"/>
      <c r="J79" s="4"/>
      <c r="K79" s="4">
        <v>223</v>
      </c>
      <c r="L79" s="4">
        <v>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0</v>
      </c>
      <c r="G80" s="4" t="s">
        <v>67</v>
      </c>
      <c r="H80" s="4" t="s">
        <v>68</v>
      </c>
      <c r="I80" s="4"/>
      <c r="J80" s="4"/>
      <c r="K80" s="4">
        <v>229</v>
      </c>
      <c r="L80" s="4">
        <v>10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203</v>
      </c>
      <c r="F81" s="4">
        <f>ROUND(Source!Q69,O81)</f>
        <v>177.58</v>
      </c>
      <c r="G81" s="4" t="s">
        <v>69</v>
      </c>
      <c r="H81" s="4" t="s">
        <v>70</v>
      </c>
      <c r="I81" s="4"/>
      <c r="J81" s="4"/>
      <c r="K81" s="4">
        <v>203</v>
      </c>
      <c r="L81" s="4">
        <v>11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71</v>
      </c>
      <c r="H82" s="4" t="s">
        <v>72</v>
      </c>
      <c r="I82" s="4"/>
      <c r="J82" s="4"/>
      <c r="K82" s="4">
        <v>231</v>
      </c>
      <c r="L82" s="4">
        <v>12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204</v>
      </c>
      <c r="F83" s="4">
        <f>ROUND(Source!R69,O83)</f>
        <v>161.33000000000001</v>
      </c>
      <c r="G83" s="4" t="s">
        <v>73</v>
      </c>
      <c r="H83" s="4" t="s">
        <v>74</v>
      </c>
      <c r="I83" s="4"/>
      <c r="J83" s="4"/>
      <c r="K83" s="4">
        <v>204</v>
      </c>
      <c r="L83" s="4">
        <v>13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205</v>
      </c>
      <c r="F84" s="4">
        <f>ROUND(Source!S69,O84)</f>
        <v>7780.02</v>
      </c>
      <c r="G84" s="4" t="s">
        <v>75</v>
      </c>
      <c r="H84" s="4" t="s">
        <v>76</v>
      </c>
      <c r="I84" s="4"/>
      <c r="J84" s="4"/>
      <c r="K84" s="4">
        <v>205</v>
      </c>
      <c r="L84" s="4">
        <v>14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77</v>
      </c>
      <c r="H85" s="4" t="s">
        <v>78</v>
      </c>
      <c r="I85" s="4"/>
      <c r="J85" s="4"/>
      <c r="K85" s="4">
        <v>232</v>
      </c>
      <c r="L85" s="4">
        <v>15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214</v>
      </c>
      <c r="F86" s="4">
        <f>ROUND(Source!AS69,O86)</f>
        <v>19503.009999999998</v>
      </c>
      <c r="G86" s="4" t="s">
        <v>79</v>
      </c>
      <c r="H86" s="4" t="s">
        <v>80</v>
      </c>
      <c r="I86" s="4"/>
      <c r="J86" s="4"/>
      <c r="K86" s="4">
        <v>214</v>
      </c>
      <c r="L86" s="4">
        <v>16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215</v>
      </c>
      <c r="F87" s="4">
        <f>ROUND(Source!AT69,O87)</f>
        <v>0</v>
      </c>
      <c r="G87" s="4" t="s">
        <v>81</v>
      </c>
      <c r="H87" s="4" t="s">
        <v>82</v>
      </c>
      <c r="I87" s="4"/>
      <c r="J87" s="4"/>
      <c r="K87" s="4">
        <v>215</v>
      </c>
      <c r="L87" s="4">
        <v>17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217</v>
      </c>
      <c r="F88" s="4">
        <f>ROUND(Source!AU69,O88)</f>
        <v>0</v>
      </c>
      <c r="G88" s="4" t="s">
        <v>83</v>
      </c>
      <c r="H88" s="4" t="s">
        <v>84</v>
      </c>
      <c r="I88" s="4"/>
      <c r="J88" s="4"/>
      <c r="K88" s="4">
        <v>217</v>
      </c>
      <c r="L88" s="4">
        <v>18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85</v>
      </c>
      <c r="H89" s="4" t="s">
        <v>86</v>
      </c>
      <c r="I89" s="4"/>
      <c r="J89" s="4"/>
      <c r="K89" s="4">
        <v>230</v>
      </c>
      <c r="L89" s="4">
        <v>19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87</v>
      </c>
      <c r="H90" s="4" t="s">
        <v>88</v>
      </c>
      <c r="I90" s="4"/>
      <c r="J90" s="4"/>
      <c r="K90" s="4">
        <v>206</v>
      </c>
      <c r="L90" s="4">
        <v>20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207</v>
      </c>
      <c r="F91" s="4">
        <f>Source!U69</f>
        <v>28.348100000000002</v>
      </c>
      <c r="G91" s="4" t="s">
        <v>89</v>
      </c>
      <c r="H91" s="4" t="s">
        <v>90</v>
      </c>
      <c r="I91" s="4"/>
      <c r="J91" s="4"/>
      <c r="K91" s="4">
        <v>207</v>
      </c>
      <c r="L91" s="4">
        <v>21</v>
      </c>
      <c r="M91" s="4">
        <v>3</v>
      </c>
      <c r="N91" s="4" t="s">
        <v>3</v>
      </c>
      <c r="O91" s="4">
        <v>-1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208</v>
      </c>
      <c r="F92" s="4">
        <f>Source!V69</f>
        <v>0.36159999999999998</v>
      </c>
      <c r="G92" s="4" t="s">
        <v>91</v>
      </c>
      <c r="H92" s="4" t="s">
        <v>92</v>
      </c>
      <c r="I92" s="4"/>
      <c r="J92" s="4"/>
      <c r="K92" s="4">
        <v>208</v>
      </c>
      <c r="L92" s="4">
        <v>22</v>
      </c>
      <c r="M92" s="4">
        <v>3</v>
      </c>
      <c r="N92" s="4" t="s">
        <v>3</v>
      </c>
      <c r="O92" s="4">
        <v>-1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0</v>
      </c>
      <c r="G93" s="4" t="s">
        <v>93</v>
      </c>
      <c r="H93" s="4" t="s">
        <v>94</v>
      </c>
      <c r="I93" s="4"/>
      <c r="J93" s="4"/>
      <c r="K93" s="4">
        <v>209</v>
      </c>
      <c r="L93" s="4">
        <v>23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233</v>
      </c>
      <c r="F94" s="4">
        <f>ROUND(Source!BD69,O94)</f>
        <v>0</v>
      </c>
      <c r="G94" s="4" t="s">
        <v>95</v>
      </c>
      <c r="H94" s="4" t="s">
        <v>96</v>
      </c>
      <c r="I94" s="4"/>
      <c r="J94" s="4"/>
      <c r="K94" s="4">
        <v>233</v>
      </c>
      <c r="L94" s="4">
        <v>24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210</v>
      </c>
      <c r="F95" s="4">
        <f>ROUND(Source!X69,O95)</f>
        <v>6250.13</v>
      </c>
      <c r="G95" s="4" t="s">
        <v>97</v>
      </c>
      <c r="H95" s="4" t="s">
        <v>98</v>
      </c>
      <c r="I95" s="4"/>
      <c r="J95" s="4"/>
      <c r="K95" s="4">
        <v>210</v>
      </c>
      <c r="L95" s="4">
        <v>25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211</v>
      </c>
      <c r="F96" s="4">
        <f>ROUND(Source!Y69,O96)</f>
        <v>5177.8900000000003</v>
      </c>
      <c r="G96" s="4" t="s">
        <v>99</v>
      </c>
      <c r="H96" s="4" t="s">
        <v>100</v>
      </c>
      <c r="I96" s="4"/>
      <c r="J96" s="4"/>
      <c r="K96" s="4">
        <v>211</v>
      </c>
      <c r="L96" s="4">
        <v>26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45">
      <c r="A97" s="4">
        <v>50</v>
      </c>
      <c r="B97" s="4">
        <v>0</v>
      </c>
      <c r="C97" s="4">
        <v>0</v>
      </c>
      <c r="D97" s="4">
        <v>1</v>
      </c>
      <c r="E97" s="4">
        <v>224</v>
      </c>
      <c r="F97" s="4">
        <f>ROUND(Source!AR69,O97)</f>
        <v>19503.009999999998</v>
      </c>
      <c r="G97" s="4" t="s">
        <v>101</v>
      </c>
      <c r="H97" s="4" t="s">
        <v>102</v>
      </c>
      <c r="I97" s="4"/>
      <c r="J97" s="4"/>
      <c r="K97" s="4">
        <v>224</v>
      </c>
      <c r="L97" s="4">
        <v>27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9" spans="1:245">
      <c r="A99" s="1">
        <v>4</v>
      </c>
      <c r="B99" s="1">
        <v>1</v>
      </c>
      <c r="C99" s="1"/>
      <c r="D99" s="1">
        <f>ROW(A111)</f>
        <v>111</v>
      </c>
      <c r="E99" s="1"/>
      <c r="F99" s="1" t="s">
        <v>13</v>
      </c>
      <c r="G99" s="1" t="s">
        <v>103</v>
      </c>
      <c r="H99" s="1" t="s">
        <v>3</v>
      </c>
      <c r="I99" s="1">
        <v>0</v>
      </c>
      <c r="J99" s="1"/>
      <c r="K99" s="1">
        <v>0</v>
      </c>
      <c r="L99" s="1"/>
      <c r="M99" s="1" t="s">
        <v>3</v>
      </c>
      <c r="N99" s="1"/>
      <c r="O99" s="1"/>
      <c r="P99" s="1"/>
      <c r="Q99" s="1"/>
      <c r="R99" s="1"/>
      <c r="S99" s="1">
        <v>0</v>
      </c>
      <c r="T99" s="1"/>
      <c r="U99" s="1" t="s">
        <v>3</v>
      </c>
      <c r="V99" s="1">
        <v>0</v>
      </c>
      <c r="W99" s="1"/>
      <c r="X99" s="1"/>
      <c r="Y99" s="1"/>
      <c r="Z99" s="1"/>
      <c r="AA99" s="1"/>
      <c r="AB99" s="1" t="s">
        <v>3</v>
      </c>
      <c r="AC99" s="1" t="s">
        <v>3</v>
      </c>
      <c r="AD99" s="1" t="s">
        <v>3</v>
      </c>
      <c r="AE99" s="1" t="s">
        <v>3</v>
      </c>
      <c r="AF99" s="1" t="s">
        <v>3</v>
      </c>
      <c r="AG99" s="1" t="s">
        <v>3</v>
      </c>
      <c r="AH99" s="1"/>
      <c r="AI99" s="1"/>
      <c r="AJ99" s="1"/>
      <c r="AK99" s="1"/>
      <c r="AL99" s="1"/>
      <c r="AM99" s="1"/>
      <c r="AN99" s="1"/>
      <c r="AO99" s="1"/>
      <c r="AP99" s="1" t="s">
        <v>3</v>
      </c>
      <c r="AQ99" s="1" t="s">
        <v>3</v>
      </c>
      <c r="AR99" s="1" t="s">
        <v>3</v>
      </c>
      <c r="AS99" s="1"/>
      <c r="AT99" s="1"/>
      <c r="AU99" s="1"/>
      <c r="AV99" s="1"/>
      <c r="AW99" s="1"/>
      <c r="AX99" s="1"/>
      <c r="AY99" s="1"/>
      <c r="AZ99" s="1" t="s">
        <v>3</v>
      </c>
      <c r="BA99" s="1"/>
      <c r="BB99" s="1" t="s">
        <v>3</v>
      </c>
      <c r="BC99" s="1" t="s">
        <v>3</v>
      </c>
      <c r="BD99" s="1" t="s">
        <v>3</v>
      </c>
      <c r="BE99" s="1" t="s">
        <v>3</v>
      </c>
      <c r="BF99" s="1" t="s">
        <v>3</v>
      </c>
      <c r="BG99" s="1" t="s">
        <v>3</v>
      </c>
      <c r="BH99" s="1" t="s">
        <v>3</v>
      </c>
      <c r="BI99" s="1" t="s">
        <v>3</v>
      </c>
      <c r="BJ99" s="1" t="s">
        <v>3</v>
      </c>
      <c r="BK99" s="1" t="s">
        <v>3</v>
      </c>
      <c r="BL99" s="1" t="s">
        <v>3</v>
      </c>
      <c r="BM99" s="1" t="s">
        <v>3</v>
      </c>
      <c r="BN99" s="1" t="s">
        <v>3</v>
      </c>
      <c r="BO99" s="1" t="s">
        <v>3</v>
      </c>
      <c r="BP99" s="1" t="s">
        <v>3</v>
      </c>
      <c r="BQ99" s="1"/>
      <c r="BR99" s="1"/>
      <c r="BS99" s="1"/>
      <c r="BT99" s="1"/>
      <c r="BU99" s="1"/>
      <c r="BV99" s="1"/>
      <c r="BW99" s="1"/>
      <c r="BX99" s="1">
        <v>0</v>
      </c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>
        <v>0</v>
      </c>
    </row>
    <row r="101" spans="1:245">
      <c r="A101" s="2">
        <v>52</v>
      </c>
      <c r="B101" s="2">
        <f t="shared" ref="B101:G101" si="66">B111</f>
        <v>1</v>
      </c>
      <c r="C101" s="2">
        <f t="shared" si="66"/>
        <v>4</v>
      </c>
      <c r="D101" s="2">
        <f t="shared" si="66"/>
        <v>99</v>
      </c>
      <c r="E101" s="2">
        <f t="shared" si="66"/>
        <v>0</v>
      </c>
      <c r="F101" s="2" t="str">
        <f t="shared" si="66"/>
        <v>Новый раздел</v>
      </c>
      <c r="G101" s="2" t="str">
        <f t="shared" si="66"/>
        <v>пол</v>
      </c>
      <c r="H101" s="2"/>
      <c r="I101" s="2"/>
      <c r="J101" s="2"/>
      <c r="K101" s="2"/>
      <c r="L101" s="2"/>
      <c r="M101" s="2"/>
      <c r="N101" s="2"/>
      <c r="O101" s="2">
        <f t="shared" ref="O101:AT101" si="67">O111</f>
        <v>99898.55</v>
      </c>
      <c r="P101" s="2">
        <f t="shared" si="67"/>
        <v>48978.13</v>
      </c>
      <c r="Q101" s="2">
        <f t="shared" si="67"/>
        <v>1474.13</v>
      </c>
      <c r="R101" s="2">
        <f t="shared" si="67"/>
        <v>836.15</v>
      </c>
      <c r="S101" s="2">
        <f t="shared" si="67"/>
        <v>49446.29</v>
      </c>
      <c r="T101" s="2">
        <f t="shared" si="67"/>
        <v>0</v>
      </c>
      <c r="U101" s="2">
        <f t="shared" si="67"/>
        <v>164.33468999999999</v>
      </c>
      <c r="V101" s="2">
        <f t="shared" si="67"/>
        <v>2.2177249999999997</v>
      </c>
      <c r="W101" s="2">
        <f t="shared" si="67"/>
        <v>31.59</v>
      </c>
      <c r="X101" s="2">
        <f t="shared" si="67"/>
        <v>49923.83</v>
      </c>
      <c r="Y101" s="2">
        <f t="shared" si="67"/>
        <v>26455.42</v>
      </c>
      <c r="Z101" s="2">
        <f t="shared" si="67"/>
        <v>0</v>
      </c>
      <c r="AA101" s="2">
        <f t="shared" si="67"/>
        <v>0</v>
      </c>
      <c r="AB101" s="2">
        <f t="shared" si="67"/>
        <v>99898.55</v>
      </c>
      <c r="AC101" s="2">
        <f t="shared" si="67"/>
        <v>48978.13</v>
      </c>
      <c r="AD101" s="2">
        <f t="shared" si="67"/>
        <v>1474.13</v>
      </c>
      <c r="AE101" s="2">
        <f t="shared" si="67"/>
        <v>836.15</v>
      </c>
      <c r="AF101" s="2">
        <f t="shared" si="67"/>
        <v>49446.29</v>
      </c>
      <c r="AG101" s="2">
        <f t="shared" si="67"/>
        <v>0</v>
      </c>
      <c r="AH101" s="2">
        <f t="shared" si="67"/>
        <v>164.33468999999999</v>
      </c>
      <c r="AI101" s="2">
        <f t="shared" si="67"/>
        <v>2.2177249999999997</v>
      </c>
      <c r="AJ101" s="2">
        <f t="shared" si="67"/>
        <v>31.59</v>
      </c>
      <c r="AK101" s="2">
        <f t="shared" si="67"/>
        <v>49923.83</v>
      </c>
      <c r="AL101" s="2">
        <f t="shared" si="67"/>
        <v>26455.42</v>
      </c>
      <c r="AM101" s="2">
        <f t="shared" si="67"/>
        <v>0</v>
      </c>
      <c r="AN101" s="2">
        <f t="shared" si="67"/>
        <v>0</v>
      </c>
      <c r="AO101" s="2">
        <f t="shared" si="67"/>
        <v>0</v>
      </c>
      <c r="AP101" s="2">
        <f t="shared" si="67"/>
        <v>0</v>
      </c>
      <c r="AQ101" s="2">
        <f t="shared" si="67"/>
        <v>0</v>
      </c>
      <c r="AR101" s="2">
        <f t="shared" si="67"/>
        <v>176277.8</v>
      </c>
      <c r="AS101" s="2">
        <f t="shared" si="67"/>
        <v>167439.37</v>
      </c>
      <c r="AT101" s="2">
        <f t="shared" si="67"/>
        <v>8838.43</v>
      </c>
      <c r="AU101" s="2">
        <f t="shared" ref="AU101:BZ101" si="68">AU111</f>
        <v>0</v>
      </c>
      <c r="AV101" s="2">
        <f t="shared" si="68"/>
        <v>48978.13</v>
      </c>
      <c r="AW101" s="2">
        <f t="shared" si="68"/>
        <v>48978.13</v>
      </c>
      <c r="AX101" s="2">
        <f t="shared" si="68"/>
        <v>0</v>
      </c>
      <c r="AY101" s="2">
        <f t="shared" si="68"/>
        <v>48978.13</v>
      </c>
      <c r="AZ101" s="2">
        <f t="shared" si="68"/>
        <v>0</v>
      </c>
      <c r="BA101" s="2">
        <f t="shared" si="68"/>
        <v>0</v>
      </c>
      <c r="BB101" s="2">
        <f t="shared" si="68"/>
        <v>0</v>
      </c>
      <c r="BC101" s="2">
        <f t="shared" si="68"/>
        <v>0</v>
      </c>
      <c r="BD101" s="2">
        <f t="shared" si="68"/>
        <v>0</v>
      </c>
      <c r="BE101" s="2">
        <f t="shared" si="68"/>
        <v>0</v>
      </c>
      <c r="BF101" s="2">
        <f t="shared" si="68"/>
        <v>0</v>
      </c>
      <c r="BG101" s="2">
        <f t="shared" si="68"/>
        <v>0</v>
      </c>
      <c r="BH101" s="2">
        <f t="shared" si="68"/>
        <v>0</v>
      </c>
      <c r="BI101" s="2">
        <f t="shared" si="68"/>
        <v>0</v>
      </c>
      <c r="BJ101" s="2">
        <f t="shared" si="68"/>
        <v>0</v>
      </c>
      <c r="BK101" s="2">
        <f t="shared" si="68"/>
        <v>0</v>
      </c>
      <c r="BL101" s="2">
        <f t="shared" si="68"/>
        <v>0</v>
      </c>
      <c r="BM101" s="2">
        <f t="shared" si="68"/>
        <v>0</v>
      </c>
      <c r="BN101" s="2">
        <f t="shared" si="68"/>
        <v>0</v>
      </c>
      <c r="BO101" s="2">
        <f t="shared" si="68"/>
        <v>0</v>
      </c>
      <c r="BP101" s="2">
        <f t="shared" si="68"/>
        <v>0</v>
      </c>
      <c r="BQ101" s="2">
        <f t="shared" si="68"/>
        <v>0</v>
      </c>
      <c r="BR101" s="2">
        <f t="shared" si="68"/>
        <v>0</v>
      </c>
      <c r="BS101" s="2">
        <f t="shared" si="68"/>
        <v>0</v>
      </c>
      <c r="BT101" s="2">
        <f t="shared" si="68"/>
        <v>0</v>
      </c>
      <c r="BU101" s="2">
        <f t="shared" si="68"/>
        <v>0</v>
      </c>
      <c r="BV101" s="2">
        <f t="shared" si="68"/>
        <v>0</v>
      </c>
      <c r="BW101" s="2">
        <f t="shared" si="68"/>
        <v>0</v>
      </c>
      <c r="BX101" s="2">
        <f t="shared" si="68"/>
        <v>0</v>
      </c>
      <c r="BY101" s="2">
        <f t="shared" si="68"/>
        <v>0</v>
      </c>
      <c r="BZ101" s="2">
        <f t="shared" si="68"/>
        <v>0</v>
      </c>
      <c r="CA101" s="2">
        <f t="shared" ref="CA101:DF101" si="69">CA111</f>
        <v>176277.8</v>
      </c>
      <c r="CB101" s="2">
        <f t="shared" si="69"/>
        <v>167439.37</v>
      </c>
      <c r="CC101" s="2">
        <f t="shared" si="69"/>
        <v>8838.43</v>
      </c>
      <c r="CD101" s="2">
        <f t="shared" si="69"/>
        <v>0</v>
      </c>
      <c r="CE101" s="2">
        <f t="shared" si="69"/>
        <v>48978.13</v>
      </c>
      <c r="CF101" s="2">
        <f t="shared" si="69"/>
        <v>48978.13</v>
      </c>
      <c r="CG101" s="2">
        <f t="shared" si="69"/>
        <v>0</v>
      </c>
      <c r="CH101" s="2">
        <f t="shared" si="69"/>
        <v>48978.13</v>
      </c>
      <c r="CI101" s="2">
        <f t="shared" si="69"/>
        <v>0</v>
      </c>
      <c r="CJ101" s="2">
        <f t="shared" si="69"/>
        <v>0</v>
      </c>
      <c r="CK101" s="2">
        <f t="shared" si="69"/>
        <v>0</v>
      </c>
      <c r="CL101" s="2">
        <f t="shared" si="69"/>
        <v>0</v>
      </c>
      <c r="CM101" s="2">
        <f t="shared" si="69"/>
        <v>0</v>
      </c>
      <c r="CN101" s="2">
        <f t="shared" si="69"/>
        <v>0</v>
      </c>
      <c r="CO101" s="2">
        <f t="shared" si="69"/>
        <v>0</v>
      </c>
      <c r="CP101" s="2">
        <f t="shared" si="69"/>
        <v>0</v>
      </c>
      <c r="CQ101" s="2">
        <f t="shared" si="69"/>
        <v>0</v>
      </c>
      <c r="CR101" s="2">
        <f t="shared" si="69"/>
        <v>0</v>
      </c>
      <c r="CS101" s="2">
        <f t="shared" si="69"/>
        <v>0</v>
      </c>
      <c r="CT101" s="2">
        <f t="shared" si="69"/>
        <v>0</v>
      </c>
      <c r="CU101" s="2">
        <f t="shared" si="69"/>
        <v>0</v>
      </c>
      <c r="CV101" s="2">
        <f t="shared" si="69"/>
        <v>0</v>
      </c>
      <c r="CW101" s="2">
        <f t="shared" si="69"/>
        <v>0</v>
      </c>
      <c r="CX101" s="2">
        <f t="shared" si="69"/>
        <v>0</v>
      </c>
      <c r="CY101" s="2">
        <f t="shared" si="69"/>
        <v>0</v>
      </c>
      <c r="CZ101" s="2">
        <f t="shared" si="69"/>
        <v>0</v>
      </c>
      <c r="DA101" s="2">
        <f t="shared" si="69"/>
        <v>0</v>
      </c>
      <c r="DB101" s="2">
        <f t="shared" si="69"/>
        <v>0</v>
      </c>
      <c r="DC101" s="2">
        <f t="shared" si="69"/>
        <v>0</v>
      </c>
      <c r="DD101" s="2">
        <f t="shared" si="69"/>
        <v>0</v>
      </c>
      <c r="DE101" s="2">
        <f t="shared" si="69"/>
        <v>0</v>
      </c>
      <c r="DF101" s="2">
        <f t="shared" si="69"/>
        <v>0</v>
      </c>
      <c r="DG101" s="3">
        <f t="shared" ref="DG101:EL101" si="70">DG111</f>
        <v>0</v>
      </c>
      <c r="DH101" s="3">
        <f t="shared" si="70"/>
        <v>0</v>
      </c>
      <c r="DI101" s="3">
        <f t="shared" si="70"/>
        <v>0</v>
      </c>
      <c r="DJ101" s="3">
        <f t="shared" si="70"/>
        <v>0</v>
      </c>
      <c r="DK101" s="3">
        <f t="shared" si="70"/>
        <v>0</v>
      </c>
      <c r="DL101" s="3">
        <f t="shared" si="70"/>
        <v>0</v>
      </c>
      <c r="DM101" s="3">
        <f t="shared" si="70"/>
        <v>0</v>
      </c>
      <c r="DN101" s="3">
        <f t="shared" si="70"/>
        <v>0</v>
      </c>
      <c r="DO101" s="3">
        <f t="shared" si="70"/>
        <v>0</v>
      </c>
      <c r="DP101" s="3">
        <f t="shared" si="70"/>
        <v>0</v>
      </c>
      <c r="DQ101" s="3">
        <f t="shared" si="70"/>
        <v>0</v>
      </c>
      <c r="DR101" s="3">
        <f t="shared" si="70"/>
        <v>0</v>
      </c>
      <c r="DS101" s="3">
        <f t="shared" si="70"/>
        <v>0</v>
      </c>
      <c r="DT101" s="3">
        <f t="shared" si="70"/>
        <v>0</v>
      </c>
      <c r="DU101" s="3">
        <f t="shared" si="70"/>
        <v>0</v>
      </c>
      <c r="DV101" s="3">
        <f t="shared" si="70"/>
        <v>0</v>
      </c>
      <c r="DW101" s="3">
        <f t="shared" si="70"/>
        <v>0</v>
      </c>
      <c r="DX101" s="3">
        <f t="shared" si="70"/>
        <v>0</v>
      </c>
      <c r="DY101" s="3">
        <f t="shared" si="70"/>
        <v>0</v>
      </c>
      <c r="DZ101" s="3">
        <f t="shared" si="70"/>
        <v>0</v>
      </c>
      <c r="EA101" s="3">
        <f t="shared" si="70"/>
        <v>0</v>
      </c>
      <c r="EB101" s="3">
        <f t="shared" si="70"/>
        <v>0</v>
      </c>
      <c r="EC101" s="3">
        <f t="shared" si="70"/>
        <v>0</v>
      </c>
      <c r="ED101" s="3">
        <f t="shared" si="70"/>
        <v>0</v>
      </c>
      <c r="EE101" s="3">
        <f t="shared" si="70"/>
        <v>0</v>
      </c>
      <c r="EF101" s="3">
        <f t="shared" si="70"/>
        <v>0</v>
      </c>
      <c r="EG101" s="3">
        <f t="shared" si="70"/>
        <v>0</v>
      </c>
      <c r="EH101" s="3">
        <f t="shared" si="70"/>
        <v>0</v>
      </c>
      <c r="EI101" s="3">
        <f t="shared" si="70"/>
        <v>0</v>
      </c>
      <c r="EJ101" s="3">
        <f t="shared" si="70"/>
        <v>0</v>
      </c>
      <c r="EK101" s="3">
        <f t="shared" si="70"/>
        <v>0</v>
      </c>
      <c r="EL101" s="3">
        <f t="shared" si="70"/>
        <v>0</v>
      </c>
      <c r="EM101" s="3">
        <f t="shared" ref="EM101:FR101" si="71">EM111</f>
        <v>0</v>
      </c>
      <c r="EN101" s="3">
        <f t="shared" si="71"/>
        <v>0</v>
      </c>
      <c r="EO101" s="3">
        <f t="shared" si="71"/>
        <v>0</v>
      </c>
      <c r="EP101" s="3">
        <f t="shared" si="71"/>
        <v>0</v>
      </c>
      <c r="EQ101" s="3">
        <f t="shared" si="71"/>
        <v>0</v>
      </c>
      <c r="ER101" s="3">
        <f t="shared" si="71"/>
        <v>0</v>
      </c>
      <c r="ES101" s="3">
        <f t="shared" si="71"/>
        <v>0</v>
      </c>
      <c r="ET101" s="3">
        <f t="shared" si="71"/>
        <v>0</v>
      </c>
      <c r="EU101" s="3">
        <f t="shared" si="71"/>
        <v>0</v>
      </c>
      <c r="EV101" s="3">
        <f t="shared" si="71"/>
        <v>0</v>
      </c>
      <c r="EW101" s="3">
        <f t="shared" si="71"/>
        <v>0</v>
      </c>
      <c r="EX101" s="3">
        <f t="shared" si="71"/>
        <v>0</v>
      </c>
      <c r="EY101" s="3">
        <f t="shared" si="71"/>
        <v>0</v>
      </c>
      <c r="EZ101" s="3">
        <f t="shared" si="71"/>
        <v>0</v>
      </c>
      <c r="FA101" s="3">
        <f t="shared" si="71"/>
        <v>0</v>
      </c>
      <c r="FB101" s="3">
        <f t="shared" si="71"/>
        <v>0</v>
      </c>
      <c r="FC101" s="3">
        <f t="shared" si="71"/>
        <v>0</v>
      </c>
      <c r="FD101" s="3">
        <f t="shared" si="71"/>
        <v>0</v>
      </c>
      <c r="FE101" s="3">
        <f t="shared" si="71"/>
        <v>0</v>
      </c>
      <c r="FF101" s="3">
        <f t="shared" si="71"/>
        <v>0</v>
      </c>
      <c r="FG101" s="3">
        <f t="shared" si="71"/>
        <v>0</v>
      </c>
      <c r="FH101" s="3">
        <f t="shared" si="71"/>
        <v>0</v>
      </c>
      <c r="FI101" s="3">
        <f t="shared" si="71"/>
        <v>0</v>
      </c>
      <c r="FJ101" s="3">
        <f t="shared" si="71"/>
        <v>0</v>
      </c>
      <c r="FK101" s="3">
        <f t="shared" si="71"/>
        <v>0</v>
      </c>
      <c r="FL101" s="3">
        <f t="shared" si="71"/>
        <v>0</v>
      </c>
      <c r="FM101" s="3">
        <f t="shared" si="71"/>
        <v>0</v>
      </c>
      <c r="FN101" s="3">
        <f t="shared" si="71"/>
        <v>0</v>
      </c>
      <c r="FO101" s="3">
        <f t="shared" si="71"/>
        <v>0</v>
      </c>
      <c r="FP101" s="3">
        <f t="shared" si="71"/>
        <v>0</v>
      </c>
      <c r="FQ101" s="3">
        <f t="shared" si="71"/>
        <v>0</v>
      </c>
      <c r="FR101" s="3">
        <f t="shared" si="71"/>
        <v>0</v>
      </c>
      <c r="FS101" s="3">
        <f t="shared" ref="FS101:GX101" si="72">FS111</f>
        <v>0</v>
      </c>
      <c r="FT101" s="3">
        <f t="shared" si="72"/>
        <v>0</v>
      </c>
      <c r="FU101" s="3">
        <f t="shared" si="72"/>
        <v>0</v>
      </c>
      <c r="FV101" s="3">
        <f t="shared" si="72"/>
        <v>0</v>
      </c>
      <c r="FW101" s="3">
        <f t="shared" si="72"/>
        <v>0</v>
      </c>
      <c r="FX101" s="3">
        <f t="shared" si="72"/>
        <v>0</v>
      </c>
      <c r="FY101" s="3">
        <f t="shared" si="72"/>
        <v>0</v>
      </c>
      <c r="FZ101" s="3">
        <f t="shared" si="72"/>
        <v>0</v>
      </c>
      <c r="GA101" s="3">
        <f t="shared" si="72"/>
        <v>0</v>
      </c>
      <c r="GB101" s="3">
        <f t="shared" si="72"/>
        <v>0</v>
      </c>
      <c r="GC101" s="3">
        <f t="shared" si="72"/>
        <v>0</v>
      </c>
      <c r="GD101" s="3">
        <f t="shared" si="72"/>
        <v>0</v>
      </c>
      <c r="GE101" s="3">
        <f t="shared" si="72"/>
        <v>0</v>
      </c>
      <c r="GF101" s="3">
        <f t="shared" si="72"/>
        <v>0</v>
      </c>
      <c r="GG101" s="3">
        <f t="shared" si="72"/>
        <v>0</v>
      </c>
      <c r="GH101" s="3">
        <f t="shared" si="72"/>
        <v>0</v>
      </c>
      <c r="GI101" s="3">
        <f t="shared" si="72"/>
        <v>0</v>
      </c>
      <c r="GJ101" s="3">
        <f t="shared" si="72"/>
        <v>0</v>
      </c>
      <c r="GK101" s="3">
        <f t="shared" si="72"/>
        <v>0</v>
      </c>
      <c r="GL101" s="3">
        <f t="shared" si="72"/>
        <v>0</v>
      </c>
      <c r="GM101" s="3">
        <f t="shared" si="72"/>
        <v>0</v>
      </c>
      <c r="GN101" s="3">
        <f t="shared" si="72"/>
        <v>0</v>
      </c>
      <c r="GO101" s="3">
        <f t="shared" si="72"/>
        <v>0</v>
      </c>
      <c r="GP101" s="3">
        <f t="shared" si="72"/>
        <v>0</v>
      </c>
      <c r="GQ101" s="3">
        <f t="shared" si="72"/>
        <v>0</v>
      </c>
      <c r="GR101" s="3">
        <f t="shared" si="72"/>
        <v>0</v>
      </c>
      <c r="GS101" s="3">
        <f t="shared" si="72"/>
        <v>0</v>
      </c>
      <c r="GT101" s="3">
        <f t="shared" si="72"/>
        <v>0</v>
      </c>
      <c r="GU101" s="3">
        <f t="shared" si="72"/>
        <v>0</v>
      </c>
      <c r="GV101" s="3">
        <f t="shared" si="72"/>
        <v>0</v>
      </c>
      <c r="GW101" s="3">
        <f t="shared" si="72"/>
        <v>0</v>
      </c>
      <c r="GX101" s="3">
        <f t="shared" si="72"/>
        <v>0</v>
      </c>
    </row>
    <row r="103" spans="1:245">
      <c r="A103">
        <v>17</v>
      </c>
      <c r="B103">
        <v>1</v>
      </c>
      <c r="C103">
        <f>ROW(SmtRes!A19)</f>
        <v>19</v>
      </c>
      <c r="D103">
        <f>ROW(EtalonRes!A19)</f>
        <v>19</v>
      </c>
      <c r="E103" t="s">
        <v>104</v>
      </c>
      <c r="F103" t="s">
        <v>105</v>
      </c>
      <c r="G103" t="s">
        <v>106</v>
      </c>
      <c r="H103" t="s">
        <v>107</v>
      </c>
      <c r="I103">
        <f>ROUND(25/100,9)</f>
        <v>0.25</v>
      </c>
      <c r="J103">
        <v>0</v>
      </c>
      <c r="K103">
        <f>ROUND(25/100,9)</f>
        <v>0.25</v>
      </c>
      <c r="O103">
        <f t="shared" ref="O103:O109" si="73">ROUND(CP103,2)</f>
        <v>4504.93</v>
      </c>
      <c r="P103">
        <f t="shared" ref="P103:P109" si="74">ROUND(CQ103*I103,2)</f>
        <v>1755.41</v>
      </c>
      <c r="Q103">
        <f t="shared" ref="Q103:Q109" si="75">ROUND(CR103*I103,2)</f>
        <v>157.49</v>
      </c>
      <c r="R103">
        <f t="shared" ref="R103:R109" si="76">ROUND(CS103*I103,2)</f>
        <v>141.69999999999999</v>
      </c>
      <c r="S103">
        <f t="shared" ref="S103:S109" si="77">ROUND(CT103*I103,2)</f>
        <v>2592.0300000000002</v>
      </c>
      <c r="T103">
        <f t="shared" ref="T103:T109" si="78">ROUND(CU103*I103,2)</f>
        <v>0</v>
      </c>
      <c r="U103">
        <f t="shared" ref="U103:U109" si="79">CV103*I103</f>
        <v>9.8774999999999995</v>
      </c>
      <c r="V103">
        <f t="shared" ref="V103:V109" si="80">CW103*I103</f>
        <v>0.3175</v>
      </c>
      <c r="W103">
        <f t="shared" ref="W103:W109" si="81">ROUND(CX103*I103,2)</f>
        <v>0</v>
      </c>
      <c r="X103">
        <f t="shared" ref="X103:Y109" si="82">ROUND(CY103,2)</f>
        <v>3034.44</v>
      </c>
      <c r="Y103">
        <f t="shared" si="82"/>
        <v>1749.59</v>
      </c>
      <c r="AA103">
        <v>35822480</v>
      </c>
      <c r="AB103">
        <f t="shared" ref="AB103:AB109" si="83">ROUND((AC103+AD103+AF103),6)</f>
        <v>1485.02</v>
      </c>
      <c r="AC103">
        <f t="shared" ref="AC103:AC109" si="84">ROUND((ES103),6)</f>
        <v>1127.07</v>
      </c>
      <c r="AD103">
        <f>ROUND((((ET103)-(EU103))+AE103),6)</f>
        <v>44.24</v>
      </c>
      <c r="AE103">
        <f>ROUND((EU103),6)</f>
        <v>17.149999999999999</v>
      </c>
      <c r="AF103">
        <f>ROUND((EV103),6)</f>
        <v>313.70999999999998</v>
      </c>
      <c r="AG103">
        <f t="shared" ref="AG103:AG109" si="85">ROUND((AP103),6)</f>
        <v>0</v>
      </c>
      <c r="AH103">
        <f>(EW103)</f>
        <v>39.51</v>
      </c>
      <c r="AI103">
        <f>(EX103)</f>
        <v>1.27</v>
      </c>
      <c r="AJ103">
        <f t="shared" ref="AJ103:AJ109" si="86">(AS103)</f>
        <v>0</v>
      </c>
      <c r="AK103">
        <v>1485.02</v>
      </c>
      <c r="AL103">
        <v>1127.07</v>
      </c>
      <c r="AM103">
        <v>44.24</v>
      </c>
      <c r="AN103">
        <v>17.149999999999999</v>
      </c>
      <c r="AO103">
        <v>313.70999999999998</v>
      </c>
      <c r="AP103">
        <v>0</v>
      </c>
      <c r="AQ103">
        <v>39.51</v>
      </c>
      <c r="AR103">
        <v>1.27</v>
      </c>
      <c r="AS103">
        <v>0</v>
      </c>
      <c r="AT103">
        <v>111</v>
      </c>
      <c r="AU103">
        <v>64</v>
      </c>
      <c r="AV103">
        <v>1</v>
      </c>
      <c r="AW103">
        <v>1</v>
      </c>
      <c r="AZ103">
        <v>1</v>
      </c>
      <c r="BA103">
        <v>33.049999999999997</v>
      </c>
      <c r="BB103">
        <v>14.24</v>
      </c>
      <c r="BC103">
        <v>6.23</v>
      </c>
      <c r="BD103" t="s">
        <v>3</v>
      </c>
      <c r="BE103" t="s">
        <v>3</v>
      </c>
      <c r="BF103" t="s">
        <v>3</v>
      </c>
      <c r="BG103" t="s">
        <v>3</v>
      </c>
      <c r="BH103">
        <v>0</v>
      </c>
      <c r="BI103">
        <v>1</v>
      </c>
      <c r="BJ103" t="s">
        <v>108</v>
      </c>
      <c r="BM103">
        <v>11001</v>
      </c>
      <c r="BN103">
        <v>0</v>
      </c>
      <c r="BO103" t="s">
        <v>105</v>
      </c>
      <c r="BP103">
        <v>1</v>
      </c>
      <c r="BQ103">
        <v>2</v>
      </c>
      <c r="BR103">
        <v>0</v>
      </c>
      <c r="BS103">
        <v>33.049999999999997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123</v>
      </c>
      <c r="CA103">
        <v>75</v>
      </c>
      <c r="CB103" t="s">
        <v>3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ref="CP103:CP109" si="87">(P103+Q103+S103)</f>
        <v>4504.93</v>
      </c>
      <c r="CQ103">
        <f t="shared" ref="CQ103:CQ109" si="88">AC103*BC103</f>
        <v>7021.6460999999999</v>
      </c>
      <c r="CR103">
        <f t="shared" ref="CR103:CR109" si="89">AD103*BB103</f>
        <v>629.97760000000005</v>
      </c>
      <c r="CS103">
        <f t="shared" ref="CS103:CS109" si="90">AE103*BS103</f>
        <v>566.80749999999989</v>
      </c>
      <c r="CT103">
        <f t="shared" ref="CT103:CT109" si="91">AF103*BA103</f>
        <v>10368.115499999998</v>
      </c>
      <c r="CU103">
        <f t="shared" ref="CU103:CX109" si="92">AG103</f>
        <v>0</v>
      </c>
      <c r="CV103">
        <f t="shared" si="92"/>
        <v>39.51</v>
      </c>
      <c r="CW103">
        <f t="shared" si="92"/>
        <v>1.27</v>
      </c>
      <c r="CX103">
        <f t="shared" si="92"/>
        <v>0</v>
      </c>
      <c r="CY103">
        <f t="shared" ref="CY103:CY109" si="93">(((S103+R103)*AT103)/100)</f>
        <v>3034.4403000000002</v>
      </c>
      <c r="CZ103">
        <f t="shared" ref="CZ103:CZ109" si="94">(((S103+R103)*AU103)/100)</f>
        <v>1749.5871999999999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1013</v>
      </c>
      <c r="DV103" t="s">
        <v>107</v>
      </c>
      <c r="DW103" t="s">
        <v>107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36260427</v>
      </c>
      <c r="EF103">
        <v>2</v>
      </c>
      <c r="EG103" t="s">
        <v>109</v>
      </c>
      <c r="EH103">
        <v>0</v>
      </c>
      <c r="EI103" t="s">
        <v>3</v>
      </c>
      <c r="EJ103">
        <v>1</v>
      </c>
      <c r="EK103">
        <v>11001</v>
      </c>
      <c r="EL103" t="s">
        <v>23</v>
      </c>
      <c r="EM103" t="s">
        <v>110</v>
      </c>
      <c r="EO103" t="s">
        <v>3</v>
      </c>
      <c r="EQ103">
        <v>0</v>
      </c>
      <c r="ER103">
        <v>1485.02</v>
      </c>
      <c r="ES103">
        <v>1127.07</v>
      </c>
      <c r="ET103">
        <v>44.24</v>
      </c>
      <c r="EU103">
        <v>17.149999999999999</v>
      </c>
      <c r="EV103">
        <v>313.70999999999998</v>
      </c>
      <c r="EW103">
        <v>39.51</v>
      </c>
      <c r="EX103">
        <v>1.27</v>
      </c>
      <c r="EY103">
        <v>0</v>
      </c>
      <c r="FQ103">
        <v>0</v>
      </c>
      <c r="FR103">
        <f t="shared" ref="FR103:FR109" si="95">ROUND(IF(AND(BH103=3,BI103=3),P103,0),2)</f>
        <v>0</v>
      </c>
      <c r="FS103">
        <v>0</v>
      </c>
      <c r="FT103" t="s">
        <v>111</v>
      </c>
      <c r="FU103" t="s">
        <v>112</v>
      </c>
      <c r="FX103">
        <v>110.7</v>
      </c>
      <c r="FY103">
        <v>63.75</v>
      </c>
      <c r="GA103" t="s">
        <v>3</v>
      </c>
      <c r="GD103">
        <v>1</v>
      </c>
      <c r="GF103">
        <v>1508705477</v>
      </c>
      <c r="GG103">
        <v>2</v>
      </c>
      <c r="GH103">
        <v>1</v>
      </c>
      <c r="GI103">
        <v>2</v>
      </c>
      <c r="GJ103">
        <v>0</v>
      </c>
      <c r="GK103">
        <v>0</v>
      </c>
      <c r="GL103">
        <f t="shared" ref="GL103:GL109" si="96">ROUND(IF(AND(BH103=3,BI103=3,FS103&lt;&gt;0),P103,0),2)</f>
        <v>0</v>
      </c>
      <c r="GM103">
        <f t="shared" ref="GM103:GM109" si="97">ROUND(O103+X103+Y103,2)+GX103</f>
        <v>9288.9599999999991</v>
      </c>
      <c r="GN103">
        <f t="shared" ref="GN103:GN109" si="98">IF(OR(BI103=0,BI103=1),ROUND(O103+X103+Y103,2),0)</f>
        <v>9288.9599999999991</v>
      </c>
      <c r="GO103">
        <f t="shared" ref="GO103:GO109" si="99">IF(BI103=2,ROUND(O103+X103+Y103,2),0)</f>
        <v>0</v>
      </c>
      <c r="GP103">
        <f t="shared" ref="GP103:GP109" si="100">IF(BI103=4,ROUND(O103+X103+Y103,2)+GX103,0)</f>
        <v>0</v>
      </c>
      <c r="GR103">
        <v>0</v>
      </c>
      <c r="GS103">
        <v>3</v>
      </c>
      <c r="GT103">
        <v>0</v>
      </c>
      <c r="GU103" t="s">
        <v>3</v>
      </c>
      <c r="GV103">
        <f t="shared" ref="GV103:GV109" si="101">ROUND((GT103),6)</f>
        <v>0</v>
      </c>
      <c r="GW103">
        <v>1</v>
      </c>
      <c r="GX103">
        <f t="shared" ref="GX103:GX109" si="102">ROUND(HC103*I103,2)</f>
        <v>0</v>
      </c>
      <c r="HA103">
        <v>0</v>
      </c>
      <c r="HB103">
        <v>0</v>
      </c>
      <c r="HC103">
        <f t="shared" ref="HC103:HC109" si="103">GV103*GW103</f>
        <v>0</v>
      </c>
      <c r="HE103" t="s">
        <v>3</v>
      </c>
      <c r="HF103" t="s">
        <v>3</v>
      </c>
      <c r="HM103" t="s">
        <v>3</v>
      </c>
      <c r="IK103">
        <v>0</v>
      </c>
    </row>
    <row r="104" spans="1:245">
      <c r="A104">
        <v>17</v>
      </c>
      <c r="B104">
        <v>1</v>
      </c>
      <c r="C104">
        <f>ROW(SmtRes!A30)</f>
        <v>30</v>
      </c>
      <c r="D104">
        <f>ROW(EtalonRes!A31)</f>
        <v>31</v>
      </c>
      <c r="E104" t="s">
        <v>17</v>
      </c>
      <c r="F104" t="s">
        <v>113</v>
      </c>
      <c r="G104" t="s">
        <v>114</v>
      </c>
      <c r="H104" t="s">
        <v>115</v>
      </c>
      <c r="I104">
        <f>ROUND(25/100,9)</f>
        <v>0.25</v>
      </c>
      <c r="J104">
        <v>0</v>
      </c>
      <c r="K104">
        <f>ROUND(25/100,9)</f>
        <v>0.25</v>
      </c>
      <c r="O104">
        <f t="shared" si="73"/>
        <v>49478.16</v>
      </c>
      <c r="P104">
        <f t="shared" si="74"/>
        <v>16131.52</v>
      </c>
      <c r="Q104">
        <f t="shared" si="75"/>
        <v>359.93</v>
      </c>
      <c r="R104">
        <f t="shared" si="76"/>
        <v>238.48</v>
      </c>
      <c r="S104">
        <f t="shared" si="77"/>
        <v>32986.71</v>
      </c>
      <c r="T104">
        <f t="shared" si="78"/>
        <v>0</v>
      </c>
      <c r="U104">
        <f t="shared" si="79"/>
        <v>108.72387499999999</v>
      </c>
      <c r="V104">
        <f t="shared" si="80"/>
        <v>0.67500000000000004</v>
      </c>
      <c r="W104">
        <f t="shared" si="81"/>
        <v>0</v>
      </c>
      <c r="X104">
        <f t="shared" si="82"/>
        <v>31563.93</v>
      </c>
      <c r="Y104">
        <f t="shared" si="82"/>
        <v>15615.84</v>
      </c>
      <c r="AA104">
        <v>35822480</v>
      </c>
      <c r="AB104">
        <f t="shared" si="83"/>
        <v>21761.9575</v>
      </c>
      <c r="AC104">
        <f t="shared" si="84"/>
        <v>17678.38</v>
      </c>
      <c r="AD104">
        <f>ROUND(((((ET104*1.25))-((EU104*1.25)))+AE104),6)</f>
        <v>91.237499999999997</v>
      </c>
      <c r="AE104">
        <f>ROUND(((EU104*1.25)),6)</f>
        <v>28.862500000000001</v>
      </c>
      <c r="AF104">
        <f>ROUND(((EV104*1.15)),6)</f>
        <v>3992.34</v>
      </c>
      <c r="AG104">
        <f t="shared" si="85"/>
        <v>0</v>
      </c>
      <c r="AH104">
        <f>((EW104*1.15))</f>
        <v>434.89549999999997</v>
      </c>
      <c r="AI104">
        <f>((EX104*1.25))</f>
        <v>2.7</v>
      </c>
      <c r="AJ104">
        <f t="shared" si="86"/>
        <v>0</v>
      </c>
      <c r="AK104">
        <v>21222.97</v>
      </c>
      <c r="AL104">
        <v>17678.38</v>
      </c>
      <c r="AM104">
        <v>72.989999999999995</v>
      </c>
      <c r="AN104">
        <v>23.09</v>
      </c>
      <c r="AO104">
        <v>3471.6</v>
      </c>
      <c r="AP104">
        <v>0</v>
      </c>
      <c r="AQ104">
        <v>378.17</v>
      </c>
      <c r="AR104">
        <v>2.16</v>
      </c>
      <c r="AS104">
        <v>0</v>
      </c>
      <c r="AT104">
        <v>95</v>
      </c>
      <c r="AU104">
        <v>47</v>
      </c>
      <c r="AV104">
        <v>1</v>
      </c>
      <c r="AW104">
        <v>1</v>
      </c>
      <c r="AZ104">
        <v>1</v>
      </c>
      <c r="BA104">
        <v>33.049999999999997</v>
      </c>
      <c r="BB104">
        <v>15.78</v>
      </c>
      <c r="BC104">
        <v>3.65</v>
      </c>
      <c r="BD104" t="s">
        <v>3</v>
      </c>
      <c r="BE104" t="s">
        <v>3</v>
      </c>
      <c r="BF104" t="s">
        <v>3</v>
      </c>
      <c r="BG104" t="s">
        <v>3</v>
      </c>
      <c r="BH104">
        <v>0</v>
      </c>
      <c r="BI104">
        <v>1</v>
      </c>
      <c r="BJ104" t="s">
        <v>116</v>
      </c>
      <c r="BM104">
        <v>15001</v>
      </c>
      <c r="BN104">
        <v>0</v>
      </c>
      <c r="BO104" t="s">
        <v>113</v>
      </c>
      <c r="BP104">
        <v>1</v>
      </c>
      <c r="BQ104">
        <v>2</v>
      </c>
      <c r="BR104">
        <v>0</v>
      </c>
      <c r="BS104">
        <v>33.049999999999997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105</v>
      </c>
      <c r="CA104">
        <v>55</v>
      </c>
      <c r="CB104" t="s">
        <v>3</v>
      </c>
      <c r="CE104">
        <v>0</v>
      </c>
      <c r="CF104">
        <v>0</v>
      </c>
      <c r="CG104">
        <v>0</v>
      </c>
      <c r="CM104">
        <v>0</v>
      </c>
      <c r="CN104" t="s">
        <v>468</v>
      </c>
      <c r="CO104">
        <v>0</v>
      </c>
      <c r="CP104">
        <f t="shared" si="87"/>
        <v>49478.16</v>
      </c>
      <c r="CQ104">
        <f t="shared" si="88"/>
        <v>64526.087</v>
      </c>
      <c r="CR104">
        <f t="shared" si="89"/>
        <v>1439.7277499999998</v>
      </c>
      <c r="CS104">
        <f t="shared" si="90"/>
        <v>953.90562499999999</v>
      </c>
      <c r="CT104">
        <f t="shared" si="91"/>
        <v>131946.837</v>
      </c>
      <c r="CU104">
        <f t="shared" si="92"/>
        <v>0</v>
      </c>
      <c r="CV104">
        <f t="shared" si="92"/>
        <v>434.89549999999997</v>
      </c>
      <c r="CW104">
        <f t="shared" si="92"/>
        <v>2.7</v>
      </c>
      <c r="CX104">
        <f t="shared" si="92"/>
        <v>0</v>
      </c>
      <c r="CY104">
        <f t="shared" si="93"/>
        <v>31563.930500000002</v>
      </c>
      <c r="CZ104">
        <f t="shared" si="94"/>
        <v>15615.839300000001</v>
      </c>
      <c r="DC104" t="s">
        <v>3</v>
      </c>
      <c r="DD104" t="s">
        <v>3</v>
      </c>
      <c r="DE104" t="s">
        <v>117</v>
      </c>
      <c r="DF104" t="s">
        <v>117</v>
      </c>
      <c r="DG104" t="s">
        <v>118</v>
      </c>
      <c r="DH104" t="s">
        <v>3</v>
      </c>
      <c r="DI104" t="s">
        <v>118</v>
      </c>
      <c r="DJ104" t="s">
        <v>117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115</v>
      </c>
      <c r="DW104" t="s">
        <v>115</v>
      </c>
      <c r="DX104">
        <v>1</v>
      </c>
      <c r="DZ104" t="s">
        <v>3</v>
      </c>
      <c r="EA104" t="s">
        <v>3</v>
      </c>
      <c r="EB104" t="s">
        <v>3</v>
      </c>
      <c r="EC104" t="s">
        <v>3</v>
      </c>
      <c r="EE104">
        <v>36260452</v>
      </c>
      <c r="EF104">
        <v>2</v>
      </c>
      <c r="EG104" t="s">
        <v>109</v>
      </c>
      <c r="EH104">
        <v>0</v>
      </c>
      <c r="EI104" t="s">
        <v>3</v>
      </c>
      <c r="EJ104">
        <v>1</v>
      </c>
      <c r="EK104">
        <v>15001</v>
      </c>
      <c r="EL104" t="s">
        <v>119</v>
      </c>
      <c r="EM104" t="s">
        <v>120</v>
      </c>
      <c r="EO104" t="s">
        <v>121</v>
      </c>
      <c r="EQ104">
        <v>0</v>
      </c>
      <c r="ER104">
        <v>21222.97</v>
      </c>
      <c r="ES104">
        <v>17678.38</v>
      </c>
      <c r="ET104">
        <v>72.989999999999995</v>
      </c>
      <c r="EU104">
        <v>23.09</v>
      </c>
      <c r="EV104">
        <v>3471.6</v>
      </c>
      <c r="EW104">
        <v>378.17</v>
      </c>
      <c r="EX104">
        <v>2.16</v>
      </c>
      <c r="EY104">
        <v>0</v>
      </c>
      <c r="FQ104">
        <v>0</v>
      </c>
      <c r="FR104">
        <f t="shared" si="95"/>
        <v>0</v>
      </c>
      <c r="FS104">
        <v>0</v>
      </c>
      <c r="FT104" t="s">
        <v>111</v>
      </c>
      <c r="FU104" t="s">
        <v>112</v>
      </c>
      <c r="FX104">
        <v>94.5</v>
      </c>
      <c r="FY104">
        <v>46.75</v>
      </c>
      <c r="GA104" t="s">
        <v>3</v>
      </c>
      <c r="GD104">
        <v>1</v>
      </c>
      <c r="GF104">
        <v>-2091390819</v>
      </c>
      <c r="GG104">
        <v>2</v>
      </c>
      <c r="GH104">
        <v>1</v>
      </c>
      <c r="GI104">
        <v>2</v>
      </c>
      <c r="GJ104">
        <v>0</v>
      </c>
      <c r="GK104">
        <v>0</v>
      </c>
      <c r="GL104">
        <f t="shared" si="96"/>
        <v>0</v>
      </c>
      <c r="GM104">
        <f t="shared" si="97"/>
        <v>96657.93</v>
      </c>
      <c r="GN104">
        <f t="shared" si="98"/>
        <v>96657.93</v>
      </c>
      <c r="GO104">
        <f t="shared" si="99"/>
        <v>0</v>
      </c>
      <c r="GP104">
        <f t="shared" si="100"/>
        <v>0</v>
      </c>
      <c r="GR104">
        <v>0</v>
      </c>
      <c r="GS104">
        <v>3</v>
      </c>
      <c r="GT104">
        <v>0</v>
      </c>
      <c r="GU104" t="s">
        <v>3</v>
      </c>
      <c r="GV104">
        <f t="shared" si="101"/>
        <v>0</v>
      </c>
      <c r="GW104">
        <v>1</v>
      </c>
      <c r="GX104">
        <f t="shared" si="102"/>
        <v>0</v>
      </c>
      <c r="HA104">
        <v>0</v>
      </c>
      <c r="HB104">
        <v>0</v>
      </c>
      <c r="HC104">
        <f t="shared" si="103"/>
        <v>0</v>
      </c>
      <c r="HE104" t="s">
        <v>3</v>
      </c>
      <c r="HF104" t="s">
        <v>3</v>
      </c>
      <c r="HM104" t="s">
        <v>3</v>
      </c>
      <c r="IK104">
        <v>0</v>
      </c>
    </row>
    <row r="105" spans="1:245">
      <c r="A105">
        <v>17</v>
      </c>
      <c r="B105">
        <v>1</v>
      </c>
      <c r="C105">
        <f>ROW(SmtRes!A42)</f>
        <v>42</v>
      </c>
      <c r="D105">
        <f>ROW(EtalonRes!A43)</f>
        <v>43</v>
      </c>
      <c r="E105" t="s">
        <v>30</v>
      </c>
      <c r="F105" t="s">
        <v>122</v>
      </c>
      <c r="G105" t="s">
        <v>123</v>
      </c>
      <c r="H105" t="s">
        <v>124</v>
      </c>
      <c r="I105">
        <f>ROUND(25/100,9)</f>
        <v>0.25</v>
      </c>
      <c r="J105">
        <v>0</v>
      </c>
      <c r="K105">
        <f>ROUND(25/100,9)</f>
        <v>0.25</v>
      </c>
      <c r="O105">
        <f t="shared" si="73"/>
        <v>17339.830000000002</v>
      </c>
      <c r="P105">
        <f t="shared" si="74"/>
        <v>10436.23</v>
      </c>
      <c r="Q105">
        <f t="shared" si="75"/>
        <v>539.72</v>
      </c>
      <c r="R105">
        <f t="shared" si="76"/>
        <v>379.99</v>
      </c>
      <c r="S105">
        <f t="shared" si="77"/>
        <v>6363.88</v>
      </c>
      <c r="T105">
        <f t="shared" si="78"/>
        <v>0</v>
      </c>
      <c r="U105">
        <f t="shared" si="79"/>
        <v>22.031124999999996</v>
      </c>
      <c r="V105">
        <f t="shared" si="80"/>
        <v>1.0549999999999999</v>
      </c>
      <c r="W105">
        <f t="shared" si="81"/>
        <v>0</v>
      </c>
      <c r="X105">
        <f t="shared" si="82"/>
        <v>7485.7</v>
      </c>
      <c r="Y105">
        <f t="shared" si="82"/>
        <v>4316.08</v>
      </c>
      <c r="AA105">
        <v>35822480</v>
      </c>
      <c r="AB105">
        <f t="shared" si="83"/>
        <v>9973.4825000000001</v>
      </c>
      <c r="AC105">
        <f t="shared" si="84"/>
        <v>9055.2999999999993</v>
      </c>
      <c r="AD105">
        <f>ROUND((((ET105)-(EU105))+AE105),6)</f>
        <v>147.97</v>
      </c>
      <c r="AE105">
        <f>ROUND((EU105),6)</f>
        <v>45.99</v>
      </c>
      <c r="AF105">
        <f>ROUND(((EV105*1.15)),6)</f>
        <v>770.21249999999998</v>
      </c>
      <c r="AG105">
        <f t="shared" si="85"/>
        <v>0</v>
      </c>
      <c r="AH105">
        <f>((EW105*1.15))</f>
        <v>88.124499999999983</v>
      </c>
      <c r="AI105">
        <f>(EX105)</f>
        <v>4.22</v>
      </c>
      <c r="AJ105">
        <f t="shared" si="86"/>
        <v>0</v>
      </c>
      <c r="AK105">
        <v>9873.02</v>
      </c>
      <c r="AL105">
        <v>9055.2999999999993</v>
      </c>
      <c r="AM105">
        <v>147.97</v>
      </c>
      <c r="AN105">
        <v>45.99</v>
      </c>
      <c r="AO105">
        <v>669.75</v>
      </c>
      <c r="AP105">
        <v>0</v>
      </c>
      <c r="AQ105">
        <v>76.63</v>
      </c>
      <c r="AR105">
        <v>4.22</v>
      </c>
      <c r="AS105">
        <v>0</v>
      </c>
      <c r="AT105">
        <v>111</v>
      </c>
      <c r="AU105">
        <v>64</v>
      </c>
      <c r="AV105">
        <v>1</v>
      </c>
      <c r="AW105">
        <v>1</v>
      </c>
      <c r="AZ105">
        <v>1</v>
      </c>
      <c r="BA105">
        <v>33.049999999999997</v>
      </c>
      <c r="BB105">
        <v>14.59</v>
      </c>
      <c r="BC105">
        <v>4.6100000000000003</v>
      </c>
      <c r="BD105" t="s">
        <v>3</v>
      </c>
      <c r="BE105" t="s">
        <v>3</v>
      </c>
      <c r="BF105" t="s">
        <v>3</v>
      </c>
      <c r="BG105" t="s">
        <v>3</v>
      </c>
      <c r="BH105">
        <v>0</v>
      </c>
      <c r="BI105">
        <v>1</v>
      </c>
      <c r="BJ105" t="s">
        <v>125</v>
      </c>
      <c r="BM105">
        <v>11001</v>
      </c>
      <c r="BN105">
        <v>0</v>
      </c>
      <c r="BO105" t="s">
        <v>122</v>
      </c>
      <c r="BP105">
        <v>1</v>
      </c>
      <c r="BQ105">
        <v>2</v>
      </c>
      <c r="BR105">
        <v>0</v>
      </c>
      <c r="BS105">
        <v>33.049999999999997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123</v>
      </c>
      <c r="CA105">
        <v>75</v>
      </c>
      <c r="CB105" t="s">
        <v>3</v>
      </c>
      <c r="CE105">
        <v>0</v>
      </c>
      <c r="CF105">
        <v>0</v>
      </c>
      <c r="CG105">
        <v>0</v>
      </c>
      <c r="CM105">
        <v>0</v>
      </c>
      <c r="CN105" t="s">
        <v>469</v>
      </c>
      <c r="CO105">
        <v>0</v>
      </c>
      <c r="CP105">
        <f t="shared" si="87"/>
        <v>17339.829999999998</v>
      </c>
      <c r="CQ105">
        <f t="shared" si="88"/>
        <v>41744.932999999997</v>
      </c>
      <c r="CR105">
        <f t="shared" si="89"/>
        <v>2158.8822999999998</v>
      </c>
      <c r="CS105">
        <f t="shared" si="90"/>
        <v>1519.9694999999999</v>
      </c>
      <c r="CT105">
        <f t="shared" si="91"/>
        <v>25455.523124999996</v>
      </c>
      <c r="CU105">
        <f t="shared" si="92"/>
        <v>0</v>
      </c>
      <c r="CV105">
        <f t="shared" si="92"/>
        <v>88.124499999999983</v>
      </c>
      <c r="CW105">
        <f t="shared" si="92"/>
        <v>4.22</v>
      </c>
      <c r="CX105">
        <f t="shared" si="92"/>
        <v>0</v>
      </c>
      <c r="CY105">
        <f t="shared" si="93"/>
        <v>7485.6956999999993</v>
      </c>
      <c r="CZ105">
        <f t="shared" si="94"/>
        <v>4316.0767999999998</v>
      </c>
      <c r="DC105" t="s">
        <v>3</v>
      </c>
      <c r="DD105" t="s">
        <v>3</v>
      </c>
      <c r="DE105" t="s">
        <v>3</v>
      </c>
      <c r="DF105" t="s">
        <v>3</v>
      </c>
      <c r="DG105" t="s">
        <v>118</v>
      </c>
      <c r="DH105" t="s">
        <v>3</v>
      </c>
      <c r="DI105" t="s">
        <v>118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1005</v>
      </c>
      <c r="DV105" t="s">
        <v>124</v>
      </c>
      <c r="DW105" t="s">
        <v>124</v>
      </c>
      <c r="DX105">
        <v>100</v>
      </c>
      <c r="DZ105" t="s">
        <v>3</v>
      </c>
      <c r="EA105" t="s">
        <v>3</v>
      </c>
      <c r="EB105" t="s">
        <v>3</v>
      </c>
      <c r="EC105" t="s">
        <v>3</v>
      </c>
      <c r="EE105">
        <v>36260427</v>
      </c>
      <c r="EF105">
        <v>2</v>
      </c>
      <c r="EG105" t="s">
        <v>109</v>
      </c>
      <c r="EH105">
        <v>0</v>
      </c>
      <c r="EI105" t="s">
        <v>3</v>
      </c>
      <c r="EJ105">
        <v>1</v>
      </c>
      <c r="EK105">
        <v>11001</v>
      </c>
      <c r="EL105" t="s">
        <v>23</v>
      </c>
      <c r="EM105" t="s">
        <v>110</v>
      </c>
      <c r="EO105" t="s">
        <v>126</v>
      </c>
      <c r="EQ105">
        <v>0</v>
      </c>
      <c r="ER105">
        <v>9873.02</v>
      </c>
      <c r="ES105">
        <v>9055.2999999999993</v>
      </c>
      <c r="ET105">
        <v>147.97</v>
      </c>
      <c r="EU105">
        <v>45.99</v>
      </c>
      <c r="EV105">
        <v>669.75</v>
      </c>
      <c r="EW105">
        <v>76.63</v>
      </c>
      <c r="EX105">
        <v>4.22</v>
      </c>
      <c r="EY105">
        <v>0</v>
      </c>
      <c r="FQ105">
        <v>0</v>
      </c>
      <c r="FR105">
        <f t="shared" si="95"/>
        <v>0</v>
      </c>
      <c r="FS105">
        <v>0</v>
      </c>
      <c r="FT105" t="s">
        <v>111</v>
      </c>
      <c r="FU105" t="s">
        <v>112</v>
      </c>
      <c r="FX105">
        <v>110.7</v>
      </c>
      <c r="FY105">
        <v>63.75</v>
      </c>
      <c r="GA105" t="s">
        <v>3</v>
      </c>
      <c r="GD105">
        <v>1</v>
      </c>
      <c r="GF105">
        <v>-3766666</v>
      </c>
      <c r="GG105">
        <v>2</v>
      </c>
      <c r="GH105">
        <v>1</v>
      </c>
      <c r="GI105">
        <v>2</v>
      </c>
      <c r="GJ105">
        <v>0</v>
      </c>
      <c r="GK105">
        <v>0</v>
      </c>
      <c r="GL105">
        <f t="shared" si="96"/>
        <v>0</v>
      </c>
      <c r="GM105">
        <f t="shared" si="97"/>
        <v>29141.61</v>
      </c>
      <c r="GN105">
        <f t="shared" si="98"/>
        <v>29141.61</v>
      </c>
      <c r="GO105">
        <f t="shared" si="99"/>
        <v>0</v>
      </c>
      <c r="GP105">
        <f t="shared" si="100"/>
        <v>0</v>
      </c>
      <c r="GR105">
        <v>0</v>
      </c>
      <c r="GS105">
        <v>3</v>
      </c>
      <c r="GT105">
        <v>0</v>
      </c>
      <c r="GU105" t="s">
        <v>3</v>
      </c>
      <c r="GV105">
        <f t="shared" si="101"/>
        <v>0</v>
      </c>
      <c r="GW105">
        <v>1</v>
      </c>
      <c r="GX105">
        <f t="shared" si="102"/>
        <v>0</v>
      </c>
      <c r="HA105">
        <v>0</v>
      </c>
      <c r="HB105">
        <v>0</v>
      </c>
      <c r="HC105">
        <f t="shared" si="103"/>
        <v>0</v>
      </c>
      <c r="HE105" t="s">
        <v>3</v>
      </c>
      <c r="HF105" t="s">
        <v>3</v>
      </c>
      <c r="HM105" t="s">
        <v>3</v>
      </c>
      <c r="IK105">
        <v>0</v>
      </c>
    </row>
    <row r="106" spans="1:245">
      <c r="A106">
        <v>17</v>
      </c>
      <c r="B106">
        <v>1</v>
      </c>
      <c r="C106">
        <f>ROW(SmtRes!A47)</f>
        <v>47</v>
      </c>
      <c r="D106">
        <f>ROW(EtalonRes!A48)</f>
        <v>48</v>
      </c>
      <c r="E106" t="s">
        <v>127</v>
      </c>
      <c r="F106" t="s">
        <v>128</v>
      </c>
      <c r="G106" t="s">
        <v>129</v>
      </c>
      <c r="H106" t="s">
        <v>130</v>
      </c>
      <c r="I106">
        <f>ROUND(11/100,9)</f>
        <v>0.11</v>
      </c>
      <c r="J106">
        <v>0</v>
      </c>
      <c r="K106">
        <f>ROUND(11/100,9)</f>
        <v>0.11</v>
      </c>
      <c r="O106">
        <f t="shared" si="73"/>
        <v>1272.82</v>
      </c>
      <c r="P106">
        <f t="shared" si="74"/>
        <v>45.78</v>
      </c>
      <c r="Q106">
        <f t="shared" si="75"/>
        <v>160.97</v>
      </c>
      <c r="R106">
        <f t="shared" si="76"/>
        <v>28.86</v>
      </c>
      <c r="S106">
        <f t="shared" si="77"/>
        <v>1066.07</v>
      </c>
      <c r="T106">
        <f t="shared" si="78"/>
        <v>0</v>
      </c>
      <c r="U106">
        <f t="shared" si="79"/>
        <v>3.6406700000000001</v>
      </c>
      <c r="V106">
        <f t="shared" si="80"/>
        <v>6.4624999999999988E-2</v>
      </c>
      <c r="W106">
        <f t="shared" si="81"/>
        <v>0</v>
      </c>
      <c r="X106">
        <f t="shared" si="82"/>
        <v>1160.6300000000001</v>
      </c>
      <c r="Y106">
        <f t="shared" si="82"/>
        <v>591.26</v>
      </c>
      <c r="AA106">
        <v>35822480</v>
      </c>
      <c r="AB106">
        <f t="shared" si="83"/>
        <v>526.58349999999996</v>
      </c>
      <c r="AC106">
        <f t="shared" si="84"/>
        <v>91.27</v>
      </c>
      <c r="AD106">
        <f>ROUND(((((ET106*1.25))-((EU106*1.25)))+AE106),6)</f>
        <v>142.07499999999999</v>
      </c>
      <c r="AE106">
        <f>ROUND(((EU106*1.25)),6)</f>
        <v>7.9375</v>
      </c>
      <c r="AF106">
        <f>ROUND(((EV106*1.15)),6)</f>
        <v>293.23849999999999</v>
      </c>
      <c r="AG106">
        <f t="shared" si="85"/>
        <v>0</v>
      </c>
      <c r="AH106">
        <f>((EW106*1.15))</f>
        <v>33.097000000000001</v>
      </c>
      <c r="AI106">
        <f>((EX106*1.25))</f>
        <v>0.58749999999999991</v>
      </c>
      <c r="AJ106">
        <f t="shared" si="86"/>
        <v>0</v>
      </c>
      <c r="AK106">
        <v>459.92</v>
      </c>
      <c r="AL106">
        <v>91.27</v>
      </c>
      <c r="AM106">
        <v>113.66</v>
      </c>
      <c r="AN106">
        <v>6.35</v>
      </c>
      <c r="AO106">
        <v>254.99</v>
      </c>
      <c r="AP106">
        <v>0</v>
      </c>
      <c r="AQ106">
        <v>28.78</v>
      </c>
      <c r="AR106">
        <v>0.47</v>
      </c>
      <c r="AS106">
        <v>0</v>
      </c>
      <c r="AT106">
        <v>106</v>
      </c>
      <c r="AU106">
        <v>54</v>
      </c>
      <c r="AV106">
        <v>1</v>
      </c>
      <c r="AW106">
        <v>1</v>
      </c>
      <c r="AZ106">
        <v>1</v>
      </c>
      <c r="BA106">
        <v>33.049999999999997</v>
      </c>
      <c r="BB106">
        <v>10.3</v>
      </c>
      <c r="BC106">
        <v>4.5599999999999996</v>
      </c>
      <c r="BD106" t="s">
        <v>3</v>
      </c>
      <c r="BE106" t="s">
        <v>3</v>
      </c>
      <c r="BF106" t="s">
        <v>3</v>
      </c>
      <c r="BG106" t="s">
        <v>3</v>
      </c>
      <c r="BH106">
        <v>0</v>
      </c>
      <c r="BI106">
        <v>1</v>
      </c>
      <c r="BJ106" t="s">
        <v>131</v>
      </c>
      <c r="BM106">
        <v>10001</v>
      </c>
      <c r="BN106">
        <v>0</v>
      </c>
      <c r="BO106" t="s">
        <v>128</v>
      </c>
      <c r="BP106">
        <v>1</v>
      </c>
      <c r="BQ106">
        <v>2</v>
      </c>
      <c r="BR106">
        <v>0</v>
      </c>
      <c r="BS106">
        <v>33.049999999999997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118</v>
      </c>
      <c r="CA106">
        <v>63</v>
      </c>
      <c r="CB106" t="s">
        <v>3</v>
      </c>
      <c r="CE106">
        <v>0</v>
      </c>
      <c r="CF106">
        <v>0</v>
      </c>
      <c r="CG106">
        <v>0</v>
      </c>
      <c r="CM106">
        <v>0</v>
      </c>
      <c r="CN106" t="s">
        <v>468</v>
      </c>
      <c r="CO106">
        <v>0</v>
      </c>
      <c r="CP106">
        <f t="shared" si="87"/>
        <v>1272.82</v>
      </c>
      <c r="CQ106">
        <f t="shared" si="88"/>
        <v>416.19119999999992</v>
      </c>
      <c r="CR106">
        <f t="shared" si="89"/>
        <v>1463.3724999999999</v>
      </c>
      <c r="CS106">
        <f t="shared" si="90"/>
        <v>262.33437499999997</v>
      </c>
      <c r="CT106">
        <f t="shared" si="91"/>
        <v>9691.5324249999994</v>
      </c>
      <c r="CU106">
        <f t="shared" si="92"/>
        <v>0</v>
      </c>
      <c r="CV106">
        <f t="shared" si="92"/>
        <v>33.097000000000001</v>
      </c>
      <c r="CW106">
        <f t="shared" si="92"/>
        <v>0.58749999999999991</v>
      </c>
      <c r="CX106">
        <f t="shared" si="92"/>
        <v>0</v>
      </c>
      <c r="CY106">
        <f t="shared" si="93"/>
        <v>1160.6257999999998</v>
      </c>
      <c r="CZ106">
        <f t="shared" si="94"/>
        <v>591.26219999999989</v>
      </c>
      <c r="DC106" t="s">
        <v>3</v>
      </c>
      <c r="DD106" t="s">
        <v>3</v>
      </c>
      <c r="DE106" t="s">
        <v>117</v>
      </c>
      <c r="DF106" t="s">
        <v>117</v>
      </c>
      <c r="DG106" t="s">
        <v>118</v>
      </c>
      <c r="DH106" t="s">
        <v>3</v>
      </c>
      <c r="DI106" t="s">
        <v>118</v>
      </c>
      <c r="DJ106" t="s">
        <v>117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1013</v>
      </c>
      <c r="DV106" t="s">
        <v>130</v>
      </c>
      <c r="DW106" t="s">
        <v>130</v>
      </c>
      <c r="DX106">
        <v>1</v>
      </c>
      <c r="DZ106" t="s">
        <v>3</v>
      </c>
      <c r="EA106" t="s">
        <v>3</v>
      </c>
      <c r="EB106" t="s">
        <v>3</v>
      </c>
      <c r="EC106" t="s">
        <v>3</v>
      </c>
      <c r="EE106">
        <v>36260426</v>
      </c>
      <c r="EF106">
        <v>2</v>
      </c>
      <c r="EG106" t="s">
        <v>109</v>
      </c>
      <c r="EH106">
        <v>0</v>
      </c>
      <c r="EI106" t="s">
        <v>3</v>
      </c>
      <c r="EJ106">
        <v>1</v>
      </c>
      <c r="EK106">
        <v>10001</v>
      </c>
      <c r="EL106" t="s">
        <v>132</v>
      </c>
      <c r="EM106" t="s">
        <v>133</v>
      </c>
      <c r="EO106" t="s">
        <v>121</v>
      </c>
      <c r="EQ106">
        <v>0</v>
      </c>
      <c r="ER106">
        <v>459.92</v>
      </c>
      <c r="ES106">
        <v>91.27</v>
      </c>
      <c r="ET106">
        <v>113.66</v>
      </c>
      <c r="EU106">
        <v>6.35</v>
      </c>
      <c r="EV106">
        <v>254.99</v>
      </c>
      <c r="EW106">
        <v>28.78</v>
      </c>
      <c r="EX106">
        <v>0.47</v>
      </c>
      <c r="EY106">
        <v>0</v>
      </c>
      <c r="FQ106">
        <v>0</v>
      </c>
      <c r="FR106">
        <f t="shared" si="95"/>
        <v>0</v>
      </c>
      <c r="FS106">
        <v>0</v>
      </c>
      <c r="FT106" t="s">
        <v>111</v>
      </c>
      <c r="FU106" t="s">
        <v>112</v>
      </c>
      <c r="FX106">
        <v>106.2</v>
      </c>
      <c r="FY106">
        <v>53.55</v>
      </c>
      <c r="GA106" t="s">
        <v>3</v>
      </c>
      <c r="GD106">
        <v>1</v>
      </c>
      <c r="GF106">
        <v>1399061588</v>
      </c>
      <c r="GG106">
        <v>2</v>
      </c>
      <c r="GH106">
        <v>1</v>
      </c>
      <c r="GI106">
        <v>2</v>
      </c>
      <c r="GJ106">
        <v>0</v>
      </c>
      <c r="GK106">
        <v>0</v>
      </c>
      <c r="GL106">
        <f t="shared" si="96"/>
        <v>0</v>
      </c>
      <c r="GM106">
        <f t="shared" si="97"/>
        <v>3024.71</v>
      </c>
      <c r="GN106">
        <f t="shared" si="98"/>
        <v>3024.71</v>
      </c>
      <c r="GO106">
        <f t="shared" si="99"/>
        <v>0</v>
      </c>
      <c r="GP106">
        <f t="shared" si="100"/>
        <v>0</v>
      </c>
      <c r="GR106">
        <v>0</v>
      </c>
      <c r="GS106">
        <v>3</v>
      </c>
      <c r="GT106">
        <v>0</v>
      </c>
      <c r="GU106" t="s">
        <v>3</v>
      </c>
      <c r="GV106">
        <f t="shared" si="101"/>
        <v>0</v>
      </c>
      <c r="GW106">
        <v>1</v>
      </c>
      <c r="GX106">
        <f t="shared" si="102"/>
        <v>0</v>
      </c>
      <c r="HA106">
        <v>0</v>
      </c>
      <c r="HB106">
        <v>0</v>
      </c>
      <c r="HC106">
        <f t="shared" si="103"/>
        <v>0</v>
      </c>
      <c r="HE106" t="s">
        <v>3</v>
      </c>
      <c r="HF106" t="s">
        <v>3</v>
      </c>
      <c r="HM106" t="s">
        <v>3</v>
      </c>
      <c r="IK106">
        <v>0</v>
      </c>
    </row>
    <row r="107" spans="1:245">
      <c r="A107">
        <v>17</v>
      </c>
      <c r="B107">
        <v>1</v>
      </c>
      <c r="E107" t="s">
        <v>134</v>
      </c>
      <c r="F107" t="s">
        <v>135</v>
      </c>
      <c r="G107" t="s">
        <v>136</v>
      </c>
      <c r="H107" t="s">
        <v>28</v>
      </c>
      <c r="I107">
        <v>0.09</v>
      </c>
      <c r="J107">
        <v>0</v>
      </c>
      <c r="K107">
        <v>0.09</v>
      </c>
      <c r="O107">
        <f t="shared" si="73"/>
        <v>6834.34</v>
      </c>
      <c r="P107">
        <f t="shared" si="74"/>
        <v>6834.34</v>
      </c>
      <c r="Q107">
        <f t="shared" si="75"/>
        <v>0</v>
      </c>
      <c r="R107">
        <f t="shared" si="76"/>
        <v>0</v>
      </c>
      <c r="S107">
        <f t="shared" si="77"/>
        <v>0</v>
      </c>
      <c r="T107">
        <f t="shared" si="78"/>
        <v>0</v>
      </c>
      <c r="U107">
        <f t="shared" si="79"/>
        <v>0</v>
      </c>
      <c r="V107">
        <f t="shared" si="80"/>
        <v>0</v>
      </c>
      <c r="W107">
        <f t="shared" si="81"/>
        <v>31.59</v>
      </c>
      <c r="X107">
        <f t="shared" si="82"/>
        <v>0</v>
      </c>
      <c r="Y107">
        <f t="shared" si="82"/>
        <v>0</v>
      </c>
      <c r="AA107">
        <v>35822480</v>
      </c>
      <c r="AB107">
        <f t="shared" si="83"/>
        <v>7571</v>
      </c>
      <c r="AC107">
        <f t="shared" si="84"/>
        <v>7571</v>
      </c>
      <c r="AD107">
        <f>ROUND((((ET107)-(EU107))+AE107),6)</f>
        <v>0</v>
      </c>
      <c r="AE107">
        <f>ROUND((EU107),6)</f>
        <v>0</v>
      </c>
      <c r="AF107">
        <f>ROUND((EV107),6)</f>
        <v>0</v>
      </c>
      <c r="AG107">
        <f t="shared" si="85"/>
        <v>0</v>
      </c>
      <c r="AH107">
        <f>(EW107)</f>
        <v>0</v>
      </c>
      <c r="AI107">
        <f>(EX107)</f>
        <v>0</v>
      </c>
      <c r="AJ107">
        <f t="shared" si="86"/>
        <v>351.02</v>
      </c>
      <c r="AK107">
        <v>7571</v>
      </c>
      <c r="AL107">
        <v>7571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351.02</v>
      </c>
      <c r="AT107">
        <v>0</v>
      </c>
      <c r="AU107">
        <v>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10.029999999999999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137</v>
      </c>
      <c r="BM107">
        <v>500001</v>
      </c>
      <c r="BN107">
        <v>0</v>
      </c>
      <c r="BO107" t="s">
        <v>135</v>
      </c>
      <c r="BP107">
        <v>1</v>
      </c>
      <c r="BQ107">
        <v>8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0</v>
      </c>
      <c r="CA107">
        <v>0</v>
      </c>
      <c r="CB107" t="s">
        <v>3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87"/>
        <v>6834.34</v>
      </c>
      <c r="CQ107">
        <f t="shared" si="88"/>
        <v>75937.12999999999</v>
      </c>
      <c r="CR107">
        <f t="shared" si="89"/>
        <v>0</v>
      </c>
      <c r="CS107">
        <f t="shared" si="90"/>
        <v>0</v>
      </c>
      <c r="CT107">
        <f t="shared" si="91"/>
        <v>0</v>
      </c>
      <c r="CU107">
        <f t="shared" si="92"/>
        <v>0</v>
      </c>
      <c r="CV107">
        <f t="shared" si="92"/>
        <v>0</v>
      </c>
      <c r="CW107">
        <f t="shared" si="92"/>
        <v>0</v>
      </c>
      <c r="CX107">
        <f t="shared" si="92"/>
        <v>351.02</v>
      </c>
      <c r="CY107">
        <f t="shared" si="93"/>
        <v>0</v>
      </c>
      <c r="CZ107">
        <f t="shared" si="94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1009</v>
      </c>
      <c r="DV107" t="s">
        <v>28</v>
      </c>
      <c r="DW107" t="s">
        <v>28</v>
      </c>
      <c r="DX107">
        <v>1000</v>
      </c>
      <c r="DZ107" t="s">
        <v>3</v>
      </c>
      <c r="EA107" t="s">
        <v>3</v>
      </c>
      <c r="EB107" t="s">
        <v>3</v>
      </c>
      <c r="EC107" t="s">
        <v>3</v>
      </c>
      <c r="EE107">
        <v>36260359</v>
      </c>
      <c r="EF107">
        <v>8</v>
      </c>
      <c r="EG107" t="s">
        <v>138</v>
      </c>
      <c r="EH107">
        <v>0</v>
      </c>
      <c r="EI107" t="s">
        <v>3</v>
      </c>
      <c r="EJ107">
        <v>1</v>
      </c>
      <c r="EK107">
        <v>500001</v>
      </c>
      <c r="EL107" t="s">
        <v>139</v>
      </c>
      <c r="EM107" t="s">
        <v>140</v>
      </c>
      <c r="EO107" t="s">
        <v>3</v>
      </c>
      <c r="EQ107">
        <v>0</v>
      </c>
      <c r="ER107">
        <v>7571</v>
      </c>
      <c r="ES107">
        <v>7571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FQ107">
        <v>0</v>
      </c>
      <c r="FR107">
        <f t="shared" si="95"/>
        <v>0</v>
      </c>
      <c r="FS107">
        <v>0</v>
      </c>
      <c r="FX107">
        <v>0</v>
      </c>
      <c r="FY107">
        <v>0</v>
      </c>
      <c r="GA107" t="s">
        <v>3</v>
      </c>
      <c r="GD107">
        <v>1</v>
      </c>
      <c r="GF107">
        <v>-576901361</v>
      </c>
      <c r="GG107">
        <v>2</v>
      </c>
      <c r="GH107">
        <v>1</v>
      </c>
      <c r="GI107">
        <v>2</v>
      </c>
      <c r="GJ107">
        <v>0</v>
      </c>
      <c r="GK107">
        <v>0</v>
      </c>
      <c r="GL107">
        <f t="shared" si="96"/>
        <v>0</v>
      </c>
      <c r="GM107">
        <f t="shared" si="97"/>
        <v>6834.34</v>
      </c>
      <c r="GN107">
        <f t="shared" si="98"/>
        <v>6834.34</v>
      </c>
      <c r="GO107">
        <f t="shared" si="99"/>
        <v>0</v>
      </c>
      <c r="GP107">
        <f t="shared" si="100"/>
        <v>0</v>
      </c>
      <c r="GR107">
        <v>0</v>
      </c>
      <c r="GS107">
        <v>3</v>
      </c>
      <c r="GT107">
        <v>0</v>
      </c>
      <c r="GU107" t="s">
        <v>3</v>
      </c>
      <c r="GV107">
        <f t="shared" si="101"/>
        <v>0</v>
      </c>
      <c r="GW107">
        <v>1</v>
      </c>
      <c r="GX107">
        <f t="shared" si="102"/>
        <v>0</v>
      </c>
      <c r="HA107">
        <v>0</v>
      </c>
      <c r="HB107">
        <v>0</v>
      </c>
      <c r="HC107">
        <f t="shared" si="103"/>
        <v>0</v>
      </c>
      <c r="HE107" t="s">
        <v>3</v>
      </c>
      <c r="HF107" t="s">
        <v>3</v>
      </c>
      <c r="HM107" t="s">
        <v>3</v>
      </c>
      <c r="IK107">
        <v>0</v>
      </c>
    </row>
    <row r="108" spans="1:245">
      <c r="A108">
        <v>17</v>
      </c>
      <c r="B108">
        <v>1</v>
      </c>
      <c r="C108">
        <f>ROW(SmtRes!A57)</f>
        <v>57</v>
      </c>
      <c r="D108">
        <f>ROW(EtalonRes!A58)</f>
        <v>58</v>
      </c>
      <c r="E108" t="s">
        <v>141</v>
      </c>
      <c r="F108" t="s">
        <v>142</v>
      </c>
      <c r="G108" t="s">
        <v>143</v>
      </c>
      <c r="H108" t="s">
        <v>41</v>
      </c>
      <c r="I108">
        <f>ROUND(12/100,9)</f>
        <v>0.12</v>
      </c>
      <c r="J108">
        <v>0</v>
      </c>
      <c r="K108">
        <f>ROUND(12/100,9)</f>
        <v>0.12</v>
      </c>
      <c r="O108">
        <f t="shared" si="73"/>
        <v>3649.36</v>
      </c>
      <c r="P108">
        <f t="shared" si="74"/>
        <v>223.87</v>
      </c>
      <c r="Q108">
        <f t="shared" si="75"/>
        <v>229.44</v>
      </c>
      <c r="R108">
        <f t="shared" si="76"/>
        <v>47.12</v>
      </c>
      <c r="S108">
        <f t="shared" si="77"/>
        <v>3196.05</v>
      </c>
      <c r="T108">
        <f t="shared" si="78"/>
        <v>0</v>
      </c>
      <c r="U108">
        <f t="shared" si="79"/>
        <v>9.7483199999999979</v>
      </c>
      <c r="V108">
        <f t="shared" si="80"/>
        <v>0.1056</v>
      </c>
      <c r="W108">
        <f t="shared" si="81"/>
        <v>0</v>
      </c>
      <c r="X108">
        <f t="shared" si="82"/>
        <v>3081.01</v>
      </c>
      <c r="Y108">
        <f t="shared" si="82"/>
        <v>2108.06</v>
      </c>
      <c r="AA108">
        <v>35822480</v>
      </c>
      <c r="AB108">
        <f t="shared" si="83"/>
        <v>1547.4925000000001</v>
      </c>
      <c r="AC108">
        <f t="shared" si="84"/>
        <v>515.36</v>
      </c>
      <c r="AD108">
        <f>ROUND((((ET108)-(EU108))+AE108),6)</f>
        <v>226.27</v>
      </c>
      <c r="AE108">
        <f>ROUND((EU108),6)</f>
        <v>11.88</v>
      </c>
      <c r="AF108">
        <f>ROUND(((EV108*1.15)),6)</f>
        <v>805.86249999999995</v>
      </c>
      <c r="AG108">
        <f t="shared" si="85"/>
        <v>0</v>
      </c>
      <c r="AH108">
        <f>((EW108*1.15))</f>
        <v>81.23599999999999</v>
      </c>
      <c r="AI108">
        <f>(EX108)</f>
        <v>0.88</v>
      </c>
      <c r="AJ108">
        <f t="shared" si="86"/>
        <v>0</v>
      </c>
      <c r="AK108">
        <v>1442.38</v>
      </c>
      <c r="AL108">
        <v>515.36</v>
      </c>
      <c r="AM108">
        <v>226.27</v>
      </c>
      <c r="AN108">
        <v>11.88</v>
      </c>
      <c r="AO108">
        <v>700.75</v>
      </c>
      <c r="AP108">
        <v>0</v>
      </c>
      <c r="AQ108">
        <v>70.64</v>
      </c>
      <c r="AR108">
        <v>0.88</v>
      </c>
      <c r="AS108">
        <v>0</v>
      </c>
      <c r="AT108">
        <v>95</v>
      </c>
      <c r="AU108">
        <v>65</v>
      </c>
      <c r="AV108">
        <v>1</v>
      </c>
      <c r="AW108">
        <v>1</v>
      </c>
      <c r="AZ108">
        <v>1</v>
      </c>
      <c r="BA108">
        <v>33.049999999999997</v>
      </c>
      <c r="BB108">
        <v>8.4499999999999993</v>
      </c>
      <c r="BC108">
        <v>3.62</v>
      </c>
      <c r="BD108" t="s">
        <v>3</v>
      </c>
      <c r="BE108" t="s">
        <v>3</v>
      </c>
      <c r="BF108" t="s">
        <v>3</v>
      </c>
      <c r="BG108" t="s">
        <v>3</v>
      </c>
      <c r="BH108">
        <v>0</v>
      </c>
      <c r="BI108">
        <v>2</v>
      </c>
      <c r="BJ108" t="s">
        <v>144</v>
      </c>
      <c r="BM108">
        <v>108001</v>
      </c>
      <c r="BN108">
        <v>0</v>
      </c>
      <c r="BO108" t="s">
        <v>142</v>
      </c>
      <c r="BP108">
        <v>1</v>
      </c>
      <c r="BQ108">
        <v>3</v>
      </c>
      <c r="BR108">
        <v>0</v>
      </c>
      <c r="BS108">
        <v>33.049999999999997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95</v>
      </c>
      <c r="CA108">
        <v>65</v>
      </c>
      <c r="CB108" t="s">
        <v>3</v>
      </c>
      <c r="CE108">
        <v>0</v>
      </c>
      <c r="CF108">
        <v>0</v>
      </c>
      <c r="CG108">
        <v>0</v>
      </c>
      <c r="CM108">
        <v>0</v>
      </c>
      <c r="CN108" t="s">
        <v>469</v>
      </c>
      <c r="CO108">
        <v>0</v>
      </c>
      <c r="CP108">
        <f t="shared" si="87"/>
        <v>3649.36</v>
      </c>
      <c r="CQ108">
        <f t="shared" si="88"/>
        <v>1865.6032</v>
      </c>
      <c r="CR108">
        <f t="shared" si="89"/>
        <v>1911.9814999999999</v>
      </c>
      <c r="CS108">
        <f t="shared" si="90"/>
        <v>392.63400000000001</v>
      </c>
      <c r="CT108">
        <f t="shared" si="91"/>
        <v>26633.755624999998</v>
      </c>
      <c r="CU108">
        <f t="shared" si="92"/>
        <v>0</v>
      </c>
      <c r="CV108">
        <f t="shared" si="92"/>
        <v>81.23599999999999</v>
      </c>
      <c r="CW108">
        <f t="shared" si="92"/>
        <v>0.88</v>
      </c>
      <c r="CX108">
        <f t="shared" si="92"/>
        <v>0</v>
      </c>
      <c r="CY108">
        <f t="shared" si="93"/>
        <v>3081.0115000000001</v>
      </c>
      <c r="CZ108">
        <f t="shared" si="94"/>
        <v>2108.0605</v>
      </c>
      <c r="DC108" t="s">
        <v>3</v>
      </c>
      <c r="DD108" t="s">
        <v>3</v>
      </c>
      <c r="DE108" t="s">
        <v>3</v>
      </c>
      <c r="DF108" t="s">
        <v>3</v>
      </c>
      <c r="DG108" t="s">
        <v>118</v>
      </c>
      <c r="DH108" t="s">
        <v>3</v>
      </c>
      <c r="DI108" t="s">
        <v>118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1010</v>
      </c>
      <c r="DV108" t="s">
        <v>41</v>
      </c>
      <c r="DW108" t="s">
        <v>41</v>
      </c>
      <c r="DX108">
        <v>100</v>
      </c>
      <c r="DZ108" t="s">
        <v>3</v>
      </c>
      <c r="EA108" t="s">
        <v>3</v>
      </c>
      <c r="EB108" t="s">
        <v>3</v>
      </c>
      <c r="EC108" t="s">
        <v>3</v>
      </c>
      <c r="EE108">
        <v>36260309</v>
      </c>
      <c r="EF108">
        <v>3</v>
      </c>
      <c r="EG108" t="s">
        <v>145</v>
      </c>
      <c r="EH108">
        <v>0</v>
      </c>
      <c r="EI108" t="s">
        <v>3</v>
      </c>
      <c r="EJ108">
        <v>2</v>
      </c>
      <c r="EK108">
        <v>108001</v>
      </c>
      <c r="EL108" t="s">
        <v>146</v>
      </c>
      <c r="EM108" t="s">
        <v>147</v>
      </c>
      <c r="EO108" t="s">
        <v>126</v>
      </c>
      <c r="EQ108">
        <v>0</v>
      </c>
      <c r="ER108">
        <v>1442.38</v>
      </c>
      <c r="ES108">
        <v>515.36</v>
      </c>
      <c r="ET108">
        <v>226.27</v>
      </c>
      <c r="EU108">
        <v>11.88</v>
      </c>
      <c r="EV108">
        <v>700.75</v>
      </c>
      <c r="EW108">
        <v>70.64</v>
      </c>
      <c r="EX108">
        <v>0.88</v>
      </c>
      <c r="EY108">
        <v>0</v>
      </c>
      <c r="FQ108">
        <v>0</v>
      </c>
      <c r="FR108">
        <f t="shared" si="95"/>
        <v>0</v>
      </c>
      <c r="FS108">
        <v>0</v>
      </c>
      <c r="FX108">
        <v>95</v>
      </c>
      <c r="FY108">
        <v>65</v>
      </c>
      <c r="GA108" t="s">
        <v>3</v>
      </c>
      <c r="GD108">
        <v>1</v>
      </c>
      <c r="GF108">
        <v>306217005</v>
      </c>
      <c r="GG108">
        <v>2</v>
      </c>
      <c r="GH108">
        <v>1</v>
      </c>
      <c r="GI108">
        <v>2</v>
      </c>
      <c r="GJ108">
        <v>0</v>
      </c>
      <c r="GK108">
        <v>0</v>
      </c>
      <c r="GL108">
        <f t="shared" si="96"/>
        <v>0</v>
      </c>
      <c r="GM108">
        <f t="shared" si="97"/>
        <v>8838.43</v>
      </c>
      <c r="GN108">
        <f t="shared" si="98"/>
        <v>0</v>
      </c>
      <c r="GO108">
        <f t="shared" si="99"/>
        <v>8838.43</v>
      </c>
      <c r="GP108">
        <f t="shared" si="100"/>
        <v>0</v>
      </c>
      <c r="GR108">
        <v>0</v>
      </c>
      <c r="GS108">
        <v>3</v>
      </c>
      <c r="GT108">
        <v>0</v>
      </c>
      <c r="GU108" t="s">
        <v>3</v>
      </c>
      <c r="GV108">
        <f t="shared" si="101"/>
        <v>0</v>
      </c>
      <c r="GW108">
        <v>1</v>
      </c>
      <c r="GX108">
        <f t="shared" si="102"/>
        <v>0</v>
      </c>
      <c r="HA108">
        <v>0</v>
      </c>
      <c r="HB108">
        <v>0</v>
      </c>
      <c r="HC108">
        <f t="shared" si="103"/>
        <v>0</v>
      </c>
      <c r="HE108" t="s">
        <v>3</v>
      </c>
      <c r="HF108" t="s">
        <v>3</v>
      </c>
      <c r="HM108" t="s">
        <v>3</v>
      </c>
      <c r="IK108">
        <v>0</v>
      </c>
    </row>
    <row r="109" spans="1:245">
      <c r="A109">
        <v>17</v>
      </c>
      <c r="B109">
        <v>1</v>
      </c>
      <c r="C109">
        <f>ROW(SmtRes!A61)</f>
        <v>61</v>
      </c>
      <c r="D109">
        <f>ROW(EtalonRes!A62)</f>
        <v>62</v>
      </c>
      <c r="E109" t="s">
        <v>148</v>
      </c>
      <c r="F109" t="s">
        <v>149</v>
      </c>
      <c r="G109" t="s">
        <v>150</v>
      </c>
      <c r="H109" t="s">
        <v>151</v>
      </c>
      <c r="I109">
        <f>ROUND(38/100,9)</f>
        <v>0.38</v>
      </c>
      <c r="J109">
        <v>0</v>
      </c>
      <c r="K109">
        <f>ROUND(38/100,9)</f>
        <v>0.38</v>
      </c>
      <c r="O109">
        <f t="shared" si="73"/>
        <v>16819.11</v>
      </c>
      <c r="P109">
        <f t="shared" si="74"/>
        <v>13550.98</v>
      </c>
      <c r="Q109">
        <f t="shared" si="75"/>
        <v>26.58</v>
      </c>
      <c r="R109">
        <f t="shared" si="76"/>
        <v>0</v>
      </c>
      <c r="S109">
        <f t="shared" si="77"/>
        <v>3241.55</v>
      </c>
      <c r="T109">
        <f t="shared" si="78"/>
        <v>0</v>
      </c>
      <c r="U109">
        <f t="shared" si="79"/>
        <v>10.3132</v>
      </c>
      <c r="V109">
        <f t="shared" si="80"/>
        <v>0</v>
      </c>
      <c r="W109">
        <f t="shared" si="81"/>
        <v>0</v>
      </c>
      <c r="X109">
        <f t="shared" si="82"/>
        <v>3598.12</v>
      </c>
      <c r="Y109">
        <f t="shared" si="82"/>
        <v>2074.59</v>
      </c>
      <c r="AA109">
        <v>35822480</v>
      </c>
      <c r="AB109">
        <f t="shared" si="83"/>
        <v>2758.3834999999999</v>
      </c>
      <c r="AC109">
        <f t="shared" si="84"/>
        <v>2493.7399999999998</v>
      </c>
      <c r="AD109">
        <f>ROUND(((((ET109*1.25))-((EU109*1.25)))+AE109),6)</f>
        <v>6.5374999999999996</v>
      </c>
      <c r="AE109">
        <f>ROUND(((EU109*1.25)),6)</f>
        <v>0</v>
      </c>
      <c r="AF109">
        <f>ROUND(((EV109*1.15)),6)</f>
        <v>258.10599999999999</v>
      </c>
      <c r="AG109">
        <f t="shared" si="85"/>
        <v>0</v>
      </c>
      <c r="AH109">
        <f>((EW109*1.15))</f>
        <v>27.14</v>
      </c>
      <c r="AI109">
        <f>((EX109*1.25))</f>
        <v>0</v>
      </c>
      <c r="AJ109">
        <f t="shared" si="86"/>
        <v>0</v>
      </c>
      <c r="AK109">
        <v>2723.41</v>
      </c>
      <c r="AL109">
        <v>2493.7399999999998</v>
      </c>
      <c r="AM109">
        <v>5.23</v>
      </c>
      <c r="AN109">
        <v>0</v>
      </c>
      <c r="AO109">
        <v>224.44</v>
      </c>
      <c r="AP109">
        <v>0</v>
      </c>
      <c r="AQ109">
        <v>23.6</v>
      </c>
      <c r="AR109">
        <v>0</v>
      </c>
      <c r="AS109">
        <v>0</v>
      </c>
      <c r="AT109">
        <v>111</v>
      </c>
      <c r="AU109">
        <v>64</v>
      </c>
      <c r="AV109">
        <v>1</v>
      </c>
      <c r="AW109">
        <v>1</v>
      </c>
      <c r="AZ109">
        <v>1</v>
      </c>
      <c r="BA109">
        <v>33.049999999999997</v>
      </c>
      <c r="BB109">
        <v>10.7</v>
      </c>
      <c r="BC109">
        <v>14.3</v>
      </c>
      <c r="BD109" t="s">
        <v>3</v>
      </c>
      <c r="BE109" t="s">
        <v>3</v>
      </c>
      <c r="BF109" t="s">
        <v>3</v>
      </c>
      <c r="BG109" t="s">
        <v>3</v>
      </c>
      <c r="BH109">
        <v>0</v>
      </c>
      <c r="BI109">
        <v>1</v>
      </c>
      <c r="BJ109" t="s">
        <v>152</v>
      </c>
      <c r="BM109">
        <v>11001</v>
      </c>
      <c r="BN109">
        <v>0</v>
      </c>
      <c r="BO109" t="s">
        <v>149</v>
      </c>
      <c r="BP109">
        <v>1</v>
      </c>
      <c r="BQ109">
        <v>2</v>
      </c>
      <c r="BR109">
        <v>0</v>
      </c>
      <c r="BS109">
        <v>33.049999999999997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123</v>
      </c>
      <c r="CA109">
        <v>75</v>
      </c>
      <c r="CB109" t="s">
        <v>3</v>
      </c>
      <c r="CE109">
        <v>0</v>
      </c>
      <c r="CF109">
        <v>0</v>
      </c>
      <c r="CG109">
        <v>0</v>
      </c>
      <c r="CM109">
        <v>0</v>
      </c>
      <c r="CN109" t="s">
        <v>468</v>
      </c>
      <c r="CO109">
        <v>0</v>
      </c>
      <c r="CP109">
        <f t="shared" si="87"/>
        <v>16819.11</v>
      </c>
      <c r="CQ109">
        <f t="shared" si="88"/>
        <v>35660.481999999996</v>
      </c>
      <c r="CR109">
        <f t="shared" si="89"/>
        <v>69.951249999999987</v>
      </c>
      <c r="CS109">
        <f t="shared" si="90"/>
        <v>0</v>
      </c>
      <c r="CT109">
        <f t="shared" si="91"/>
        <v>8530.4032999999999</v>
      </c>
      <c r="CU109">
        <f t="shared" si="92"/>
        <v>0</v>
      </c>
      <c r="CV109">
        <f t="shared" si="92"/>
        <v>27.14</v>
      </c>
      <c r="CW109">
        <f t="shared" si="92"/>
        <v>0</v>
      </c>
      <c r="CX109">
        <f t="shared" si="92"/>
        <v>0</v>
      </c>
      <c r="CY109">
        <f t="shared" si="93"/>
        <v>3598.1205000000004</v>
      </c>
      <c r="CZ109">
        <f t="shared" si="94"/>
        <v>2074.5920000000001</v>
      </c>
      <c r="DC109" t="s">
        <v>3</v>
      </c>
      <c r="DD109" t="s">
        <v>3</v>
      </c>
      <c r="DE109" t="s">
        <v>117</v>
      </c>
      <c r="DF109" t="s">
        <v>117</v>
      </c>
      <c r="DG109" t="s">
        <v>118</v>
      </c>
      <c r="DH109" t="s">
        <v>3</v>
      </c>
      <c r="DI109" t="s">
        <v>118</v>
      </c>
      <c r="DJ109" t="s">
        <v>117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151</v>
      </c>
      <c r="DW109" t="s">
        <v>151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36260427</v>
      </c>
      <c r="EF109">
        <v>2</v>
      </c>
      <c r="EG109" t="s">
        <v>109</v>
      </c>
      <c r="EH109">
        <v>0</v>
      </c>
      <c r="EI109" t="s">
        <v>3</v>
      </c>
      <c r="EJ109">
        <v>1</v>
      </c>
      <c r="EK109">
        <v>11001</v>
      </c>
      <c r="EL109" t="s">
        <v>23</v>
      </c>
      <c r="EM109" t="s">
        <v>110</v>
      </c>
      <c r="EO109" t="s">
        <v>121</v>
      </c>
      <c r="EQ109">
        <v>0</v>
      </c>
      <c r="ER109">
        <v>2723.41</v>
      </c>
      <c r="ES109">
        <v>2493.7399999999998</v>
      </c>
      <c r="ET109">
        <v>5.23</v>
      </c>
      <c r="EU109">
        <v>0</v>
      </c>
      <c r="EV109">
        <v>224.44</v>
      </c>
      <c r="EW109">
        <v>23.6</v>
      </c>
      <c r="EX109">
        <v>0</v>
      </c>
      <c r="EY109">
        <v>0</v>
      </c>
      <c r="FQ109">
        <v>0</v>
      </c>
      <c r="FR109">
        <f t="shared" si="95"/>
        <v>0</v>
      </c>
      <c r="FS109">
        <v>0</v>
      </c>
      <c r="FT109" t="s">
        <v>111</v>
      </c>
      <c r="FU109" t="s">
        <v>112</v>
      </c>
      <c r="FX109">
        <v>110.7</v>
      </c>
      <c r="FY109">
        <v>63.75</v>
      </c>
      <c r="GA109" t="s">
        <v>3</v>
      </c>
      <c r="GD109">
        <v>1</v>
      </c>
      <c r="GF109">
        <v>-1776626983</v>
      </c>
      <c r="GG109">
        <v>2</v>
      </c>
      <c r="GH109">
        <v>1</v>
      </c>
      <c r="GI109">
        <v>2</v>
      </c>
      <c r="GJ109">
        <v>0</v>
      </c>
      <c r="GK109">
        <v>0</v>
      </c>
      <c r="GL109">
        <f t="shared" si="96"/>
        <v>0</v>
      </c>
      <c r="GM109">
        <f t="shared" si="97"/>
        <v>22491.82</v>
      </c>
      <c r="GN109">
        <f t="shared" si="98"/>
        <v>22491.82</v>
      </c>
      <c r="GO109">
        <f t="shared" si="99"/>
        <v>0</v>
      </c>
      <c r="GP109">
        <f t="shared" si="100"/>
        <v>0</v>
      </c>
      <c r="GR109">
        <v>0</v>
      </c>
      <c r="GS109">
        <v>3</v>
      </c>
      <c r="GT109">
        <v>0</v>
      </c>
      <c r="GU109" t="s">
        <v>3</v>
      </c>
      <c r="GV109">
        <f t="shared" si="101"/>
        <v>0</v>
      </c>
      <c r="GW109">
        <v>1</v>
      </c>
      <c r="GX109">
        <f t="shared" si="102"/>
        <v>0</v>
      </c>
      <c r="HA109">
        <v>0</v>
      </c>
      <c r="HB109">
        <v>0</v>
      </c>
      <c r="HC109">
        <f t="shared" si="103"/>
        <v>0</v>
      </c>
      <c r="HE109" t="s">
        <v>3</v>
      </c>
      <c r="HF109" t="s">
        <v>3</v>
      </c>
      <c r="HM109" t="s">
        <v>3</v>
      </c>
      <c r="IK109">
        <v>0</v>
      </c>
    </row>
    <row r="111" spans="1:245">
      <c r="A111" s="2">
        <v>51</v>
      </c>
      <c r="B111" s="2">
        <f>B99</f>
        <v>1</v>
      </c>
      <c r="C111" s="2">
        <f>A99</f>
        <v>4</v>
      </c>
      <c r="D111" s="2">
        <f>ROW(A99)</f>
        <v>99</v>
      </c>
      <c r="E111" s="2"/>
      <c r="F111" s="2" t="str">
        <f>IF(F99&lt;&gt;"",F99,"")</f>
        <v>Новый раздел</v>
      </c>
      <c r="G111" s="2" t="str">
        <f>IF(G99&lt;&gt;"",G99,"")</f>
        <v>пол</v>
      </c>
      <c r="H111" s="2">
        <v>0</v>
      </c>
      <c r="I111" s="2"/>
      <c r="J111" s="2"/>
      <c r="K111" s="2"/>
      <c r="L111" s="2"/>
      <c r="M111" s="2"/>
      <c r="N111" s="2"/>
      <c r="O111" s="2">
        <f t="shared" ref="O111:T111" si="104">ROUND(AB111,2)</f>
        <v>99898.55</v>
      </c>
      <c r="P111" s="2">
        <f t="shared" si="104"/>
        <v>48978.13</v>
      </c>
      <c r="Q111" s="2">
        <f t="shared" si="104"/>
        <v>1474.13</v>
      </c>
      <c r="R111" s="2">
        <f t="shared" si="104"/>
        <v>836.15</v>
      </c>
      <c r="S111" s="2">
        <f t="shared" si="104"/>
        <v>49446.29</v>
      </c>
      <c r="T111" s="2">
        <f t="shared" si="104"/>
        <v>0</v>
      </c>
      <c r="U111" s="2">
        <f>AH111</f>
        <v>164.33468999999999</v>
      </c>
      <c r="V111" s="2">
        <f>AI111</f>
        <v>2.2177249999999997</v>
      </c>
      <c r="W111" s="2">
        <f>ROUND(AJ111,2)</f>
        <v>31.59</v>
      </c>
      <c r="X111" s="2">
        <f>ROUND(AK111,2)</f>
        <v>49923.83</v>
      </c>
      <c r="Y111" s="2">
        <f>ROUND(AL111,2)</f>
        <v>26455.42</v>
      </c>
      <c r="Z111" s="2"/>
      <c r="AA111" s="2"/>
      <c r="AB111" s="2">
        <f>ROUND(SUMIF(AA103:AA109,"=35822480",O103:O109),2)</f>
        <v>99898.55</v>
      </c>
      <c r="AC111" s="2">
        <f>ROUND(SUMIF(AA103:AA109,"=35822480",P103:P109),2)</f>
        <v>48978.13</v>
      </c>
      <c r="AD111" s="2">
        <f>ROUND(SUMIF(AA103:AA109,"=35822480",Q103:Q109),2)</f>
        <v>1474.13</v>
      </c>
      <c r="AE111" s="2">
        <f>ROUND(SUMIF(AA103:AA109,"=35822480",R103:R109),2)</f>
        <v>836.15</v>
      </c>
      <c r="AF111" s="2">
        <f>ROUND(SUMIF(AA103:AA109,"=35822480",S103:S109),2)</f>
        <v>49446.29</v>
      </c>
      <c r="AG111" s="2">
        <f>ROUND(SUMIF(AA103:AA109,"=35822480",T103:T109),2)</f>
        <v>0</v>
      </c>
      <c r="AH111" s="2">
        <f>SUMIF(AA103:AA109,"=35822480",U103:U109)</f>
        <v>164.33468999999999</v>
      </c>
      <c r="AI111" s="2">
        <f>SUMIF(AA103:AA109,"=35822480",V103:V109)</f>
        <v>2.2177249999999997</v>
      </c>
      <c r="AJ111" s="2">
        <f>ROUND(SUMIF(AA103:AA109,"=35822480",W103:W109),2)</f>
        <v>31.59</v>
      </c>
      <c r="AK111" s="2">
        <f>ROUND(SUMIF(AA103:AA109,"=35822480",X103:X109),2)</f>
        <v>49923.83</v>
      </c>
      <c r="AL111" s="2">
        <f>ROUND(SUMIF(AA103:AA109,"=35822480",Y103:Y109),2)</f>
        <v>26455.42</v>
      </c>
      <c r="AM111" s="2"/>
      <c r="AN111" s="2"/>
      <c r="AO111" s="2">
        <f t="shared" ref="AO111:BD111" si="105">ROUND(BX111,2)</f>
        <v>0</v>
      </c>
      <c r="AP111" s="2">
        <f t="shared" si="105"/>
        <v>0</v>
      </c>
      <c r="AQ111" s="2">
        <f t="shared" si="105"/>
        <v>0</v>
      </c>
      <c r="AR111" s="2">
        <f t="shared" si="105"/>
        <v>176277.8</v>
      </c>
      <c r="AS111" s="2">
        <f t="shared" si="105"/>
        <v>167439.37</v>
      </c>
      <c r="AT111" s="2">
        <f t="shared" si="105"/>
        <v>8838.43</v>
      </c>
      <c r="AU111" s="2">
        <f t="shared" si="105"/>
        <v>0</v>
      </c>
      <c r="AV111" s="2">
        <f t="shared" si="105"/>
        <v>48978.13</v>
      </c>
      <c r="AW111" s="2">
        <f t="shared" si="105"/>
        <v>48978.13</v>
      </c>
      <c r="AX111" s="2">
        <f t="shared" si="105"/>
        <v>0</v>
      </c>
      <c r="AY111" s="2">
        <f t="shared" si="105"/>
        <v>48978.13</v>
      </c>
      <c r="AZ111" s="2">
        <f t="shared" si="105"/>
        <v>0</v>
      </c>
      <c r="BA111" s="2">
        <f t="shared" si="105"/>
        <v>0</v>
      </c>
      <c r="BB111" s="2">
        <f t="shared" si="105"/>
        <v>0</v>
      </c>
      <c r="BC111" s="2">
        <f t="shared" si="105"/>
        <v>0</v>
      </c>
      <c r="BD111" s="2">
        <f t="shared" si="105"/>
        <v>0</v>
      </c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>
        <f>ROUND(SUMIF(AA103:AA109,"=35822480",FQ103:FQ109),2)</f>
        <v>0</v>
      </c>
      <c r="BY111" s="2">
        <f>ROUND(SUMIF(AA103:AA109,"=35822480",FR103:FR109),2)</f>
        <v>0</v>
      </c>
      <c r="BZ111" s="2">
        <f>ROUND(SUMIF(AA103:AA109,"=35822480",GL103:GL109),2)</f>
        <v>0</v>
      </c>
      <c r="CA111" s="2">
        <f>ROUND(SUMIF(AA103:AA109,"=35822480",GM103:GM109),2)</f>
        <v>176277.8</v>
      </c>
      <c r="CB111" s="2">
        <f>ROUND(SUMIF(AA103:AA109,"=35822480",GN103:GN109),2)</f>
        <v>167439.37</v>
      </c>
      <c r="CC111" s="2">
        <f>ROUND(SUMIF(AA103:AA109,"=35822480",GO103:GO109),2)</f>
        <v>8838.43</v>
      </c>
      <c r="CD111" s="2">
        <f>ROUND(SUMIF(AA103:AA109,"=35822480",GP103:GP109),2)</f>
        <v>0</v>
      </c>
      <c r="CE111" s="2">
        <f>AC111-BX111</f>
        <v>48978.13</v>
      </c>
      <c r="CF111" s="2">
        <f>AC111-BY111</f>
        <v>48978.13</v>
      </c>
      <c r="CG111" s="2">
        <f>BX111-BZ111</f>
        <v>0</v>
      </c>
      <c r="CH111" s="2">
        <f>AC111-BX111-BY111+BZ111</f>
        <v>48978.13</v>
      </c>
      <c r="CI111" s="2">
        <f>BY111-BZ111</f>
        <v>0</v>
      </c>
      <c r="CJ111" s="2">
        <f>ROUND(SUMIF(AA103:AA109,"=35822480",GX103:GX109),2)</f>
        <v>0</v>
      </c>
      <c r="CK111" s="2">
        <f>ROUND(SUMIF(AA103:AA109,"=35822480",GY103:GY109),2)</f>
        <v>0</v>
      </c>
      <c r="CL111" s="2">
        <f>ROUND(SUMIF(AA103:AA109,"=35822480",GZ103:GZ109),2)</f>
        <v>0</v>
      </c>
      <c r="CM111" s="2">
        <f>ROUND(SUMIF(AA103:AA109,"=35822480",HD103:HD109),2)</f>
        <v>0</v>
      </c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>
        <v>0</v>
      </c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201</v>
      </c>
      <c r="F113" s="4">
        <f>ROUND(Source!O111,O113)</f>
        <v>99898.55</v>
      </c>
      <c r="G113" s="4" t="s">
        <v>49</v>
      </c>
      <c r="H113" s="4" t="s">
        <v>50</v>
      </c>
      <c r="I113" s="4"/>
      <c r="J113" s="4"/>
      <c r="K113" s="4">
        <v>201</v>
      </c>
      <c r="L113" s="4">
        <v>1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202</v>
      </c>
      <c r="F114" s="4">
        <f>ROUND(Source!P111,O114)</f>
        <v>48978.13</v>
      </c>
      <c r="G114" s="4" t="s">
        <v>51</v>
      </c>
      <c r="H114" s="4" t="s">
        <v>52</v>
      </c>
      <c r="I114" s="4"/>
      <c r="J114" s="4"/>
      <c r="K114" s="4">
        <v>202</v>
      </c>
      <c r="L114" s="4">
        <v>2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222</v>
      </c>
      <c r="F115" s="4">
        <f>ROUND(Source!AO111,O115)</f>
        <v>0</v>
      </c>
      <c r="G115" s="4" t="s">
        <v>53</v>
      </c>
      <c r="H115" s="4" t="s">
        <v>54</v>
      </c>
      <c r="I115" s="4"/>
      <c r="J115" s="4"/>
      <c r="K115" s="4">
        <v>222</v>
      </c>
      <c r="L115" s="4">
        <v>3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225</v>
      </c>
      <c r="F116" s="4">
        <f>ROUND(Source!AV111,O116)</f>
        <v>48978.13</v>
      </c>
      <c r="G116" s="4" t="s">
        <v>55</v>
      </c>
      <c r="H116" s="4" t="s">
        <v>56</v>
      </c>
      <c r="I116" s="4"/>
      <c r="J116" s="4"/>
      <c r="K116" s="4">
        <v>225</v>
      </c>
      <c r="L116" s="4">
        <v>4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226</v>
      </c>
      <c r="F117" s="4">
        <f>ROUND(Source!AW111,O117)</f>
        <v>48978.13</v>
      </c>
      <c r="G117" s="4" t="s">
        <v>57</v>
      </c>
      <c r="H117" s="4" t="s">
        <v>58</v>
      </c>
      <c r="I117" s="4"/>
      <c r="J117" s="4"/>
      <c r="K117" s="4">
        <v>226</v>
      </c>
      <c r="L117" s="4">
        <v>5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227</v>
      </c>
      <c r="F118" s="4">
        <f>ROUND(Source!AX111,O118)</f>
        <v>0</v>
      </c>
      <c r="G118" s="4" t="s">
        <v>59</v>
      </c>
      <c r="H118" s="4" t="s">
        <v>60</v>
      </c>
      <c r="I118" s="4"/>
      <c r="J118" s="4"/>
      <c r="K118" s="4">
        <v>227</v>
      </c>
      <c r="L118" s="4">
        <v>6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228</v>
      </c>
      <c r="F119" s="4">
        <f>ROUND(Source!AY111,O119)</f>
        <v>48978.13</v>
      </c>
      <c r="G119" s="4" t="s">
        <v>61</v>
      </c>
      <c r="H119" s="4" t="s">
        <v>62</v>
      </c>
      <c r="I119" s="4"/>
      <c r="J119" s="4"/>
      <c r="K119" s="4">
        <v>228</v>
      </c>
      <c r="L119" s="4">
        <v>7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216</v>
      </c>
      <c r="F120" s="4">
        <f>ROUND(Source!AP111,O120)</f>
        <v>0</v>
      </c>
      <c r="G120" s="4" t="s">
        <v>63</v>
      </c>
      <c r="H120" s="4" t="s">
        <v>64</v>
      </c>
      <c r="I120" s="4"/>
      <c r="J120" s="4"/>
      <c r="K120" s="4">
        <v>216</v>
      </c>
      <c r="L120" s="4">
        <v>8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223</v>
      </c>
      <c r="F121" s="4">
        <f>ROUND(Source!AQ111,O121)</f>
        <v>0</v>
      </c>
      <c r="G121" s="4" t="s">
        <v>65</v>
      </c>
      <c r="H121" s="4" t="s">
        <v>66</v>
      </c>
      <c r="I121" s="4"/>
      <c r="J121" s="4"/>
      <c r="K121" s="4">
        <v>223</v>
      </c>
      <c r="L121" s="4">
        <v>9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229</v>
      </c>
      <c r="F122" s="4">
        <f>ROUND(Source!AZ111,O122)</f>
        <v>0</v>
      </c>
      <c r="G122" s="4" t="s">
        <v>67</v>
      </c>
      <c r="H122" s="4" t="s">
        <v>68</v>
      </c>
      <c r="I122" s="4"/>
      <c r="J122" s="4"/>
      <c r="K122" s="4">
        <v>229</v>
      </c>
      <c r="L122" s="4">
        <v>10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203</v>
      </c>
      <c r="F123" s="4">
        <f>ROUND(Source!Q111,O123)</f>
        <v>1474.13</v>
      </c>
      <c r="G123" s="4" t="s">
        <v>69</v>
      </c>
      <c r="H123" s="4" t="s">
        <v>70</v>
      </c>
      <c r="I123" s="4"/>
      <c r="J123" s="4"/>
      <c r="K123" s="4">
        <v>203</v>
      </c>
      <c r="L123" s="4">
        <v>11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231</v>
      </c>
      <c r="F124" s="4">
        <f>ROUND(Source!BB111,O124)</f>
        <v>0</v>
      </c>
      <c r="G124" s="4" t="s">
        <v>71</v>
      </c>
      <c r="H124" s="4" t="s">
        <v>72</v>
      </c>
      <c r="I124" s="4"/>
      <c r="J124" s="4"/>
      <c r="K124" s="4">
        <v>231</v>
      </c>
      <c r="L124" s="4">
        <v>12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204</v>
      </c>
      <c r="F125" s="4">
        <f>ROUND(Source!R111,O125)</f>
        <v>836.15</v>
      </c>
      <c r="G125" s="4" t="s">
        <v>73</v>
      </c>
      <c r="H125" s="4" t="s">
        <v>74</v>
      </c>
      <c r="I125" s="4"/>
      <c r="J125" s="4"/>
      <c r="K125" s="4">
        <v>204</v>
      </c>
      <c r="L125" s="4">
        <v>13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205</v>
      </c>
      <c r="F126" s="4">
        <f>ROUND(Source!S111,O126)</f>
        <v>49446.29</v>
      </c>
      <c r="G126" s="4" t="s">
        <v>75</v>
      </c>
      <c r="H126" s="4" t="s">
        <v>76</v>
      </c>
      <c r="I126" s="4"/>
      <c r="J126" s="4"/>
      <c r="K126" s="4">
        <v>205</v>
      </c>
      <c r="L126" s="4">
        <v>14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232</v>
      </c>
      <c r="F127" s="4">
        <f>ROUND(Source!BC111,O127)</f>
        <v>0</v>
      </c>
      <c r="G127" s="4" t="s">
        <v>77</v>
      </c>
      <c r="H127" s="4" t="s">
        <v>78</v>
      </c>
      <c r="I127" s="4"/>
      <c r="J127" s="4"/>
      <c r="K127" s="4">
        <v>232</v>
      </c>
      <c r="L127" s="4">
        <v>15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214</v>
      </c>
      <c r="F128" s="4">
        <f>ROUND(Source!AS111,O128)</f>
        <v>167439.37</v>
      </c>
      <c r="G128" s="4" t="s">
        <v>79</v>
      </c>
      <c r="H128" s="4" t="s">
        <v>80</v>
      </c>
      <c r="I128" s="4"/>
      <c r="J128" s="4"/>
      <c r="K128" s="4">
        <v>214</v>
      </c>
      <c r="L128" s="4">
        <v>16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06">
      <c r="A129" s="4">
        <v>50</v>
      </c>
      <c r="B129" s="4">
        <v>0</v>
      </c>
      <c r="C129" s="4">
        <v>0</v>
      </c>
      <c r="D129" s="4">
        <v>1</v>
      </c>
      <c r="E129" s="4">
        <v>215</v>
      </c>
      <c r="F129" s="4">
        <f>ROUND(Source!AT111,O129)</f>
        <v>8838.43</v>
      </c>
      <c r="G129" s="4" t="s">
        <v>81</v>
      </c>
      <c r="H129" s="4" t="s">
        <v>82</v>
      </c>
      <c r="I129" s="4"/>
      <c r="J129" s="4"/>
      <c r="K129" s="4">
        <v>215</v>
      </c>
      <c r="L129" s="4">
        <v>17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06">
      <c r="A130" s="4">
        <v>50</v>
      </c>
      <c r="B130" s="4">
        <v>0</v>
      </c>
      <c r="C130" s="4">
        <v>0</v>
      </c>
      <c r="D130" s="4">
        <v>1</v>
      </c>
      <c r="E130" s="4">
        <v>217</v>
      </c>
      <c r="F130" s="4">
        <f>ROUND(Source!AU111,O130)</f>
        <v>0</v>
      </c>
      <c r="G130" s="4" t="s">
        <v>83</v>
      </c>
      <c r="H130" s="4" t="s">
        <v>84</v>
      </c>
      <c r="I130" s="4"/>
      <c r="J130" s="4"/>
      <c r="K130" s="4">
        <v>217</v>
      </c>
      <c r="L130" s="4">
        <v>18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06">
      <c r="A131" s="4">
        <v>50</v>
      </c>
      <c r="B131" s="4">
        <v>0</v>
      </c>
      <c r="C131" s="4">
        <v>0</v>
      </c>
      <c r="D131" s="4">
        <v>1</v>
      </c>
      <c r="E131" s="4">
        <v>230</v>
      </c>
      <c r="F131" s="4">
        <f>ROUND(Source!BA111,O131)</f>
        <v>0</v>
      </c>
      <c r="G131" s="4" t="s">
        <v>85</v>
      </c>
      <c r="H131" s="4" t="s">
        <v>86</v>
      </c>
      <c r="I131" s="4"/>
      <c r="J131" s="4"/>
      <c r="K131" s="4">
        <v>230</v>
      </c>
      <c r="L131" s="4">
        <v>19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06">
      <c r="A132" s="4">
        <v>50</v>
      </c>
      <c r="B132" s="4">
        <v>0</v>
      </c>
      <c r="C132" s="4">
        <v>0</v>
      </c>
      <c r="D132" s="4">
        <v>1</v>
      </c>
      <c r="E132" s="4">
        <v>206</v>
      </c>
      <c r="F132" s="4">
        <f>ROUND(Source!T111,O132)</f>
        <v>0</v>
      </c>
      <c r="G132" s="4" t="s">
        <v>87</v>
      </c>
      <c r="H132" s="4" t="s">
        <v>88</v>
      </c>
      <c r="I132" s="4"/>
      <c r="J132" s="4"/>
      <c r="K132" s="4">
        <v>206</v>
      </c>
      <c r="L132" s="4">
        <v>20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06">
      <c r="A133" s="4">
        <v>50</v>
      </c>
      <c r="B133" s="4">
        <v>0</v>
      </c>
      <c r="C133" s="4">
        <v>0</v>
      </c>
      <c r="D133" s="4">
        <v>1</v>
      </c>
      <c r="E133" s="4">
        <v>207</v>
      </c>
      <c r="F133" s="4">
        <f>Source!U111</f>
        <v>164.33468999999999</v>
      </c>
      <c r="G133" s="4" t="s">
        <v>89</v>
      </c>
      <c r="H133" s="4" t="s">
        <v>90</v>
      </c>
      <c r="I133" s="4"/>
      <c r="J133" s="4"/>
      <c r="K133" s="4">
        <v>207</v>
      </c>
      <c r="L133" s="4">
        <v>21</v>
      </c>
      <c r="M133" s="4">
        <v>3</v>
      </c>
      <c r="N133" s="4" t="s">
        <v>3</v>
      </c>
      <c r="O133" s="4">
        <v>-1</v>
      </c>
      <c r="P133" s="4"/>
      <c r="Q133" s="4"/>
      <c r="R133" s="4"/>
      <c r="S133" s="4"/>
      <c r="T133" s="4"/>
      <c r="U133" s="4"/>
      <c r="V133" s="4"/>
      <c r="W133" s="4"/>
    </row>
    <row r="134" spans="1:206">
      <c r="A134" s="4">
        <v>50</v>
      </c>
      <c r="B134" s="4">
        <v>0</v>
      </c>
      <c r="C134" s="4">
        <v>0</v>
      </c>
      <c r="D134" s="4">
        <v>1</v>
      </c>
      <c r="E134" s="4">
        <v>208</v>
      </c>
      <c r="F134" s="4">
        <f>Source!V111</f>
        <v>2.2177249999999997</v>
      </c>
      <c r="G134" s="4" t="s">
        <v>91</v>
      </c>
      <c r="H134" s="4" t="s">
        <v>92</v>
      </c>
      <c r="I134" s="4"/>
      <c r="J134" s="4"/>
      <c r="K134" s="4">
        <v>208</v>
      </c>
      <c r="L134" s="4">
        <v>22</v>
      </c>
      <c r="M134" s="4">
        <v>3</v>
      </c>
      <c r="N134" s="4" t="s">
        <v>3</v>
      </c>
      <c r="O134" s="4">
        <v>-1</v>
      </c>
      <c r="P134" s="4"/>
      <c r="Q134" s="4"/>
      <c r="R134" s="4"/>
      <c r="S134" s="4"/>
      <c r="T134" s="4"/>
      <c r="U134" s="4"/>
      <c r="V134" s="4"/>
      <c r="W134" s="4"/>
    </row>
    <row r="135" spans="1:206">
      <c r="A135" s="4">
        <v>50</v>
      </c>
      <c r="B135" s="4">
        <v>0</v>
      </c>
      <c r="C135" s="4">
        <v>0</v>
      </c>
      <c r="D135" s="4">
        <v>1</v>
      </c>
      <c r="E135" s="4">
        <v>209</v>
      </c>
      <c r="F135" s="4">
        <f>ROUND(Source!W111,O135)</f>
        <v>31.59</v>
      </c>
      <c r="G135" s="4" t="s">
        <v>93</v>
      </c>
      <c r="H135" s="4" t="s">
        <v>94</v>
      </c>
      <c r="I135" s="4"/>
      <c r="J135" s="4"/>
      <c r="K135" s="4">
        <v>209</v>
      </c>
      <c r="L135" s="4">
        <v>23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06">
      <c r="A136" s="4">
        <v>50</v>
      </c>
      <c r="B136" s="4">
        <v>0</v>
      </c>
      <c r="C136" s="4">
        <v>0</v>
      </c>
      <c r="D136" s="4">
        <v>1</v>
      </c>
      <c r="E136" s="4">
        <v>233</v>
      </c>
      <c r="F136" s="4">
        <f>ROUND(Source!BD111,O136)</f>
        <v>0</v>
      </c>
      <c r="G136" s="4" t="s">
        <v>95</v>
      </c>
      <c r="H136" s="4" t="s">
        <v>96</v>
      </c>
      <c r="I136" s="4"/>
      <c r="J136" s="4"/>
      <c r="K136" s="4">
        <v>233</v>
      </c>
      <c r="L136" s="4">
        <v>24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06">
      <c r="A137" s="4">
        <v>50</v>
      </c>
      <c r="B137" s="4">
        <v>0</v>
      </c>
      <c r="C137" s="4">
        <v>0</v>
      </c>
      <c r="D137" s="4">
        <v>1</v>
      </c>
      <c r="E137" s="4">
        <v>210</v>
      </c>
      <c r="F137" s="4">
        <f>ROUND(Source!X111,O137)</f>
        <v>49923.83</v>
      </c>
      <c r="G137" s="4" t="s">
        <v>97</v>
      </c>
      <c r="H137" s="4" t="s">
        <v>98</v>
      </c>
      <c r="I137" s="4"/>
      <c r="J137" s="4"/>
      <c r="K137" s="4">
        <v>210</v>
      </c>
      <c r="L137" s="4">
        <v>25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06">
      <c r="A138" s="4">
        <v>50</v>
      </c>
      <c r="B138" s="4">
        <v>0</v>
      </c>
      <c r="C138" s="4">
        <v>0</v>
      </c>
      <c r="D138" s="4">
        <v>1</v>
      </c>
      <c r="E138" s="4">
        <v>211</v>
      </c>
      <c r="F138" s="4">
        <f>ROUND(Source!Y111,O138)</f>
        <v>26455.42</v>
      </c>
      <c r="G138" s="4" t="s">
        <v>99</v>
      </c>
      <c r="H138" s="4" t="s">
        <v>100</v>
      </c>
      <c r="I138" s="4"/>
      <c r="J138" s="4"/>
      <c r="K138" s="4">
        <v>211</v>
      </c>
      <c r="L138" s="4">
        <v>26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>
      <c r="A139" s="4">
        <v>50</v>
      </c>
      <c r="B139" s="4">
        <v>0</v>
      </c>
      <c r="C139" s="4">
        <v>0</v>
      </c>
      <c r="D139" s="4">
        <v>1</v>
      </c>
      <c r="E139" s="4">
        <v>224</v>
      </c>
      <c r="F139" s="4">
        <f>ROUND(Source!AR111,O139)</f>
        <v>176277.8</v>
      </c>
      <c r="G139" s="4" t="s">
        <v>101</v>
      </c>
      <c r="H139" s="4" t="s">
        <v>102</v>
      </c>
      <c r="I139" s="4"/>
      <c r="J139" s="4"/>
      <c r="K139" s="4">
        <v>224</v>
      </c>
      <c r="L139" s="4">
        <v>27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1" spans="1:206">
      <c r="A141" s="1">
        <v>4</v>
      </c>
      <c r="B141" s="1">
        <v>1</v>
      </c>
      <c r="C141" s="1"/>
      <c r="D141" s="1">
        <f>ROW(A155)</f>
        <v>155</v>
      </c>
      <c r="E141" s="1"/>
      <c r="F141" s="1" t="s">
        <v>13</v>
      </c>
      <c r="G141" s="1" t="s">
        <v>153</v>
      </c>
      <c r="H141" s="1" t="s">
        <v>3</v>
      </c>
      <c r="I141" s="1">
        <v>0</v>
      </c>
      <c r="J141" s="1"/>
      <c r="K141" s="1">
        <v>0</v>
      </c>
      <c r="L141" s="1"/>
      <c r="M141" s="1" t="s">
        <v>3</v>
      </c>
      <c r="N141" s="1"/>
      <c r="O141" s="1"/>
      <c r="P141" s="1"/>
      <c r="Q141" s="1"/>
      <c r="R141" s="1"/>
      <c r="S141" s="1">
        <v>0</v>
      </c>
      <c r="T141" s="1"/>
      <c r="U141" s="1" t="s">
        <v>3</v>
      </c>
      <c r="V141" s="1">
        <v>0</v>
      </c>
      <c r="W141" s="1"/>
      <c r="X141" s="1"/>
      <c r="Y141" s="1"/>
      <c r="Z141" s="1"/>
      <c r="AA141" s="1"/>
      <c r="AB141" s="1" t="s">
        <v>3</v>
      </c>
      <c r="AC141" s="1" t="s">
        <v>3</v>
      </c>
      <c r="AD141" s="1" t="s">
        <v>3</v>
      </c>
      <c r="AE141" s="1" t="s">
        <v>3</v>
      </c>
      <c r="AF141" s="1" t="s">
        <v>3</v>
      </c>
      <c r="AG141" s="1" t="s">
        <v>3</v>
      </c>
      <c r="AH141" s="1"/>
      <c r="AI141" s="1"/>
      <c r="AJ141" s="1"/>
      <c r="AK141" s="1"/>
      <c r="AL141" s="1"/>
      <c r="AM141" s="1"/>
      <c r="AN141" s="1"/>
      <c r="AO141" s="1"/>
      <c r="AP141" s="1" t="s">
        <v>3</v>
      </c>
      <c r="AQ141" s="1" t="s">
        <v>3</v>
      </c>
      <c r="AR141" s="1" t="s">
        <v>3</v>
      </c>
      <c r="AS141" s="1"/>
      <c r="AT141" s="1"/>
      <c r="AU141" s="1"/>
      <c r="AV141" s="1"/>
      <c r="AW141" s="1"/>
      <c r="AX141" s="1"/>
      <c r="AY141" s="1"/>
      <c r="AZ141" s="1" t="s">
        <v>3</v>
      </c>
      <c r="BA141" s="1"/>
      <c r="BB141" s="1" t="s">
        <v>3</v>
      </c>
      <c r="BC141" s="1" t="s">
        <v>3</v>
      </c>
      <c r="BD141" s="1" t="s">
        <v>3</v>
      </c>
      <c r="BE141" s="1" t="s">
        <v>3</v>
      </c>
      <c r="BF141" s="1" t="s">
        <v>3</v>
      </c>
      <c r="BG141" s="1" t="s">
        <v>3</v>
      </c>
      <c r="BH141" s="1" t="s">
        <v>3</v>
      </c>
      <c r="BI141" s="1" t="s">
        <v>3</v>
      </c>
      <c r="BJ141" s="1" t="s">
        <v>3</v>
      </c>
      <c r="BK141" s="1" t="s">
        <v>3</v>
      </c>
      <c r="BL141" s="1" t="s">
        <v>3</v>
      </c>
      <c r="BM141" s="1" t="s">
        <v>3</v>
      </c>
      <c r="BN141" s="1" t="s">
        <v>3</v>
      </c>
      <c r="BO141" s="1" t="s">
        <v>3</v>
      </c>
      <c r="BP141" s="1" t="s">
        <v>3</v>
      </c>
      <c r="BQ141" s="1"/>
      <c r="BR141" s="1"/>
      <c r="BS141" s="1"/>
      <c r="BT141" s="1"/>
      <c r="BU141" s="1"/>
      <c r="BV141" s="1"/>
      <c r="BW141" s="1"/>
      <c r="BX141" s="1">
        <v>0</v>
      </c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>
        <v>0</v>
      </c>
    </row>
    <row r="143" spans="1:206">
      <c r="A143" s="2">
        <v>52</v>
      </c>
      <c r="B143" s="2">
        <f t="shared" ref="B143:G143" si="106">B155</f>
        <v>1</v>
      </c>
      <c r="C143" s="2">
        <f t="shared" si="106"/>
        <v>4</v>
      </c>
      <c r="D143" s="2">
        <f t="shared" si="106"/>
        <v>141</v>
      </c>
      <c r="E143" s="2">
        <f t="shared" si="106"/>
        <v>0</v>
      </c>
      <c r="F143" s="2" t="str">
        <f t="shared" si="106"/>
        <v>Новый раздел</v>
      </c>
      <c r="G143" s="2" t="str">
        <f t="shared" si="106"/>
        <v>стены</v>
      </c>
      <c r="H143" s="2"/>
      <c r="I143" s="2"/>
      <c r="J143" s="2"/>
      <c r="K143" s="2"/>
      <c r="L143" s="2"/>
      <c r="M143" s="2"/>
      <c r="N143" s="2"/>
      <c r="O143" s="2">
        <f t="shared" ref="O143:AT143" si="107">O155</f>
        <v>109235.44</v>
      </c>
      <c r="P143" s="2">
        <f t="shared" si="107"/>
        <v>19882.13</v>
      </c>
      <c r="Q143" s="2">
        <f t="shared" si="107"/>
        <v>3476.79</v>
      </c>
      <c r="R143" s="2">
        <f t="shared" si="107"/>
        <v>2493.42</v>
      </c>
      <c r="S143" s="2">
        <f t="shared" si="107"/>
        <v>85876.52</v>
      </c>
      <c r="T143" s="2">
        <f t="shared" si="107"/>
        <v>0</v>
      </c>
      <c r="U143" s="2">
        <f t="shared" si="107"/>
        <v>267.57537249999996</v>
      </c>
      <c r="V143" s="2">
        <f t="shared" si="107"/>
        <v>8.1970999999999989</v>
      </c>
      <c r="W143" s="2">
        <f t="shared" si="107"/>
        <v>88.26</v>
      </c>
      <c r="X143" s="2">
        <f t="shared" si="107"/>
        <v>84289.87</v>
      </c>
      <c r="Y143" s="2">
        <f t="shared" si="107"/>
        <v>42542.62</v>
      </c>
      <c r="Z143" s="2">
        <f t="shared" si="107"/>
        <v>0</v>
      </c>
      <c r="AA143" s="2">
        <f t="shared" si="107"/>
        <v>0</v>
      </c>
      <c r="AB143" s="2">
        <f t="shared" si="107"/>
        <v>109235.44</v>
      </c>
      <c r="AC143" s="2">
        <f t="shared" si="107"/>
        <v>19882.13</v>
      </c>
      <c r="AD143" s="2">
        <f t="shared" si="107"/>
        <v>3476.79</v>
      </c>
      <c r="AE143" s="2">
        <f t="shared" si="107"/>
        <v>2493.42</v>
      </c>
      <c r="AF143" s="2">
        <f t="shared" si="107"/>
        <v>85876.52</v>
      </c>
      <c r="AG143" s="2">
        <f t="shared" si="107"/>
        <v>0</v>
      </c>
      <c r="AH143" s="2">
        <f t="shared" si="107"/>
        <v>267.57537249999996</v>
      </c>
      <c r="AI143" s="2">
        <f t="shared" si="107"/>
        <v>8.1970999999999989</v>
      </c>
      <c r="AJ143" s="2">
        <f t="shared" si="107"/>
        <v>88.26</v>
      </c>
      <c r="AK143" s="2">
        <f t="shared" si="107"/>
        <v>84289.87</v>
      </c>
      <c r="AL143" s="2">
        <f t="shared" si="107"/>
        <v>42542.62</v>
      </c>
      <c r="AM143" s="2">
        <f t="shared" si="107"/>
        <v>0</v>
      </c>
      <c r="AN143" s="2">
        <f t="shared" si="107"/>
        <v>0</v>
      </c>
      <c r="AO143" s="2">
        <f t="shared" si="107"/>
        <v>0</v>
      </c>
      <c r="AP143" s="2">
        <f t="shared" si="107"/>
        <v>0</v>
      </c>
      <c r="AQ143" s="2">
        <f t="shared" si="107"/>
        <v>0</v>
      </c>
      <c r="AR143" s="2">
        <f t="shared" si="107"/>
        <v>236067.93</v>
      </c>
      <c r="AS143" s="2">
        <f t="shared" si="107"/>
        <v>236067.93</v>
      </c>
      <c r="AT143" s="2">
        <f t="shared" si="107"/>
        <v>0</v>
      </c>
      <c r="AU143" s="2">
        <f t="shared" ref="AU143:BZ143" si="108">AU155</f>
        <v>0</v>
      </c>
      <c r="AV143" s="2">
        <f t="shared" si="108"/>
        <v>19882.13</v>
      </c>
      <c r="AW143" s="2">
        <f t="shared" si="108"/>
        <v>19882.13</v>
      </c>
      <c r="AX143" s="2">
        <f t="shared" si="108"/>
        <v>0</v>
      </c>
      <c r="AY143" s="2">
        <f t="shared" si="108"/>
        <v>19882.13</v>
      </c>
      <c r="AZ143" s="2">
        <f t="shared" si="108"/>
        <v>0</v>
      </c>
      <c r="BA143" s="2">
        <f t="shared" si="108"/>
        <v>0</v>
      </c>
      <c r="BB143" s="2">
        <f t="shared" si="108"/>
        <v>0</v>
      </c>
      <c r="BC143" s="2">
        <f t="shared" si="108"/>
        <v>0</v>
      </c>
      <c r="BD143" s="2">
        <f t="shared" si="108"/>
        <v>0</v>
      </c>
      <c r="BE143" s="2">
        <f t="shared" si="108"/>
        <v>0</v>
      </c>
      <c r="BF143" s="2">
        <f t="shared" si="108"/>
        <v>0</v>
      </c>
      <c r="BG143" s="2">
        <f t="shared" si="108"/>
        <v>0</v>
      </c>
      <c r="BH143" s="2">
        <f t="shared" si="108"/>
        <v>0</v>
      </c>
      <c r="BI143" s="2">
        <f t="shared" si="108"/>
        <v>0</v>
      </c>
      <c r="BJ143" s="2">
        <f t="shared" si="108"/>
        <v>0</v>
      </c>
      <c r="BK143" s="2">
        <f t="shared" si="108"/>
        <v>0</v>
      </c>
      <c r="BL143" s="2">
        <f t="shared" si="108"/>
        <v>0</v>
      </c>
      <c r="BM143" s="2">
        <f t="shared" si="108"/>
        <v>0</v>
      </c>
      <c r="BN143" s="2">
        <f t="shared" si="108"/>
        <v>0</v>
      </c>
      <c r="BO143" s="2">
        <f t="shared" si="108"/>
        <v>0</v>
      </c>
      <c r="BP143" s="2">
        <f t="shared" si="108"/>
        <v>0</v>
      </c>
      <c r="BQ143" s="2">
        <f t="shared" si="108"/>
        <v>0</v>
      </c>
      <c r="BR143" s="2">
        <f t="shared" si="108"/>
        <v>0</v>
      </c>
      <c r="BS143" s="2">
        <f t="shared" si="108"/>
        <v>0</v>
      </c>
      <c r="BT143" s="2">
        <f t="shared" si="108"/>
        <v>0</v>
      </c>
      <c r="BU143" s="2">
        <f t="shared" si="108"/>
        <v>0</v>
      </c>
      <c r="BV143" s="2">
        <f t="shared" si="108"/>
        <v>0</v>
      </c>
      <c r="BW143" s="2">
        <f t="shared" si="108"/>
        <v>0</v>
      </c>
      <c r="BX143" s="2">
        <f t="shared" si="108"/>
        <v>0</v>
      </c>
      <c r="BY143" s="2">
        <f t="shared" si="108"/>
        <v>0</v>
      </c>
      <c r="BZ143" s="2">
        <f t="shared" si="108"/>
        <v>0</v>
      </c>
      <c r="CA143" s="2">
        <f t="shared" ref="CA143:DF143" si="109">CA155</f>
        <v>236067.93</v>
      </c>
      <c r="CB143" s="2">
        <f t="shared" si="109"/>
        <v>236067.93</v>
      </c>
      <c r="CC143" s="2">
        <f t="shared" si="109"/>
        <v>0</v>
      </c>
      <c r="CD143" s="2">
        <f t="shared" si="109"/>
        <v>0</v>
      </c>
      <c r="CE143" s="2">
        <f t="shared" si="109"/>
        <v>19882.13</v>
      </c>
      <c r="CF143" s="2">
        <f t="shared" si="109"/>
        <v>19882.13</v>
      </c>
      <c r="CG143" s="2">
        <f t="shared" si="109"/>
        <v>0</v>
      </c>
      <c r="CH143" s="2">
        <f t="shared" si="109"/>
        <v>19882.13</v>
      </c>
      <c r="CI143" s="2">
        <f t="shared" si="109"/>
        <v>0</v>
      </c>
      <c r="CJ143" s="2">
        <f t="shared" si="109"/>
        <v>0</v>
      </c>
      <c r="CK143" s="2">
        <f t="shared" si="109"/>
        <v>0</v>
      </c>
      <c r="CL143" s="2">
        <f t="shared" si="109"/>
        <v>0</v>
      </c>
      <c r="CM143" s="2">
        <f t="shared" si="109"/>
        <v>0</v>
      </c>
      <c r="CN143" s="2">
        <f t="shared" si="109"/>
        <v>0</v>
      </c>
      <c r="CO143" s="2">
        <f t="shared" si="109"/>
        <v>0</v>
      </c>
      <c r="CP143" s="2">
        <f t="shared" si="109"/>
        <v>0</v>
      </c>
      <c r="CQ143" s="2">
        <f t="shared" si="109"/>
        <v>0</v>
      </c>
      <c r="CR143" s="2">
        <f t="shared" si="109"/>
        <v>0</v>
      </c>
      <c r="CS143" s="2">
        <f t="shared" si="109"/>
        <v>0</v>
      </c>
      <c r="CT143" s="2">
        <f t="shared" si="109"/>
        <v>0</v>
      </c>
      <c r="CU143" s="2">
        <f t="shared" si="109"/>
        <v>0</v>
      </c>
      <c r="CV143" s="2">
        <f t="shared" si="109"/>
        <v>0</v>
      </c>
      <c r="CW143" s="2">
        <f t="shared" si="109"/>
        <v>0</v>
      </c>
      <c r="CX143" s="2">
        <f t="shared" si="109"/>
        <v>0</v>
      </c>
      <c r="CY143" s="2">
        <f t="shared" si="109"/>
        <v>0</v>
      </c>
      <c r="CZ143" s="2">
        <f t="shared" si="109"/>
        <v>0</v>
      </c>
      <c r="DA143" s="2">
        <f t="shared" si="109"/>
        <v>0</v>
      </c>
      <c r="DB143" s="2">
        <f t="shared" si="109"/>
        <v>0</v>
      </c>
      <c r="DC143" s="2">
        <f t="shared" si="109"/>
        <v>0</v>
      </c>
      <c r="DD143" s="2">
        <f t="shared" si="109"/>
        <v>0</v>
      </c>
      <c r="DE143" s="2">
        <f t="shared" si="109"/>
        <v>0</v>
      </c>
      <c r="DF143" s="2">
        <f t="shared" si="109"/>
        <v>0</v>
      </c>
      <c r="DG143" s="3">
        <f t="shared" ref="DG143:EL143" si="110">DG155</f>
        <v>0</v>
      </c>
      <c r="DH143" s="3">
        <f t="shared" si="110"/>
        <v>0</v>
      </c>
      <c r="DI143" s="3">
        <f t="shared" si="110"/>
        <v>0</v>
      </c>
      <c r="DJ143" s="3">
        <f t="shared" si="110"/>
        <v>0</v>
      </c>
      <c r="DK143" s="3">
        <f t="shared" si="110"/>
        <v>0</v>
      </c>
      <c r="DL143" s="3">
        <f t="shared" si="110"/>
        <v>0</v>
      </c>
      <c r="DM143" s="3">
        <f t="shared" si="110"/>
        <v>0</v>
      </c>
      <c r="DN143" s="3">
        <f t="shared" si="110"/>
        <v>0</v>
      </c>
      <c r="DO143" s="3">
        <f t="shared" si="110"/>
        <v>0</v>
      </c>
      <c r="DP143" s="3">
        <f t="shared" si="110"/>
        <v>0</v>
      </c>
      <c r="DQ143" s="3">
        <f t="shared" si="110"/>
        <v>0</v>
      </c>
      <c r="DR143" s="3">
        <f t="shared" si="110"/>
        <v>0</v>
      </c>
      <c r="DS143" s="3">
        <f t="shared" si="110"/>
        <v>0</v>
      </c>
      <c r="DT143" s="3">
        <f t="shared" si="110"/>
        <v>0</v>
      </c>
      <c r="DU143" s="3">
        <f t="shared" si="110"/>
        <v>0</v>
      </c>
      <c r="DV143" s="3">
        <f t="shared" si="110"/>
        <v>0</v>
      </c>
      <c r="DW143" s="3">
        <f t="shared" si="110"/>
        <v>0</v>
      </c>
      <c r="DX143" s="3">
        <f t="shared" si="110"/>
        <v>0</v>
      </c>
      <c r="DY143" s="3">
        <f t="shared" si="110"/>
        <v>0</v>
      </c>
      <c r="DZ143" s="3">
        <f t="shared" si="110"/>
        <v>0</v>
      </c>
      <c r="EA143" s="3">
        <f t="shared" si="110"/>
        <v>0</v>
      </c>
      <c r="EB143" s="3">
        <f t="shared" si="110"/>
        <v>0</v>
      </c>
      <c r="EC143" s="3">
        <f t="shared" si="110"/>
        <v>0</v>
      </c>
      <c r="ED143" s="3">
        <f t="shared" si="110"/>
        <v>0</v>
      </c>
      <c r="EE143" s="3">
        <f t="shared" si="110"/>
        <v>0</v>
      </c>
      <c r="EF143" s="3">
        <f t="shared" si="110"/>
        <v>0</v>
      </c>
      <c r="EG143" s="3">
        <f t="shared" si="110"/>
        <v>0</v>
      </c>
      <c r="EH143" s="3">
        <f t="shared" si="110"/>
        <v>0</v>
      </c>
      <c r="EI143" s="3">
        <f t="shared" si="110"/>
        <v>0</v>
      </c>
      <c r="EJ143" s="3">
        <f t="shared" si="110"/>
        <v>0</v>
      </c>
      <c r="EK143" s="3">
        <f t="shared" si="110"/>
        <v>0</v>
      </c>
      <c r="EL143" s="3">
        <f t="shared" si="110"/>
        <v>0</v>
      </c>
      <c r="EM143" s="3">
        <f t="shared" ref="EM143:FR143" si="111">EM155</f>
        <v>0</v>
      </c>
      <c r="EN143" s="3">
        <f t="shared" si="111"/>
        <v>0</v>
      </c>
      <c r="EO143" s="3">
        <f t="shared" si="111"/>
        <v>0</v>
      </c>
      <c r="EP143" s="3">
        <f t="shared" si="111"/>
        <v>0</v>
      </c>
      <c r="EQ143" s="3">
        <f t="shared" si="111"/>
        <v>0</v>
      </c>
      <c r="ER143" s="3">
        <f t="shared" si="111"/>
        <v>0</v>
      </c>
      <c r="ES143" s="3">
        <f t="shared" si="111"/>
        <v>0</v>
      </c>
      <c r="ET143" s="3">
        <f t="shared" si="111"/>
        <v>0</v>
      </c>
      <c r="EU143" s="3">
        <f t="shared" si="111"/>
        <v>0</v>
      </c>
      <c r="EV143" s="3">
        <f t="shared" si="111"/>
        <v>0</v>
      </c>
      <c r="EW143" s="3">
        <f t="shared" si="111"/>
        <v>0</v>
      </c>
      <c r="EX143" s="3">
        <f t="shared" si="111"/>
        <v>0</v>
      </c>
      <c r="EY143" s="3">
        <f t="shared" si="111"/>
        <v>0</v>
      </c>
      <c r="EZ143" s="3">
        <f t="shared" si="111"/>
        <v>0</v>
      </c>
      <c r="FA143" s="3">
        <f t="shared" si="111"/>
        <v>0</v>
      </c>
      <c r="FB143" s="3">
        <f t="shared" si="111"/>
        <v>0</v>
      </c>
      <c r="FC143" s="3">
        <f t="shared" si="111"/>
        <v>0</v>
      </c>
      <c r="FD143" s="3">
        <f t="shared" si="111"/>
        <v>0</v>
      </c>
      <c r="FE143" s="3">
        <f t="shared" si="111"/>
        <v>0</v>
      </c>
      <c r="FF143" s="3">
        <f t="shared" si="111"/>
        <v>0</v>
      </c>
      <c r="FG143" s="3">
        <f t="shared" si="111"/>
        <v>0</v>
      </c>
      <c r="FH143" s="3">
        <f t="shared" si="111"/>
        <v>0</v>
      </c>
      <c r="FI143" s="3">
        <f t="shared" si="111"/>
        <v>0</v>
      </c>
      <c r="FJ143" s="3">
        <f t="shared" si="111"/>
        <v>0</v>
      </c>
      <c r="FK143" s="3">
        <f t="shared" si="111"/>
        <v>0</v>
      </c>
      <c r="FL143" s="3">
        <f t="shared" si="111"/>
        <v>0</v>
      </c>
      <c r="FM143" s="3">
        <f t="shared" si="111"/>
        <v>0</v>
      </c>
      <c r="FN143" s="3">
        <f t="shared" si="111"/>
        <v>0</v>
      </c>
      <c r="FO143" s="3">
        <f t="shared" si="111"/>
        <v>0</v>
      </c>
      <c r="FP143" s="3">
        <f t="shared" si="111"/>
        <v>0</v>
      </c>
      <c r="FQ143" s="3">
        <f t="shared" si="111"/>
        <v>0</v>
      </c>
      <c r="FR143" s="3">
        <f t="shared" si="111"/>
        <v>0</v>
      </c>
      <c r="FS143" s="3">
        <f t="shared" ref="FS143:GX143" si="112">FS155</f>
        <v>0</v>
      </c>
      <c r="FT143" s="3">
        <f t="shared" si="112"/>
        <v>0</v>
      </c>
      <c r="FU143" s="3">
        <f t="shared" si="112"/>
        <v>0</v>
      </c>
      <c r="FV143" s="3">
        <f t="shared" si="112"/>
        <v>0</v>
      </c>
      <c r="FW143" s="3">
        <f t="shared" si="112"/>
        <v>0</v>
      </c>
      <c r="FX143" s="3">
        <f t="shared" si="112"/>
        <v>0</v>
      </c>
      <c r="FY143" s="3">
        <f t="shared" si="112"/>
        <v>0</v>
      </c>
      <c r="FZ143" s="3">
        <f t="shared" si="112"/>
        <v>0</v>
      </c>
      <c r="GA143" s="3">
        <f t="shared" si="112"/>
        <v>0</v>
      </c>
      <c r="GB143" s="3">
        <f t="shared" si="112"/>
        <v>0</v>
      </c>
      <c r="GC143" s="3">
        <f t="shared" si="112"/>
        <v>0</v>
      </c>
      <c r="GD143" s="3">
        <f t="shared" si="112"/>
        <v>0</v>
      </c>
      <c r="GE143" s="3">
        <f t="shared" si="112"/>
        <v>0</v>
      </c>
      <c r="GF143" s="3">
        <f t="shared" si="112"/>
        <v>0</v>
      </c>
      <c r="GG143" s="3">
        <f t="shared" si="112"/>
        <v>0</v>
      </c>
      <c r="GH143" s="3">
        <f t="shared" si="112"/>
        <v>0</v>
      </c>
      <c r="GI143" s="3">
        <f t="shared" si="112"/>
        <v>0</v>
      </c>
      <c r="GJ143" s="3">
        <f t="shared" si="112"/>
        <v>0</v>
      </c>
      <c r="GK143" s="3">
        <f t="shared" si="112"/>
        <v>0</v>
      </c>
      <c r="GL143" s="3">
        <f t="shared" si="112"/>
        <v>0</v>
      </c>
      <c r="GM143" s="3">
        <f t="shared" si="112"/>
        <v>0</v>
      </c>
      <c r="GN143" s="3">
        <f t="shared" si="112"/>
        <v>0</v>
      </c>
      <c r="GO143" s="3">
        <f t="shared" si="112"/>
        <v>0</v>
      </c>
      <c r="GP143" s="3">
        <f t="shared" si="112"/>
        <v>0</v>
      </c>
      <c r="GQ143" s="3">
        <f t="shared" si="112"/>
        <v>0</v>
      </c>
      <c r="GR143" s="3">
        <f t="shared" si="112"/>
        <v>0</v>
      </c>
      <c r="GS143" s="3">
        <f t="shared" si="112"/>
        <v>0</v>
      </c>
      <c r="GT143" s="3">
        <f t="shared" si="112"/>
        <v>0</v>
      </c>
      <c r="GU143" s="3">
        <f t="shared" si="112"/>
        <v>0</v>
      </c>
      <c r="GV143" s="3">
        <f t="shared" si="112"/>
        <v>0</v>
      </c>
      <c r="GW143" s="3">
        <f t="shared" si="112"/>
        <v>0</v>
      </c>
      <c r="GX143" s="3">
        <f t="shared" si="112"/>
        <v>0</v>
      </c>
    </row>
    <row r="145" spans="1:245">
      <c r="A145">
        <v>17</v>
      </c>
      <c r="B145">
        <v>1</v>
      </c>
      <c r="C145">
        <f>ROW(SmtRes!A68)</f>
        <v>68</v>
      </c>
      <c r="D145">
        <f>ROW(EtalonRes!A69)</f>
        <v>69</v>
      </c>
      <c r="E145" t="s">
        <v>154</v>
      </c>
      <c r="F145" t="s">
        <v>155</v>
      </c>
      <c r="G145" t="s">
        <v>156</v>
      </c>
      <c r="H145" t="s">
        <v>157</v>
      </c>
      <c r="I145">
        <f>ROUND(4.6/100,9)</f>
        <v>4.5999999999999999E-2</v>
      </c>
      <c r="J145">
        <v>0</v>
      </c>
      <c r="K145">
        <f>ROUND(4.6/100,9)</f>
        <v>4.5999999999999999E-2</v>
      </c>
      <c r="O145">
        <f t="shared" ref="O145:O153" si="113">ROUND(CP145,2)</f>
        <v>1201.8599999999999</v>
      </c>
      <c r="P145">
        <f t="shared" ref="P145:P153" si="114">ROUND(CQ145*I145,2)</f>
        <v>876.74</v>
      </c>
      <c r="Q145">
        <f t="shared" ref="Q145:Q153" si="115">ROUND(CR145*I145,2)</f>
        <v>9.11</v>
      </c>
      <c r="R145">
        <f t="shared" ref="R145:R153" si="116">ROUND(CS145*I145,2)</f>
        <v>1.03</v>
      </c>
      <c r="S145">
        <f t="shared" ref="S145:S153" si="117">ROUND(CT145*I145,2)</f>
        <v>316.01</v>
      </c>
      <c r="T145">
        <f t="shared" ref="T145:T153" si="118">ROUND(CU145*I145,2)</f>
        <v>0</v>
      </c>
      <c r="U145">
        <f t="shared" ref="U145:U153" si="119">CV145*I145</f>
        <v>1.120951</v>
      </c>
      <c r="V145">
        <f t="shared" ref="V145:V153" si="120">CW145*I145</f>
        <v>2.3E-3</v>
      </c>
      <c r="W145">
        <f t="shared" ref="W145:W153" si="121">ROUND(CX145*I145,2)</f>
        <v>0</v>
      </c>
      <c r="X145">
        <f t="shared" ref="X145:X153" si="122">ROUND(CY145,2)</f>
        <v>336.06</v>
      </c>
      <c r="Y145">
        <f t="shared" ref="Y145:Y153" si="123">ROUND(CZ145,2)</f>
        <v>171.2</v>
      </c>
      <c r="AA145">
        <v>35822480</v>
      </c>
      <c r="AB145">
        <f t="shared" ref="AB145:AB153" si="124">ROUND((AC145+AD145+AF145),6)</f>
        <v>4229.8649999999998</v>
      </c>
      <c r="AC145">
        <f t="shared" ref="AC145:AC153" si="125">ROUND((ES145),6)</f>
        <v>4004.09</v>
      </c>
      <c r="AD145">
        <f>ROUND(((((ET145*1.25))-((EU145*1.25)))+AE145),6)</f>
        <v>17.912500000000001</v>
      </c>
      <c r="AE145">
        <f>ROUND(((EU145*1.25)),6)</f>
        <v>0.67500000000000004</v>
      </c>
      <c r="AF145">
        <f>ROUND(((EV145*1.15)),6)</f>
        <v>207.86250000000001</v>
      </c>
      <c r="AG145">
        <f t="shared" ref="AG145:AG153" si="126">ROUND((AP145),6)</f>
        <v>0</v>
      </c>
      <c r="AH145">
        <f>((EW145*1.15))</f>
        <v>24.368500000000001</v>
      </c>
      <c r="AI145">
        <f>((EX145*1.25))</f>
        <v>0.05</v>
      </c>
      <c r="AJ145">
        <f t="shared" ref="AJ145:AJ153" si="127">(AS145)</f>
        <v>0</v>
      </c>
      <c r="AK145">
        <v>4199.17</v>
      </c>
      <c r="AL145">
        <v>4004.09</v>
      </c>
      <c r="AM145">
        <v>14.33</v>
      </c>
      <c r="AN145">
        <v>0.54</v>
      </c>
      <c r="AO145">
        <v>180.75</v>
      </c>
      <c r="AP145">
        <v>0</v>
      </c>
      <c r="AQ145">
        <v>21.19</v>
      </c>
      <c r="AR145">
        <v>0.04</v>
      </c>
      <c r="AS145">
        <v>0</v>
      </c>
      <c r="AT145">
        <v>106</v>
      </c>
      <c r="AU145">
        <v>54</v>
      </c>
      <c r="AV145">
        <v>1</v>
      </c>
      <c r="AW145">
        <v>1</v>
      </c>
      <c r="AZ145">
        <v>1</v>
      </c>
      <c r="BA145">
        <v>33.049999999999997</v>
      </c>
      <c r="BB145">
        <v>11.06</v>
      </c>
      <c r="BC145">
        <v>4.76</v>
      </c>
      <c r="BD145" t="s">
        <v>3</v>
      </c>
      <c r="BE145" t="s">
        <v>3</v>
      </c>
      <c r="BF145" t="s">
        <v>3</v>
      </c>
      <c r="BG145" t="s">
        <v>3</v>
      </c>
      <c r="BH145">
        <v>0</v>
      </c>
      <c r="BI145">
        <v>1</v>
      </c>
      <c r="BJ145" t="s">
        <v>158</v>
      </c>
      <c r="BM145">
        <v>10001</v>
      </c>
      <c r="BN145">
        <v>0</v>
      </c>
      <c r="BO145" t="s">
        <v>155</v>
      </c>
      <c r="BP145">
        <v>1</v>
      </c>
      <c r="BQ145">
        <v>2</v>
      </c>
      <c r="BR145">
        <v>0</v>
      </c>
      <c r="BS145">
        <v>33.049999999999997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118</v>
      </c>
      <c r="CA145">
        <v>63</v>
      </c>
      <c r="CB145" t="s">
        <v>3</v>
      </c>
      <c r="CE145">
        <v>0</v>
      </c>
      <c r="CF145">
        <v>0</v>
      </c>
      <c r="CG145">
        <v>0</v>
      </c>
      <c r="CM145">
        <v>0</v>
      </c>
      <c r="CN145" t="s">
        <v>468</v>
      </c>
      <c r="CO145">
        <v>0</v>
      </c>
      <c r="CP145">
        <f t="shared" ref="CP145:CP153" si="128">(P145+Q145+S145)</f>
        <v>1201.8600000000001</v>
      </c>
      <c r="CQ145">
        <f t="shared" ref="CQ145:CQ153" si="129">AC145*BC145</f>
        <v>19059.468400000002</v>
      </c>
      <c r="CR145">
        <f t="shared" ref="CR145:CR153" si="130">AD145*BB145</f>
        <v>198.11225000000002</v>
      </c>
      <c r="CS145">
        <f t="shared" ref="CS145:CS153" si="131">AE145*BS145</f>
        <v>22.30875</v>
      </c>
      <c r="CT145">
        <f t="shared" ref="CT145:CT153" si="132">AF145*BA145</f>
        <v>6869.8556250000001</v>
      </c>
      <c r="CU145">
        <f t="shared" ref="CU145:CU153" si="133">AG145</f>
        <v>0</v>
      </c>
      <c r="CV145">
        <f t="shared" ref="CV145:CV153" si="134">AH145</f>
        <v>24.368500000000001</v>
      </c>
      <c r="CW145">
        <f t="shared" ref="CW145:CW153" si="135">AI145</f>
        <v>0.05</v>
      </c>
      <c r="CX145">
        <f t="shared" ref="CX145:CX153" si="136">AJ145</f>
        <v>0</v>
      </c>
      <c r="CY145">
        <f t="shared" ref="CY145:CY153" si="137">(((S145+R145)*AT145)/100)</f>
        <v>336.06239999999997</v>
      </c>
      <c r="CZ145">
        <f t="shared" ref="CZ145:CZ153" si="138">(((S145+R145)*AU145)/100)</f>
        <v>171.20159999999996</v>
      </c>
      <c r="DC145" t="s">
        <v>3</v>
      </c>
      <c r="DD145" t="s">
        <v>3</v>
      </c>
      <c r="DE145" t="s">
        <v>117</v>
      </c>
      <c r="DF145" t="s">
        <v>117</v>
      </c>
      <c r="DG145" t="s">
        <v>118</v>
      </c>
      <c r="DH145" t="s">
        <v>3</v>
      </c>
      <c r="DI145" t="s">
        <v>118</v>
      </c>
      <c r="DJ145" t="s">
        <v>117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1013</v>
      </c>
      <c r="DV145" t="s">
        <v>157</v>
      </c>
      <c r="DW145" t="s">
        <v>157</v>
      </c>
      <c r="DX145">
        <v>1</v>
      </c>
      <c r="DZ145" t="s">
        <v>3</v>
      </c>
      <c r="EA145" t="s">
        <v>3</v>
      </c>
      <c r="EB145" t="s">
        <v>3</v>
      </c>
      <c r="EC145" t="s">
        <v>3</v>
      </c>
      <c r="EE145">
        <v>36260426</v>
      </c>
      <c r="EF145">
        <v>2</v>
      </c>
      <c r="EG145" t="s">
        <v>109</v>
      </c>
      <c r="EH145">
        <v>0</v>
      </c>
      <c r="EI145" t="s">
        <v>3</v>
      </c>
      <c r="EJ145">
        <v>1</v>
      </c>
      <c r="EK145">
        <v>10001</v>
      </c>
      <c r="EL145" t="s">
        <v>132</v>
      </c>
      <c r="EM145" t="s">
        <v>133</v>
      </c>
      <c r="EO145" t="s">
        <v>121</v>
      </c>
      <c r="EQ145">
        <v>0</v>
      </c>
      <c r="ER145">
        <v>4199.17</v>
      </c>
      <c r="ES145">
        <v>4004.09</v>
      </c>
      <c r="ET145">
        <v>14.33</v>
      </c>
      <c r="EU145">
        <v>0.54</v>
      </c>
      <c r="EV145">
        <v>180.75</v>
      </c>
      <c r="EW145">
        <v>21.19</v>
      </c>
      <c r="EX145">
        <v>0.04</v>
      </c>
      <c r="EY145">
        <v>0</v>
      </c>
      <c r="FQ145">
        <v>0</v>
      </c>
      <c r="FR145">
        <f t="shared" ref="FR145:FR153" si="139">ROUND(IF(AND(BH145=3,BI145=3),P145,0),2)</f>
        <v>0</v>
      </c>
      <c r="FS145">
        <v>0</v>
      </c>
      <c r="FT145" t="s">
        <v>111</v>
      </c>
      <c r="FU145" t="s">
        <v>112</v>
      </c>
      <c r="FX145">
        <v>106.2</v>
      </c>
      <c r="FY145">
        <v>53.55</v>
      </c>
      <c r="GA145" t="s">
        <v>3</v>
      </c>
      <c r="GD145">
        <v>1</v>
      </c>
      <c r="GF145">
        <v>-1773683300</v>
      </c>
      <c r="GG145">
        <v>2</v>
      </c>
      <c r="GH145">
        <v>1</v>
      </c>
      <c r="GI145">
        <v>2</v>
      </c>
      <c r="GJ145">
        <v>0</v>
      </c>
      <c r="GK145">
        <v>0</v>
      </c>
      <c r="GL145">
        <f t="shared" ref="GL145:GL153" si="140">ROUND(IF(AND(BH145=3,BI145=3,FS145&lt;&gt;0),P145,0),2)</f>
        <v>0</v>
      </c>
      <c r="GM145">
        <f t="shared" ref="GM145:GM153" si="141">ROUND(O145+X145+Y145,2)+GX145</f>
        <v>1709.12</v>
      </c>
      <c r="GN145">
        <f t="shared" ref="GN145:GN153" si="142">IF(OR(BI145=0,BI145=1),ROUND(O145+X145+Y145,2),0)</f>
        <v>1709.12</v>
      </c>
      <c r="GO145">
        <f t="shared" ref="GO145:GO153" si="143">IF(BI145=2,ROUND(O145+X145+Y145,2),0)</f>
        <v>0</v>
      </c>
      <c r="GP145">
        <f t="shared" ref="GP145:GP153" si="144">IF(BI145=4,ROUND(O145+X145+Y145,2)+GX145,0)</f>
        <v>0</v>
      </c>
      <c r="GR145">
        <v>0</v>
      </c>
      <c r="GS145">
        <v>3</v>
      </c>
      <c r="GT145">
        <v>0</v>
      </c>
      <c r="GU145" t="s">
        <v>3</v>
      </c>
      <c r="GV145">
        <f t="shared" ref="GV145:GV153" si="145">ROUND((GT145),6)</f>
        <v>0</v>
      </c>
      <c r="GW145">
        <v>1</v>
      </c>
      <c r="GX145">
        <f t="shared" ref="GX145:GX153" si="146">ROUND(HC145*I145,2)</f>
        <v>0</v>
      </c>
      <c r="HA145">
        <v>0</v>
      </c>
      <c r="HB145">
        <v>0</v>
      </c>
      <c r="HC145">
        <f t="shared" ref="HC145:HC153" si="147">GV145*GW145</f>
        <v>0</v>
      </c>
      <c r="HE145" t="s">
        <v>3</v>
      </c>
      <c r="HF145" t="s">
        <v>3</v>
      </c>
      <c r="HM145" t="s">
        <v>3</v>
      </c>
      <c r="IK145">
        <v>0</v>
      </c>
    </row>
    <row r="146" spans="1:245">
      <c r="A146">
        <v>18</v>
      </c>
      <c r="B146">
        <v>1</v>
      </c>
      <c r="C146">
        <v>67</v>
      </c>
      <c r="E146" t="s">
        <v>159</v>
      </c>
      <c r="F146" t="s">
        <v>160</v>
      </c>
      <c r="G146" t="s">
        <v>161</v>
      </c>
      <c r="H146" t="s">
        <v>162</v>
      </c>
      <c r="I146">
        <f>I145*J146</f>
        <v>4.5</v>
      </c>
      <c r="J146">
        <v>97.826086956521735</v>
      </c>
      <c r="K146">
        <v>97.826087000000001</v>
      </c>
      <c r="O146">
        <f t="shared" si="113"/>
        <v>810.71</v>
      </c>
      <c r="P146">
        <f t="shared" si="114"/>
        <v>810.71</v>
      </c>
      <c r="Q146">
        <f t="shared" si="115"/>
        <v>0</v>
      </c>
      <c r="R146">
        <f t="shared" si="116"/>
        <v>0</v>
      </c>
      <c r="S146">
        <f t="shared" si="117"/>
        <v>0</v>
      </c>
      <c r="T146">
        <f t="shared" si="118"/>
        <v>0</v>
      </c>
      <c r="U146">
        <f t="shared" si="119"/>
        <v>0</v>
      </c>
      <c r="V146">
        <f t="shared" si="120"/>
        <v>0</v>
      </c>
      <c r="W146">
        <f t="shared" si="121"/>
        <v>39.06</v>
      </c>
      <c r="X146">
        <f t="shared" si="122"/>
        <v>0</v>
      </c>
      <c r="Y146">
        <f t="shared" si="123"/>
        <v>0</v>
      </c>
      <c r="AA146">
        <v>35822480</v>
      </c>
      <c r="AB146">
        <f t="shared" si="124"/>
        <v>189.64</v>
      </c>
      <c r="AC146">
        <f t="shared" si="125"/>
        <v>189.64</v>
      </c>
      <c r="AD146">
        <f>ROUND((((ET146)-(EU146))+AE146),6)</f>
        <v>0</v>
      </c>
      <c r="AE146">
        <f>ROUND((EU146),6)</f>
        <v>0</v>
      </c>
      <c r="AF146">
        <f>ROUND((EV146),6)</f>
        <v>0</v>
      </c>
      <c r="AG146">
        <f t="shared" si="126"/>
        <v>0</v>
      </c>
      <c r="AH146">
        <f>(EW146)</f>
        <v>0</v>
      </c>
      <c r="AI146">
        <f>(EX146)</f>
        <v>0</v>
      </c>
      <c r="AJ146">
        <f t="shared" si="127"/>
        <v>8.68</v>
      </c>
      <c r="AK146">
        <v>189.64</v>
      </c>
      <c r="AL146">
        <v>189.64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8.68</v>
      </c>
      <c r="AT146">
        <v>106</v>
      </c>
      <c r="AU146">
        <v>54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0.95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1</v>
      </c>
      <c r="BJ146" t="s">
        <v>163</v>
      </c>
      <c r="BM146">
        <v>10001</v>
      </c>
      <c r="BN146">
        <v>0</v>
      </c>
      <c r="BO146" t="s">
        <v>160</v>
      </c>
      <c r="BP146">
        <v>1</v>
      </c>
      <c r="BQ146">
        <v>2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118</v>
      </c>
      <c r="CA146">
        <v>63</v>
      </c>
      <c r="CB146" t="s">
        <v>3</v>
      </c>
      <c r="CE146">
        <v>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128"/>
        <v>810.71</v>
      </c>
      <c r="CQ146">
        <f t="shared" si="129"/>
        <v>180.15799999999999</v>
      </c>
      <c r="CR146">
        <f t="shared" si="130"/>
        <v>0</v>
      </c>
      <c r="CS146">
        <f t="shared" si="131"/>
        <v>0</v>
      </c>
      <c r="CT146">
        <f t="shared" si="132"/>
        <v>0</v>
      </c>
      <c r="CU146">
        <f t="shared" si="133"/>
        <v>0</v>
      </c>
      <c r="CV146">
        <f t="shared" si="134"/>
        <v>0</v>
      </c>
      <c r="CW146">
        <f t="shared" si="135"/>
        <v>0</v>
      </c>
      <c r="CX146">
        <f t="shared" si="136"/>
        <v>8.68</v>
      </c>
      <c r="CY146">
        <f t="shared" si="137"/>
        <v>0</v>
      </c>
      <c r="CZ146">
        <f t="shared" si="138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1003</v>
      </c>
      <c r="DV146" t="s">
        <v>162</v>
      </c>
      <c r="DW146" t="s">
        <v>162</v>
      </c>
      <c r="DX146">
        <v>1</v>
      </c>
      <c r="DZ146" t="s">
        <v>3</v>
      </c>
      <c r="EA146" t="s">
        <v>3</v>
      </c>
      <c r="EB146" t="s">
        <v>3</v>
      </c>
      <c r="EC146" t="s">
        <v>3</v>
      </c>
      <c r="EE146">
        <v>36260426</v>
      </c>
      <c r="EF146">
        <v>2</v>
      </c>
      <c r="EG146" t="s">
        <v>109</v>
      </c>
      <c r="EH146">
        <v>0</v>
      </c>
      <c r="EI146" t="s">
        <v>3</v>
      </c>
      <c r="EJ146">
        <v>1</v>
      </c>
      <c r="EK146">
        <v>10001</v>
      </c>
      <c r="EL146" t="s">
        <v>132</v>
      </c>
      <c r="EM146" t="s">
        <v>133</v>
      </c>
      <c r="EO146" t="s">
        <v>3</v>
      </c>
      <c r="EQ146">
        <v>0</v>
      </c>
      <c r="ER146">
        <v>189.64</v>
      </c>
      <c r="ES146">
        <v>189.64</v>
      </c>
      <c r="ET146">
        <v>0</v>
      </c>
      <c r="EU146">
        <v>0</v>
      </c>
      <c r="EV146">
        <v>0</v>
      </c>
      <c r="EW146">
        <v>0</v>
      </c>
      <c r="EX146">
        <v>0</v>
      </c>
      <c r="FQ146">
        <v>0</v>
      </c>
      <c r="FR146">
        <f t="shared" si="139"/>
        <v>0</v>
      </c>
      <c r="FS146">
        <v>0</v>
      </c>
      <c r="FT146" t="s">
        <v>111</v>
      </c>
      <c r="FU146" t="s">
        <v>112</v>
      </c>
      <c r="FX146">
        <v>106.2</v>
      </c>
      <c r="FY146">
        <v>53.55</v>
      </c>
      <c r="GA146" t="s">
        <v>3</v>
      </c>
      <c r="GD146">
        <v>1</v>
      </c>
      <c r="GF146">
        <v>-1224981602</v>
      </c>
      <c r="GG146">
        <v>2</v>
      </c>
      <c r="GH146">
        <v>1</v>
      </c>
      <c r="GI146">
        <v>2</v>
      </c>
      <c r="GJ146">
        <v>0</v>
      </c>
      <c r="GK146">
        <v>0</v>
      </c>
      <c r="GL146">
        <f t="shared" si="140"/>
        <v>0</v>
      </c>
      <c r="GM146">
        <f t="shared" si="141"/>
        <v>810.71</v>
      </c>
      <c r="GN146">
        <f t="shared" si="142"/>
        <v>810.71</v>
      </c>
      <c r="GO146">
        <f t="shared" si="143"/>
        <v>0</v>
      </c>
      <c r="GP146">
        <f t="shared" si="144"/>
        <v>0</v>
      </c>
      <c r="GR146">
        <v>0</v>
      </c>
      <c r="GS146">
        <v>3</v>
      </c>
      <c r="GT146">
        <v>0</v>
      </c>
      <c r="GU146" t="s">
        <v>3</v>
      </c>
      <c r="GV146">
        <f t="shared" si="145"/>
        <v>0</v>
      </c>
      <c r="GW146">
        <v>1</v>
      </c>
      <c r="GX146">
        <f t="shared" si="146"/>
        <v>0</v>
      </c>
      <c r="HA146">
        <v>0</v>
      </c>
      <c r="HB146">
        <v>0</v>
      </c>
      <c r="HC146">
        <f t="shared" si="147"/>
        <v>0</v>
      </c>
      <c r="HE146" t="s">
        <v>3</v>
      </c>
      <c r="HF146" t="s">
        <v>3</v>
      </c>
      <c r="HM146" t="s">
        <v>3</v>
      </c>
      <c r="IK146">
        <v>0</v>
      </c>
    </row>
    <row r="147" spans="1:245">
      <c r="A147">
        <v>17</v>
      </c>
      <c r="B147">
        <v>1</v>
      </c>
      <c r="C147">
        <f>ROW(SmtRes!A75)</f>
        <v>75</v>
      </c>
      <c r="D147">
        <f>ROW(EtalonRes!A78)</f>
        <v>78</v>
      </c>
      <c r="E147" t="s">
        <v>17</v>
      </c>
      <c r="F147" t="s">
        <v>164</v>
      </c>
      <c r="G147" t="s">
        <v>165</v>
      </c>
      <c r="H147" t="s">
        <v>166</v>
      </c>
      <c r="I147">
        <f>ROUND(3.3/100,9)</f>
        <v>3.3000000000000002E-2</v>
      </c>
      <c r="J147">
        <v>0</v>
      </c>
      <c r="K147">
        <f>ROUND(3.3/100,9)</f>
        <v>3.3000000000000002E-2</v>
      </c>
      <c r="O147">
        <f t="shared" si="113"/>
        <v>1991.33</v>
      </c>
      <c r="P147">
        <f t="shared" si="114"/>
        <v>53.73</v>
      </c>
      <c r="Q147">
        <f t="shared" si="115"/>
        <v>20.87</v>
      </c>
      <c r="R147">
        <f t="shared" si="116"/>
        <v>1.47</v>
      </c>
      <c r="S147">
        <f t="shared" si="117"/>
        <v>1916.73</v>
      </c>
      <c r="T147">
        <f t="shared" si="118"/>
        <v>0</v>
      </c>
      <c r="U147">
        <f t="shared" si="119"/>
        <v>6.3175365000000001</v>
      </c>
      <c r="V147">
        <f t="shared" si="120"/>
        <v>3.3000000000000004E-3</v>
      </c>
      <c r="W147">
        <f t="shared" si="121"/>
        <v>0</v>
      </c>
      <c r="X147">
        <f t="shared" si="122"/>
        <v>1822.29</v>
      </c>
      <c r="Y147">
        <f t="shared" si="123"/>
        <v>901.55</v>
      </c>
      <c r="AA147">
        <v>35822480</v>
      </c>
      <c r="AB147">
        <f t="shared" si="124"/>
        <v>2294.1909999999998</v>
      </c>
      <c r="AC147">
        <f t="shared" si="125"/>
        <v>478.86</v>
      </c>
      <c r="AD147">
        <f>ROUND(((((ET147*1.25))-((EU147*1.25)))+AE147),6)</f>
        <v>57.912500000000001</v>
      </c>
      <c r="AE147">
        <f>ROUND(((EU147*1.25)),6)</f>
        <v>1.35</v>
      </c>
      <c r="AF147">
        <f>ROUND(((EV147*1.15)),6)</f>
        <v>1757.4185</v>
      </c>
      <c r="AG147">
        <f t="shared" si="126"/>
        <v>0</v>
      </c>
      <c r="AH147">
        <f>((EW147*1.15))</f>
        <v>191.44049999999999</v>
      </c>
      <c r="AI147">
        <f>((EX147*1.25))</f>
        <v>0.1</v>
      </c>
      <c r="AJ147">
        <f t="shared" si="127"/>
        <v>0</v>
      </c>
      <c r="AK147">
        <v>2053.38</v>
      </c>
      <c r="AL147">
        <v>478.86</v>
      </c>
      <c r="AM147">
        <v>46.33</v>
      </c>
      <c r="AN147">
        <v>1.08</v>
      </c>
      <c r="AO147">
        <v>1528.19</v>
      </c>
      <c r="AP147">
        <v>0</v>
      </c>
      <c r="AQ147">
        <v>166.47</v>
      </c>
      <c r="AR147">
        <v>0.08</v>
      </c>
      <c r="AS147">
        <v>0</v>
      </c>
      <c r="AT147">
        <v>95</v>
      </c>
      <c r="AU147">
        <v>47</v>
      </c>
      <c r="AV147">
        <v>1</v>
      </c>
      <c r="AW147">
        <v>1</v>
      </c>
      <c r="AZ147">
        <v>1</v>
      </c>
      <c r="BA147">
        <v>33.049999999999997</v>
      </c>
      <c r="BB147">
        <v>10.92</v>
      </c>
      <c r="BC147">
        <v>3.4</v>
      </c>
      <c r="BD147" t="s">
        <v>3</v>
      </c>
      <c r="BE147" t="s">
        <v>3</v>
      </c>
      <c r="BF147" t="s">
        <v>3</v>
      </c>
      <c r="BG147" t="s">
        <v>3</v>
      </c>
      <c r="BH147">
        <v>0</v>
      </c>
      <c r="BI147">
        <v>1</v>
      </c>
      <c r="BJ147" t="s">
        <v>167</v>
      </c>
      <c r="BM147">
        <v>15001</v>
      </c>
      <c r="BN147">
        <v>0</v>
      </c>
      <c r="BO147" t="s">
        <v>164</v>
      </c>
      <c r="BP147">
        <v>1</v>
      </c>
      <c r="BQ147">
        <v>2</v>
      </c>
      <c r="BR147">
        <v>0</v>
      </c>
      <c r="BS147">
        <v>33.049999999999997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105</v>
      </c>
      <c r="CA147">
        <v>55</v>
      </c>
      <c r="CB147" t="s">
        <v>3</v>
      </c>
      <c r="CE147">
        <v>0</v>
      </c>
      <c r="CF147">
        <v>0</v>
      </c>
      <c r="CG147">
        <v>0</v>
      </c>
      <c r="CM147">
        <v>0</v>
      </c>
      <c r="CN147" t="s">
        <v>3</v>
      </c>
      <c r="CO147">
        <v>0</v>
      </c>
      <c r="CP147">
        <f t="shared" si="128"/>
        <v>1991.33</v>
      </c>
      <c r="CQ147">
        <f t="shared" si="129"/>
        <v>1628.124</v>
      </c>
      <c r="CR147">
        <f t="shared" si="130"/>
        <v>632.40449999999998</v>
      </c>
      <c r="CS147">
        <f t="shared" si="131"/>
        <v>44.6175</v>
      </c>
      <c r="CT147">
        <f t="shared" si="132"/>
        <v>58082.681424999995</v>
      </c>
      <c r="CU147">
        <f t="shared" si="133"/>
        <v>0</v>
      </c>
      <c r="CV147">
        <f t="shared" si="134"/>
        <v>191.44049999999999</v>
      </c>
      <c r="CW147">
        <f t="shared" si="135"/>
        <v>0.1</v>
      </c>
      <c r="CX147">
        <f t="shared" si="136"/>
        <v>0</v>
      </c>
      <c r="CY147">
        <f t="shared" si="137"/>
        <v>1822.29</v>
      </c>
      <c r="CZ147">
        <f t="shared" si="138"/>
        <v>901.55400000000009</v>
      </c>
      <c r="DC147" t="s">
        <v>3</v>
      </c>
      <c r="DD147" t="s">
        <v>3</v>
      </c>
      <c r="DE147" t="s">
        <v>117</v>
      </c>
      <c r="DF147" t="s">
        <v>117</v>
      </c>
      <c r="DG147" t="s">
        <v>118</v>
      </c>
      <c r="DH147" t="s">
        <v>3</v>
      </c>
      <c r="DI147" t="s">
        <v>118</v>
      </c>
      <c r="DJ147" t="s">
        <v>117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1013</v>
      </c>
      <c r="DV147" t="s">
        <v>166</v>
      </c>
      <c r="DW147" t="s">
        <v>166</v>
      </c>
      <c r="DX147">
        <v>1</v>
      </c>
      <c r="DZ147" t="s">
        <v>3</v>
      </c>
      <c r="EA147" t="s">
        <v>3</v>
      </c>
      <c r="EB147" t="s">
        <v>3</v>
      </c>
      <c r="EC147" t="s">
        <v>3</v>
      </c>
      <c r="EE147">
        <v>36260452</v>
      </c>
      <c r="EF147">
        <v>2</v>
      </c>
      <c r="EG147" t="s">
        <v>109</v>
      </c>
      <c r="EH147">
        <v>0</v>
      </c>
      <c r="EI147" t="s">
        <v>3</v>
      </c>
      <c r="EJ147">
        <v>1</v>
      </c>
      <c r="EK147">
        <v>15001</v>
      </c>
      <c r="EL147" t="s">
        <v>119</v>
      </c>
      <c r="EM147" t="s">
        <v>120</v>
      </c>
      <c r="EO147" t="s">
        <v>3</v>
      </c>
      <c r="EQ147">
        <v>0</v>
      </c>
      <c r="ER147">
        <v>2053.38</v>
      </c>
      <c r="ES147">
        <v>478.86</v>
      </c>
      <c r="ET147">
        <v>46.33</v>
      </c>
      <c r="EU147">
        <v>1.08</v>
      </c>
      <c r="EV147">
        <v>1528.19</v>
      </c>
      <c r="EW147">
        <v>166.47</v>
      </c>
      <c r="EX147">
        <v>0.08</v>
      </c>
      <c r="EY147">
        <v>0</v>
      </c>
      <c r="FQ147">
        <v>0</v>
      </c>
      <c r="FR147">
        <f t="shared" si="139"/>
        <v>0</v>
      </c>
      <c r="FS147">
        <v>0</v>
      </c>
      <c r="FT147" t="s">
        <v>111</v>
      </c>
      <c r="FU147" t="s">
        <v>112</v>
      </c>
      <c r="FX147">
        <v>94.5</v>
      </c>
      <c r="FY147">
        <v>46.75</v>
      </c>
      <c r="GA147" t="s">
        <v>3</v>
      </c>
      <c r="GD147">
        <v>1</v>
      </c>
      <c r="GF147">
        <v>-222903101</v>
      </c>
      <c r="GG147">
        <v>2</v>
      </c>
      <c r="GH147">
        <v>1</v>
      </c>
      <c r="GI147">
        <v>2</v>
      </c>
      <c r="GJ147">
        <v>0</v>
      </c>
      <c r="GK147">
        <v>0</v>
      </c>
      <c r="GL147">
        <f t="shared" si="140"/>
        <v>0</v>
      </c>
      <c r="GM147">
        <f t="shared" si="141"/>
        <v>4715.17</v>
      </c>
      <c r="GN147">
        <f t="shared" si="142"/>
        <v>4715.17</v>
      </c>
      <c r="GO147">
        <f t="shared" si="143"/>
        <v>0</v>
      </c>
      <c r="GP147">
        <f t="shared" si="144"/>
        <v>0</v>
      </c>
      <c r="GR147">
        <v>0</v>
      </c>
      <c r="GS147">
        <v>3</v>
      </c>
      <c r="GT147">
        <v>0</v>
      </c>
      <c r="GU147" t="s">
        <v>3</v>
      </c>
      <c r="GV147">
        <f t="shared" si="145"/>
        <v>0</v>
      </c>
      <c r="GW147">
        <v>1</v>
      </c>
      <c r="GX147">
        <f t="shared" si="146"/>
        <v>0</v>
      </c>
      <c r="HA147">
        <v>0</v>
      </c>
      <c r="HB147">
        <v>0</v>
      </c>
      <c r="HC147">
        <f t="shared" si="147"/>
        <v>0</v>
      </c>
      <c r="HE147" t="s">
        <v>3</v>
      </c>
      <c r="HF147" t="s">
        <v>3</v>
      </c>
      <c r="HM147" t="s">
        <v>3</v>
      </c>
      <c r="IK147">
        <v>0</v>
      </c>
    </row>
    <row r="148" spans="1:245">
      <c r="A148">
        <v>17</v>
      </c>
      <c r="B148">
        <v>1</v>
      </c>
      <c r="C148">
        <f>ROW(SmtRes!A76)</f>
        <v>76</v>
      </c>
      <c r="D148">
        <f>ROW(EtalonRes!A79)</f>
        <v>79</v>
      </c>
      <c r="E148" t="s">
        <v>38</v>
      </c>
      <c r="F148" t="s">
        <v>168</v>
      </c>
      <c r="G148" t="s">
        <v>169</v>
      </c>
      <c r="H148" t="s">
        <v>124</v>
      </c>
      <c r="I148">
        <f>ROUND(129/100,9)</f>
        <v>1.29</v>
      </c>
      <c r="J148">
        <v>0</v>
      </c>
      <c r="K148">
        <f>ROUND(129/100,9)</f>
        <v>1.29</v>
      </c>
      <c r="O148">
        <f t="shared" si="113"/>
        <v>7588.94</v>
      </c>
      <c r="P148">
        <f t="shared" si="114"/>
        <v>0</v>
      </c>
      <c r="Q148">
        <f t="shared" si="115"/>
        <v>0</v>
      </c>
      <c r="R148">
        <f t="shared" si="116"/>
        <v>0</v>
      </c>
      <c r="S148">
        <f t="shared" si="117"/>
        <v>7588.94</v>
      </c>
      <c r="T148">
        <f t="shared" si="118"/>
        <v>0</v>
      </c>
      <c r="U148">
        <f t="shared" si="119"/>
        <v>29.437800000000003</v>
      </c>
      <c r="V148">
        <f t="shared" si="120"/>
        <v>0</v>
      </c>
      <c r="W148">
        <f t="shared" si="121"/>
        <v>0</v>
      </c>
      <c r="X148">
        <f t="shared" si="122"/>
        <v>7513.05</v>
      </c>
      <c r="Y148">
        <f t="shared" si="123"/>
        <v>4553.3599999999997</v>
      </c>
      <c r="AA148">
        <v>35822480</v>
      </c>
      <c r="AB148">
        <f t="shared" si="124"/>
        <v>178</v>
      </c>
      <c r="AC148">
        <f t="shared" si="125"/>
        <v>0</v>
      </c>
      <c r="AD148">
        <f>ROUND((((ET148)-(EU148))+AE148),6)</f>
        <v>0</v>
      </c>
      <c r="AE148">
        <f>ROUND((EU148),6)</f>
        <v>0</v>
      </c>
      <c r="AF148">
        <f>ROUND((EV148),6)</f>
        <v>178</v>
      </c>
      <c r="AG148">
        <f t="shared" si="126"/>
        <v>0</v>
      </c>
      <c r="AH148">
        <f>(EW148)</f>
        <v>22.82</v>
      </c>
      <c r="AI148">
        <f>(EX148)</f>
        <v>0</v>
      </c>
      <c r="AJ148">
        <f t="shared" si="127"/>
        <v>0</v>
      </c>
      <c r="AK148">
        <v>178</v>
      </c>
      <c r="AL148">
        <v>0</v>
      </c>
      <c r="AM148">
        <v>0</v>
      </c>
      <c r="AN148">
        <v>0</v>
      </c>
      <c r="AO148">
        <v>178</v>
      </c>
      <c r="AP148">
        <v>0</v>
      </c>
      <c r="AQ148">
        <v>22.82</v>
      </c>
      <c r="AR148">
        <v>0</v>
      </c>
      <c r="AS148">
        <v>0</v>
      </c>
      <c r="AT148">
        <v>99</v>
      </c>
      <c r="AU148">
        <v>60</v>
      </c>
      <c r="AV148">
        <v>1</v>
      </c>
      <c r="AW148">
        <v>1</v>
      </c>
      <c r="AZ148">
        <v>1</v>
      </c>
      <c r="BA148">
        <v>33.049999999999997</v>
      </c>
      <c r="BB148">
        <v>1</v>
      </c>
      <c r="BC148">
        <v>1</v>
      </c>
      <c r="BD148" t="s">
        <v>3</v>
      </c>
      <c r="BE148" t="s">
        <v>3</v>
      </c>
      <c r="BF148" t="s">
        <v>3</v>
      </c>
      <c r="BG148" t="s">
        <v>3</v>
      </c>
      <c r="BH148">
        <v>0</v>
      </c>
      <c r="BI148">
        <v>1</v>
      </c>
      <c r="BJ148" t="s">
        <v>170</v>
      </c>
      <c r="BM148">
        <v>46001</v>
      </c>
      <c r="BN148">
        <v>0</v>
      </c>
      <c r="BO148" t="s">
        <v>168</v>
      </c>
      <c r="BP148">
        <v>1</v>
      </c>
      <c r="BQ148">
        <v>2</v>
      </c>
      <c r="BR148">
        <v>0</v>
      </c>
      <c r="BS148">
        <v>33.049999999999997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110</v>
      </c>
      <c r="CA148">
        <v>70</v>
      </c>
      <c r="CB148" t="s">
        <v>3</v>
      </c>
      <c r="CE148">
        <v>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128"/>
        <v>7588.94</v>
      </c>
      <c r="CQ148">
        <f t="shared" si="129"/>
        <v>0</v>
      </c>
      <c r="CR148">
        <f t="shared" si="130"/>
        <v>0</v>
      </c>
      <c r="CS148">
        <f t="shared" si="131"/>
        <v>0</v>
      </c>
      <c r="CT148">
        <f t="shared" si="132"/>
        <v>5882.9</v>
      </c>
      <c r="CU148">
        <f t="shared" si="133"/>
        <v>0</v>
      </c>
      <c r="CV148">
        <f t="shared" si="134"/>
        <v>22.82</v>
      </c>
      <c r="CW148">
        <f t="shared" si="135"/>
        <v>0</v>
      </c>
      <c r="CX148">
        <f t="shared" si="136"/>
        <v>0</v>
      </c>
      <c r="CY148">
        <f t="shared" si="137"/>
        <v>7513.0505999999996</v>
      </c>
      <c r="CZ148">
        <f t="shared" si="138"/>
        <v>4553.3639999999996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1005</v>
      </c>
      <c r="DV148" t="s">
        <v>124</v>
      </c>
      <c r="DW148" t="s">
        <v>124</v>
      </c>
      <c r="DX148">
        <v>100</v>
      </c>
      <c r="DZ148" t="s">
        <v>3</v>
      </c>
      <c r="EA148" t="s">
        <v>3</v>
      </c>
      <c r="EB148" t="s">
        <v>3</v>
      </c>
      <c r="EC148" t="s">
        <v>3</v>
      </c>
      <c r="EE148">
        <v>36260494</v>
      </c>
      <c r="EF148">
        <v>2</v>
      </c>
      <c r="EG148" t="s">
        <v>109</v>
      </c>
      <c r="EH148">
        <v>0</v>
      </c>
      <c r="EI148" t="s">
        <v>3</v>
      </c>
      <c r="EJ148">
        <v>1</v>
      </c>
      <c r="EK148">
        <v>46001</v>
      </c>
      <c r="EL148" t="s">
        <v>171</v>
      </c>
      <c r="EM148" t="s">
        <v>172</v>
      </c>
      <c r="EO148" t="s">
        <v>3</v>
      </c>
      <c r="EQ148">
        <v>0</v>
      </c>
      <c r="ER148">
        <v>178</v>
      </c>
      <c r="ES148">
        <v>0</v>
      </c>
      <c r="ET148">
        <v>0</v>
      </c>
      <c r="EU148">
        <v>0</v>
      </c>
      <c r="EV148">
        <v>178</v>
      </c>
      <c r="EW148">
        <v>22.82</v>
      </c>
      <c r="EX148">
        <v>0</v>
      </c>
      <c r="EY148">
        <v>0</v>
      </c>
      <c r="FQ148">
        <v>0</v>
      </c>
      <c r="FR148">
        <f t="shared" si="139"/>
        <v>0</v>
      </c>
      <c r="FS148">
        <v>0</v>
      </c>
      <c r="FT148" t="s">
        <v>111</v>
      </c>
      <c r="FU148" t="s">
        <v>112</v>
      </c>
      <c r="FX148">
        <v>99</v>
      </c>
      <c r="FY148">
        <v>59.5</v>
      </c>
      <c r="GA148" t="s">
        <v>3</v>
      </c>
      <c r="GD148">
        <v>1</v>
      </c>
      <c r="GF148">
        <v>1912073335</v>
      </c>
      <c r="GG148">
        <v>2</v>
      </c>
      <c r="GH148">
        <v>1</v>
      </c>
      <c r="GI148">
        <v>2</v>
      </c>
      <c r="GJ148">
        <v>0</v>
      </c>
      <c r="GK148">
        <v>0</v>
      </c>
      <c r="GL148">
        <f t="shared" si="140"/>
        <v>0</v>
      </c>
      <c r="GM148">
        <f t="shared" si="141"/>
        <v>19655.349999999999</v>
      </c>
      <c r="GN148">
        <f t="shared" si="142"/>
        <v>19655.349999999999</v>
      </c>
      <c r="GO148">
        <f t="shared" si="143"/>
        <v>0</v>
      </c>
      <c r="GP148">
        <f t="shared" si="144"/>
        <v>0</v>
      </c>
      <c r="GR148">
        <v>0</v>
      </c>
      <c r="GS148">
        <v>3</v>
      </c>
      <c r="GT148">
        <v>0</v>
      </c>
      <c r="GU148" t="s">
        <v>3</v>
      </c>
      <c r="GV148">
        <f t="shared" si="145"/>
        <v>0</v>
      </c>
      <c r="GW148">
        <v>1</v>
      </c>
      <c r="GX148">
        <f t="shared" si="146"/>
        <v>0</v>
      </c>
      <c r="HA148">
        <v>0</v>
      </c>
      <c r="HB148">
        <v>0</v>
      </c>
      <c r="HC148">
        <f t="shared" si="147"/>
        <v>0</v>
      </c>
      <c r="HE148" t="s">
        <v>3</v>
      </c>
      <c r="HF148" t="s">
        <v>3</v>
      </c>
      <c r="HM148" t="s">
        <v>3</v>
      </c>
      <c r="IK148">
        <v>0</v>
      </c>
    </row>
    <row r="149" spans="1:245">
      <c r="A149">
        <v>17</v>
      </c>
      <c r="B149">
        <v>1</v>
      </c>
      <c r="C149">
        <f>ROW(SmtRes!A84)</f>
        <v>84</v>
      </c>
      <c r="D149">
        <f>ROW(EtalonRes!A87)</f>
        <v>87</v>
      </c>
      <c r="E149" t="s">
        <v>173</v>
      </c>
      <c r="F149" t="s">
        <v>174</v>
      </c>
      <c r="G149" t="s">
        <v>175</v>
      </c>
      <c r="H149" t="s">
        <v>176</v>
      </c>
      <c r="I149">
        <f>ROUND(129/100,9)</f>
        <v>1.29</v>
      </c>
      <c r="J149">
        <v>0</v>
      </c>
      <c r="K149">
        <f>ROUND(129/100,9)</f>
        <v>1.29</v>
      </c>
      <c r="O149">
        <f t="shared" si="113"/>
        <v>45783.44</v>
      </c>
      <c r="P149">
        <f t="shared" si="114"/>
        <v>8752.98</v>
      </c>
      <c r="Q149">
        <f t="shared" si="115"/>
        <v>2814.61</v>
      </c>
      <c r="R149">
        <f t="shared" si="116"/>
        <v>2447.75</v>
      </c>
      <c r="S149">
        <f t="shared" si="117"/>
        <v>34215.85</v>
      </c>
      <c r="T149">
        <f t="shared" si="118"/>
        <v>0</v>
      </c>
      <c r="U149">
        <f t="shared" si="119"/>
        <v>110.13503999999999</v>
      </c>
      <c r="V149">
        <f t="shared" si="120"/>
        <v>8.0947499999999994</v>
      </c>
      <c r="W149">
        <f t="shared" si="121"/>
        <v>0</v>
      </c>
      <c r="X149">
        <f t="shared" si="122"/>
        <v>34830.42</v>
      </c>
      <c r="Y149">
        <f t="shared" si="123"/>
        <v>17231.89</v>
      </c>
      <c r="AA149">
        <v>35822480</v>
      </c>
      <c r="AB149">
        <f t="shared" si="124"/>
        <v>1911.9490000000001</v>
      </c>
      <c r="AC149">
        <f t="shared" si="125"/>
        <v>1008.21</v>
      </c>
      <c r="AD149">
        <f>ROUND(((((ET149*1.25))-((EU149*1.25)))+AE149),6)</f>
        <v>101.2</v>
      </c>
      <c r="AE149">
        <f>ROUND(((EU149*1.25)),6)</f>
        <v>57.412500000000001</v>
      </c>
      <c r="AF149">
        <f>ROUND(((EV149*1.15)),6)</f>
        <v>802.53899999999999</v>
      </c>
      <c r="AG149">
        <f t="shared" si="126"/>
        <v>0</v>
      </c>
      <c r="AH149">
        <f>((EW149*1.15))</f>
        <v>85.375999999999991</v>
      </c>
      <c r="AI149">
        <f>((EX149*1.25))</f>
        <v>6.2749999999999995</v>
      </c>
      <c r="AJ149">
        <f t="shared" si="127"/>
        <v>0</v>
      </c>
      <c r="AK149">
        <v>1787.03</v>
      </c>
      <c r="AL149">
        <v>1008.21</v>
      </c>
      <c r="AM149">
        <v>80.959999999999994</v>
      </c>
      <c r="AN149">
        <v>45.93</v>
      </c>
      <c r="AO149">
        <v>697.86</v>
      </c>
      <c r="AP149">
        <v>0</v>
      </c>
      <c r="AQ149">
        <v>74.239999999999995</v>
      </c>
      <c r="AR149">
        <v>5.0199999999999996</v>
      </c>
      <c r="AS149">
        <v>0</v>
      </c>
      <c r="AT149">
        <v>95</v>
      </c>
      <c r="AU149">
        <v>47</v>
      </c>
      <c r="AV149">
        <v>1</v>
      </c>
      <c r="AW149">
        <v>1</v>
      </c>
      <c r="AZ149">
        <v>1</v>
      </c>
      <c r="BA149">
        <v>33.049999999999997</v>
      </c>
      <c r="BB149">
        <v>21.56</v>
      </c>
      <c r="BC149">
        <v>6.73</v>
      </c>
      <c r="BD149" t="s">
        <v>3</v>
      </c>
      <c r="BE149" t="s">
        <v>3</v>
      </c>
      <c r="BF149" t="s">
        <v>3</v>
      </c>
      <c r="BG149" t="s">
        <v>3</v>
      </c>
      <c r="BH149">
        <v>0</v>
      </c>
      <c r="BI149">
        <v>1</v>
      </c>
      <c r="BJ149" t="s">
        <v>177</v>
      </c>
      <c r="BM149">
        <v>15001</v>
      </c>
      <c r="BN149">
        <v>0</v>
      </c>
      <c r="BO149" t="s">
        <v>174</v>
      </c>
      <c r="BP149">
        <v>1</v>
      </c>
      <c r="BQ149">
        <v>2</v>
      </c>
      <c r="BR149">
        <v>0</v>
      </c>
      <c r="BS149">
        <v>33.049999999999997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105</v>
      </c>
      <c r="CA149">
        <v>55</v>
      </c>
      <c r="CB149" t="s">
        <v>3</v>
      </c>
      <c r="CE149">
        <v>0</v>
      </c>
      <c r="CF149">
        <v>0</v>
      </c>
      <c r="CG149">
        <v>0</v>
      </c>
      <c r="CM149">
        <v>0</v>
      </c>
      <c r="CN149" t="s">
        <v>468</v>
      </c>
      <c r="CO149">
        <v>0</v>
      </c>
      <c r="CP149">
        <f t="shared" si="128"/>
        <v>45783.44</v>
      </c>
      <c r="CQ149">
        <f t="shared" si="129"/>
        <v>6785.2533000000003</v>
      </c>
      <c r="CR149">
        <f t="shared" si="130"/>
        <v>2181.8719999999998</v>
      </c>
      <c r="CS149">
        <f t="shared" si="131"/>
        <v>1897.483125</v>
      </c>
      <c r="CT149">
        <f t="shared" si="132"/>
        <v>26523.913949999998</v>
      </c>
      <c r="CU149">
        <f t="shared" si="133"/>
        <v>0</v>
      </c>
      <c r="CV149">
        <f t="shared" si="134"/>
        <v>85.375999999999991</v>
      </c>
      <c r="CW149">
        <f t="shared" si="135"/>
        <v>6.2749999999999995</v>
      </c>
      <c r="CX149">
        <f t="shared" si="136"/>
        <v>0</v>
      </c>
      <c r="CY149">
        <f t="shared" si="137"/>
        <v>34830.42</v>
      </c>
      <c r="CZ149">
        <f t="shared" si="138"/>
        <v>17231.892</v>
      </c>
      <c r="DC149" t="s">
        <v>3</v>
      </c>
      <c r="DD149" t="s">
        <v>3</v>
      </c>
      <c r="DE149" t="s">
        <v>117</v>
      </c>
      <c r="DF149" t="s">
        <v>117</v>
      </c>
      <c r="DG149" t="s">
        <v>118</v>
      </c>
      <c r="DH149" t="s">
        <v>3</v>
      </c>
      <c r="DI149" t="s">
        <v>118</v>
      </c>
      <c r="DJ149" t="s">
        <v>117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1013</v>
      </c>
      <c r="DV149" t="s">
        <v>176</v>
      </c>
      <c r="DW149" t="s">
        <v>176</v>
      </c>
      <c r="DX149">
        <v>1</v>
      </c>
      <c r="DZ149" t="s">
        <v>3</v>
      </c>
      <c r="EA149" t="s">
        <v>3</v>
      </c>
      <c r="EB149" t="s">
        <v>3</v>
      </c>
      <c r="EC149" t="s">
        <v>3</v>
      </c>
      <c r="EE149">
        <v>36260452</v>
      </c>
      <c r="EF149">
        <v>2</v>
      </c>
      <c r="EG149" t="s">
        <v>109</v>
      </c>
      <c r="EH149">
        <v>0</v>
      </c>
      <c r="EI149" t="s">
        <v>3</v>
      </c>
      <c r="EJ149">
        <v>1</v>
      </c>
      <c r="EK149">
        <v>15001</v>
      </c>
      <c r="EL149" t="s">
        <v>119</v>
      </c>
      <c r="EM149" t="s">
        <v>120</v>
      </c>
      <c r="EO149" t="s">
        <v>121</v>
      </c>
      <c r="EQ149">
        <v>0</v>
      </c>
      <c r="ER149">
        <v>1787.03</v>
      </c>
      <c r="ES149">
        <v>1008.21</v>
      </c>
      <c r="ET149">
        <v>80.959999999999994</v>
      </c>
      <c r="EU149">
        <v>45.93</v>
      </c>
      <c r="EV149">
        <v>697.86</v>
      </c>
      <c r="EW149">
        <v>74.239999999999995</v>
      </c>
      <c r="EX149">
        <v>5.0199999999999996</v>
      </c>
      <c r="EY149">
        <v>0</v>
      </c>
      <c r="FQ149">
        <v>0</v>
      </c>
      <c r="FR149">
        <f t="shared" si="139"/>
        <v>0</v>
      </c>
      <c r="FS149">
        <v>0</v>
      </c>
      <c r="FT149" t="s">
        <v>111</v>
      </c>
      <c r="FU149" t="s">
        <v>112</v>
      </c>
      <c r="FX149">
        <v>94.5</v>
      </c>
      <c r="FY149">
        <v>46.75</v>
      </c>
      <c r="GA149" t="s">
        <v>3</v>
      </c>
      <c r="GD149">
        <v>1</v>
      </c>
      <c r="GF149">
        <v>-1726448799</v>
      </c>
      <c r="GG149">
        <v>2</v>
      </c>
      <c r="GH149">
        <v>1</v>
      </c>
      <c r="GI149">
        <v>2</v>
      </c>
      <c r="GJ149">
        <v>0</v>
      </c>
      <c r="GK149">
        <v>0</v>
      </c>
      <c r="GL149">
        <f t="shared" si="140"/>
        <v>0</v>
      </c>
      <c r="GM149">
        <f t="shared" si="141"/>
        <v>97845.75</v>
      </c>
      <c r="GN149">
        <f t="shared" si="142"/>
        <v>97845.75</v>
      </c>
      <c r="GO149">
        <f t="shared" si="143"/>
        <v>0</v>
      </c>
      <c r="GP149">
        <f t="shared" si="144"/>
        <v>0</v>
      </c>
      <c r="GR149">
        <v>0</v>
      </c>
      <c r="GS149">
        <v>3</v>
      </c>
      <c r="GT149">
        <v>0</v>
      </c>
      <c r="GU149" t="s">
        <v>3</v>
      </c>
      <c r="GV149">
        <f t="shared" si="145"/>
        <v>0</v>
      </c>
      <c r="GW149">
        <v>1</v>
      </c>
      <c r="GX149">
        <f t="shared" si="146"/>
        <v>0</v>
      </c>
      <c r="HA149">
        <v>0</v>
      </c>
      <c r="HB149">
        <v>0</v>
      </c>
      <c r="HC149">
        <f t="shared" si="147"/>
        <v>0</v>
      </c>
      <c r="HE149" t="s">
        <v>3</v>
      </c>
      <c r="HF149" t="s">
        <v>3</v>
      </c>
      <c r="HM149" t="s">
        <v>3</v>
      </c>
      <c r="IK149">
        <v>0</v>
      </c>
    </row>
    <row r="150" spans="1:245">
      <c r="A150">
        <v>17</v>
      </c>
      <c r="B150">
        <v>1</v>
      </c>
      <c r="C150">
        <f>ROW(SmtRes!A92)</f>
        <v>92</v>
      </c>
      <c r="D150">
        <f>ROW(EtalonRes!A95)</f>
        <v>95</v>
      </c>
      <c r="E150" t="s">
        <v>127</v>
      </c>
      <c r="F150" t="s">
        <v>178</v>
      </c>
      <c r="G150" t="s">
        <v>179</v>
      </c>
      <c r="H150" t="s">
        <v>180</v>
      </c>
      <c r="I150">
        <f>ROUND(129/100,9)</f>
        <v>1.29</v>
      </c>
      <c r="J150">
        <v>0</v>
      </c>
      <c r="K150">
        <f>ROUND(129/100,9)</f>
        <v>1.29</v>
      </c>
      <c r="O150">
        <f t="shared" si="113"/>
        <v>37832.51</v>
      </c>
      <c r="P150">
        <f t="shared" si="114"/>
        <v>6970.57</v>
      </c>
      <c r="Q150">
        <f t="shared" si="115"/>
        <v>632.20000000000005</v>
      </c>
      <c r="R150">
        <f t="shared" si="116"/>
        <v>43.17</v>
      </c>
      <c r="S150">
        <f t="shared" si="117"/>
        <v>30229.74</v>
      </c>
      <c r="T150">
        <f t="shared" si="118"/>
        <v>0</v>
      </c>
      <c r="U150">
        <f t="shared" si="119"/>
        <v>87.111119999999985</v>
      </c>
      <c r="V150">
        <f t="shared" si="120"/>
        <v>9.6750000000000003E-2</v>
      </c>
      <c r="W150">
        <f t="shared" si="121"/>
        <v>0</v>
      </c>
      <c r="X150">
        <f t="shared" si="122"/>
        <v>28759.26</v>
      </c>
      <c r="Y150">
        <f t="shared" si="123"/>
        <v>14228.27</v>
      </c>
      <c r="AA150">
        <v>35822480</v>
      </c>
      <c r="AB150">
        <f t="shared" si="124"/>
        <v>9761.9415000000008</v>
      </c>
      <c r="AC150">
        <f t="shared" si="125"/>
        <v>9005.91</v>
      </c>
      <c r="AD150">
        <f>ROUND(((((ET150*1.25))-((EU150*1.25)))+AE150),6)</f>
        <v>46.987499999999997</v>
      </c>
      <c r="AE150">
        <f>ROUND(((EU150*1.25)),6)</f>
        <v>1.0125</v>
      </c>
      <c r="AF150">
        <f>ROUND(((EV150*1.15)),6)</f>
        <v>709.04399999999998</v>
      </c>
      <c r="AG150">
        <f t="shared" si="126"/>
        <v>0</v>
      </c>
      <c r="AH150">
        <f>((EW150*1.15))</f>
        <v>67.527999999999992</v>
      </c>
      <c r="AI150">
        <f>((EX150*1.25))</f>
        <v>7.4999999999999997E-2</v>
      </c>
      <c r="AJ150">
        <f t="shared" si="127"/>
        <v>0</v>
      </c>
      <c r="AK150">
        <v>9660.06</v>
      </c>
      <c r="AL150">
        <v>9005.91</v>
      </c>
      <c r="AM150">
        <v>37.590000000000003</v>
      </c>
      <c r="AN150">
        <v>0.81</v>
      </c>
      <c r="AO150">
        <v>616.55999999999995</v>
      </c>
      <c r="AP150">
        <v>0</v>
      </c>
      <c r="AQ150">
        <v>58.72</v>
      </c>
      <c r="AR150">
        <v>0.06</v>
      </c>
      <c r="AS150">
        <v>0</v>
      </c>
      <c r="AT150">
        <v>95</v>
      </c>
      <c r="AU150">
        <v>47</v>
      </c>
      <c r="AV150">
        <v>1</v>
      </c>
      <c r="AW150">
        <v>1</v>
      </c>
      <c r="AZ150">
        <v>1</v>
      </c>
      <c r="BA150">
        <v>33.049999999999997</v>
      </c>
      <c r="BB150">
        <v>10.43</v>
      </c>
      <c r="BC150">
        <v>0.6</v>
      </c>
      <c r="BD150" t="s">
        <v>3</v>
      </c>
      <c r="BE150" t="s">
        <v>3</v>
      </c>
      <c r="BF150" t="s">
        <v>3</v>
      </c>
      <c r="BG150" t="s">
        <v>3</v>
      </c>
      <c r="BH150">
        <v>0</v>
      </c>
      <c r="BI150">
        <v>1</v>
      </c>
      <c r="BJ150" t="s">
        <v>181</v>
      </c>
      <c r="BM150">
        <v>15001</v>
      </c>
      <c r="BN150">
        <v>0</v>
      </c>
      <c r="BO150" t="s">
        <v>178</v>
      </c>
      <c r="BP150">
        <v>1</v>
      </c>
      <c r="BQ150">
        <v>2</v>
      </c>
      <c r="BR150">
        <v>0</v>
      </c>
      <c r="BS150">
        <v>33.049999999999997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105</v>
      </c>
      <c r="CA150">
        <v>55</v>
      </c>
      <c r="CB150" t="s">
        <v>3</v>
      </c>
      <c r="CE150">
        <v>0</v>
      </c>
      <c r="CF150">
        <v>0</v>
      </c>
      <c r="CG150">
        <v>0</v>
      </c>
      <c r="CM150">
        <v>0</v>
      </c>
      <c r="CN150" t="s">
        <v>468</v>
      </c>
      <c r="CO150">
        <v>0</v>
      </c>
      <c r="CP150">
        <f t="shared" si="128"/>
        <v>37832.51</v>
      </c>
      <c r="CQ150">
        <f t="shared" si="129"/>
        <v>5403.5459999999994</v>
      </c>
      <c r="CR150">
        <f t="shared" si="130"/>
        <v>490.07962499999996</v>
      </c>
      <c r="CS150">
        <f t="shared" si="131"/>
        <v>33.463124999999998</v>
      </c>
      <c r="CT150">
        <f t="shared" si="132"/>
        <v>23433.904199999997</v>
      </c>
      <c r="CU150">
        <f t="shared" si="133"/>
        <v>0</v>
      </c>
      <c r="CV150">
        <f t="shared" si="134"/>
        <v>67.527999999999992</v>
      </c>
      <c r="CW150">
        <f t="shared" si="135"/>
        <v>7.4999999999999997E-2</v>
      </c>
      <c r="CX150">
        <f t="shared" si="136"/>
        <v>0</v>
      </c>
      <c r="CY150">
        <f t="shared" si="137"/>
        <v>28759.264500000001</v>
      </c>
      <c r="CZ150">
        <f t="shared" si="138"/>
        <v>14228.2677</v>
      </c>
      <c r="DC150" t="s">
        <v>3</v>
      </c>
      <c r="DD150" t="s">
        <v>3</v>
      </c>
      <c r="DE150" t="s">
        <v>117</v>
      </c>
      <c r="DF150" t="s">
        <v>117</v>
      </c>
      <c r="DG150" t="s">
        <v>118</v>
      </c>
      <c r="DH150" t="s">
        <v>3</v>
      </c>
      <c r="DI150" t="s">
        <v>118</v>
      </c>
      <c r="DJ150" t="s">
        <v>117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1013</v>
      </c>
      <c r="DV150" t="s">
        <v>180</v>
      </c>
      <c r="DW150" t="s">
        <v>180</v>
      </c>
      <c r="DX150">
        <v>1</v>
      </c>
      <c r="DZ150" t="s">
        <v>3</v>
      </c>
      <c r="EA150" t="s">
        <v>3</v>
      </c>
      <c r="EB150" t="s">
        <v>3</v>
      </c>
      <c r="EC150" t="s">
        <v>3</v>
      </c>
      <c r="EE150">
        <v>36260452</v>
      </c>
      <c r="EF150">
        <v>2</v>
      </c>
      <c r="EG150" t="s">
        <v>109</v>
      </c>
      <c r="EH150">
        <v>0</v>
      </c>
      <c r="EI150" t="s">
        <v>3</v>
      </c>
      <c r="EJ150">
        <v>1</v>
      </c>
      <c r="EK150">
        <v>15001</v>
      </c>
      <c r="EL150" t="s">
        <v>119</v>
      </c>
      <c r="EM150" t="s">
        <v>120</v>
      </c>
      <c r="EO150" t="s">
        <v>121</v>
      </c>
      <c r="EQ150">
        <v>0</v>
      </c>
      <c r="ER150">
        <v>9660.06</v>
      </c>
      <c r="ES150">
        <v>9005.91</v>
      </c>
      <c r="ET150">
        <v>37.590000000000003</v>
      </c>
      <c r="EU150">
        <v>0.81</v>
      </c>
      <c r="EV150">
        <v>616.55999999999995</v>
      </c>
      <c r="EW150">
        <v>58.72</v>
      </c>
      <c r="EX150">
        <v>0.06</v>
      </c>
      <c r="EY150">
        <v>0</v>
      </c>
      <c r="FQ150">
        <v>0</v>
      </c>
      <c r="FR150">
        <f t="shared" si="139"/>
        <v>0</v>
      </c>
      <c r="FS150">
        <v>0</v>
      </c>
      <c r="FT150" t="s">
        <v>111</v>
      </c>
      <c r="FU150" t="s">
        <v>112</v>
      </c>
      <c r="FX150">
        <v>94.5</v>
      </c>
      <c r="FY150">
        <v>46.75</v>
      </c>
      <c r="GA150" t="s">
        <v>3</v>
      </c>
      <c r="GD150">
        <v>1</v>
      </c>
      <c r="GF150">
        <v>569427946</v>
      </c>
      <c r="GG150">
        <v>2</v>
      </c>
      <c r="GH150">
        <v>1</v>
      </c>
      <c r="GI150">
        <v>2</v>
      </c>
      <c r="GJ150">
        <v>0</v>
      </c>
      <c r="GK150">
        <v>0</v>
      </c>
      <c r="GL150">
        <f t="shared" si="140"/>
        <v>0</v>
      </c>
      <c r="GM150">
        <f t="shared" si="141"/>
        <v>80820.039999999994</v>
      </c>
      <c r="GN150">
        <f t="shared" si="142"/>
        <v>80820.039999999994</v>
      </c>
      <c r="GO150">
        <f t="shared" si="143"/>
        <v>0</v>
      </c>
      <c r="GP150">
        <f t="shared" si="144"/>
        <v>0</v>
      </c>
      <c r="GR150">
        <v>0</v>
      </c>
      <c r="GS150">
        <v>3</v>
      </c>
      <c r="GT150">
        <v>0</v>
      </c>
      <c r="GU150" t="s">
        <v>3</v>
      </c>
      <c r="GV150">
        <f t="shared" si="145"/>
        <v>0</v>
      </c>
      <c r="GW150">
        <v>1</v>
      </c>
      <c r="GX150">
        <f t="shared" si="146"/>
        <v>0</v>
      </c>
      <c r="HA150">
        <v>0</v>
      </c>
      <c r="HB150">
        <v>0</v>
      </c>
      <c r="HC150">
        <f t="shared" si="147"/>
        <v>0</v>
      </c>
      <c r="HE150" t="s">
        <v>3</v>
      </c>
      <c r="HF150" t="s">
        <v>3</v>
      </c>
      <c r="HM150" t="s">
        <v>3</v>
      </c>
      <c r="IK150">
        <v>0</v>
      </c>
    </row>
    <row r="151" spans="1:245">
      <c r="A151">
        <v>18</v>
      </c>
      <c r="B151">
        <v>1</v>
      </c>
      <c r="C151">
        <v>90</v>
      </c>
      <c r="E151" t="s">
        <v>182</v>
      </c>
      <c r="F151" t="s">
        <v>183</v>
      </c>
      <c r="G151" t="s">
        <v>184</v>
      </c>
      <c r="H151" t="s">
        <v>28</v>
      </c>
      <c r="I151">
        <f>I150*J151</f>
        <v>2.0639999999999995E-2</v>
      </c>
      <c r="J151">
        <v>1.5999999999999997E-2</v>
      </c>
      <c r="K151">
        <v>1.6E-2</v>
      </c>
      <c r="O151">
        <f t="shared" si="113"/>
        <v>0</v>
      </c>
      <c r="P151">
        <f t="shared" si="114"/>
        <v>0</v>
      </c>
      <c r="Q151">
        <f t="shared" si="115"/>
        <v>0</v>
      </c>
      <c r="R151">
        <f t="shared" si="116"/>
        <v>0</v>
      </c>
      <c r="S151">
        <f t="shared" si="117"/>
        <v>0</v>
      </c>
      <c r="T151">
        <f t="shared" si="118"/>
        <v>0</v>
      </c>
      <c r="U151">
        <f t="shared" si="119"/>
        <v>0</v>
      </c>
      <c r="V151">
        <f t="shared" si="120"/>
        <v>0</v>
      </c>
      <c r="W151">
        <f t="shared" si="121"/>
        <v>0</v>
      </c>
      <c r="X151">
        <f t="shared" si="122"/>
        <v>0</v>
      </c>
      <c r="Y151">
        <f t="shared" si="123"/>
        <v>0</v>
      </c>
      <c r="AA151">
        <v>35822480</v>
      </c>
      <c r="AB151">
        <f t="shared" si="124"/>
        <v>0</v>
      </c>
      <c r="AC151">
        <f t="shared" si="125"/>
        <v>0</v>
      </c>
      <c r="AD151">
        <f>ROUND((((ET151)-(EU151))+AE151),6)</f>
        <v>0</v>
      </c>
      <c r="AE151">
        <f>ROUND((EU151),6)</f>
        <v>0</v>
      </c>
      <c r="AF151">
        <f>ROUND((EV151),6)</f>
        <v>0</v>
      </c>
      <c r="AG151">
        <f t="shared" si="126"/>
        <v>0</v>
      </c>
      <c r="AH151">
        <f>(EW151)</f>
        <v>0</v>
      </c>
      <c r="AI151">
        <f>(EX151)</f>
        <v>0</v>
      </c>
      <c r="AJ151">
        <f t="shared" si="127"/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95</v>
      </c>
      <c r="AU151">
        <v>47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1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1</v>
      </c>
      <c r="BJ151" t="s">
        <v>185</v>
      </c>
      <c r="BM151">
        <v>15001</v>
      </c>
      <c r="BN151">
        <v>0</v>
      </c>
      <c r="BO151" t="s">
        <v>3</v>
      </c>
      <c r="BP151">
        <v>0</v>
      </c>
      <c r="BQ151">
        <v>2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105</v>
      </c>
      <c r="CA151">
        <v>55</v>
      </c>
      <c r="CB151" t="s">
        <v>3</v>
      </c>
      <c r="CE151">
        <v>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28"/>
        <v>0</v>
      </c>
      <c r="CQ151">
        <f t="shared" si="129"/>
        <v>0</v>
      </c>
      <c r="CR151">
        <f t="shared" si="130"/>
        <v>0</v>
      </c>
      <c r="CS151">
        <f t="shared" si="131"/>
        <v>0</v>
      </c>
      <c r="CT151">
        <f t="shared" si="132"/>
        <v>0</v>
      </c>
      <c r="CU151">
        <f t="shared" si="133"/>
        <v>0</v>
      </c>
      <c r="CV151">
        <f t="shared" si="134"/>
        <v>0</v>
      </c>
      <c r="CW151">
        <f t="shared" si="135"/>
        <v>0</v>
      </c>
      <c r="CX151">
        <f t="shared" si="136"/>
        <v>0</v>
      </c>
      <c r="CY151">
        <f t="shared" si="137"/>
        <v>0</v>
      </c>
      <c r="CZ151">
        <f t="shared" si="138"/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1009</v>
      </c>
      <c r="DV151" t="s">
        <v>28</v>
      </c>
      <c r="DW151" t="s">
        <v>28</v>
      </c>
      <c r="DX151">
        <v>1000</v>
      </c>
      <c r="DZ151" t="s">
        <v>3</v>
      </c>
      <c r="EA151" t="s">
        <v>3</v>
      </c>
      <c r="EB151" t="s">
        <v>3</v>
      </c>
      <c r="EC151" t="s">
        <v>3</v>
      </c>
      <c r="EE151">
        <v>36260452</v>
      </c>
      <c r="EF151">
        <v>2</v>
      </c>
      <c r="EG151" t="s">
        <v>109</v>
      </c>
      <c r="EH151">
        <v>0</v>
      </c>
      <c r="EI151" t="s">
        <v>3</v>
      </c>
      <c r="EJ151">
        <v>1</v>
      </c>
      <c r="EK151">
        <v>15001</v>
      </c>
      <c r="EL151" t="s">
        <v>119</v>
      </c>
      <c r="EM151" t="s">
        <v>120</v>
      </c>
      <c r="EO151" t="s">
        <v>3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FQ151">
        <v>0</v>
      </c>
      <c r="FR151">
        <f t="shared" si="139"/>
        <v>0</v>
      </c>
      <c r="FS151">
        <v>0</v>
      </c>
      <c r="FT151" t="s">
        <v>111</v>
      </c>
      <c r="FU151" t="s">
        <v>112</v>
      </c>
      <c r="FX151">
        <v>94.5</v>
      </c>
      <c r="FY151">
        <v>46.75</v>
      </c>
      <c r="GA151" t="s">
        <v>3</v>
      </c>
      <c r="GD151">
        <v>1</v>
      </c>
      <c r="GF151">
        <v>-373446375</v>
      </c>
      <c r="GG151">
        <v>2</v>
      </c>
      <c r="GH151">
        <v>1</v>
      </c>
      <c r="GI151">
        <v>-2</v>
      </c>
      <c r="GJ151">
        <v>0</v>
      </c>
      <c r="GK151">
        <v>0</v>
      </c>
      <c r="GL151">
        <f t="shared" si="140"/>
        <v>0</v>
      </c>
      <c r="GM151">
        <f t="shared" si="141"/>
        <v>0</v>
      </c>
      <c r="GN151">
        <f t="shared" si="142"/>
        <v>0</v>
      </c>
      <c r="GO151">
        <f t="shared" si="143"/>
        <v>0</v>
      </c>
      <c r="GP151">
        <f t="shared" si="144"/>
        <v>0</v>
      </c>
      <c r="GR151">
        <v>0</v>
      </c>
      <c r="GS151">
        <v>3</v>
      </c>
      <c r="GT151">
        <v>0</v>
      </c>
      <c r="GU151" t="s">
        <v>3</v>
      </c>
      <c r="GV151">
        <f t="shared" si="145"/>
        <v>0</v>
      </c>
      <c r="GW151">
        <v>1</v>
      </c>
      <c r="GX151">
        <f t="shared" si="146"/>
        <v>0</v>
      </c>
      <c r="HA151">
        <v>0</v>
      </c>
      <c r="HB151">
        <v>0</v>
      </c>
      <c r="HC151">
        <f t="shared" si="147"/>
        <v>0</v>
      </c>
      <c r="HE151" t="s">
        <v>3</v>
      </c>
      <c r="HF151" t="s">
        <v>3</v>
      </c>
      <c r="HM151" t="s">
        <v>3</v>
      </c>
      <c r="IK151">
        <v>0</v>
      </c>
    </row>
    <row r="152" spans="1:245">
      <c r="A152">
        <v>17</v>
      </c>
      <c r="B152">
        <v>1</v>
      </c>
      <c r="E152" t="s">
        <v>134</v>
      </c>
      <c r="F152" t="s">
        <v>186</v>
      </c>
      <c r="G152" t="s">
        <v>187</v>
      </c>
      <c r="H152" t="s">
        <v>188</v>
      </c>
      <c r="I152">
        <v>20</v>
      </c>
      <c r="J152">
        <v>0</v>
      </c>
      <c r="K152">
        <v>20</v>
      </c>
      <c r="O152">
        <f t="shared" si="113"/>
        <v>2417.4</v>
      </c>
      <c r="P152">
        <f t="shared" si="114"/>
        <v>2417.4</v>
      </c>
      <c r="Q152">
        <f t="shared" si="115"/>
        <v>0</v>
      </c>
      <c r="R152">
        <f t="shared" si="116"/>
        <v>0</v>
      </c>
      <c r="S152">
        <f t="shared" si="117"/>
        <v>0</v>
      </c>
      <c r="T152">
        <f t="shared" si="118"/>
        <v>0</v>
      </c>
      <c r="U152">
        <f t="shared" si="119"/>
        <v>0</v>
      </c>
      <c r="V152">
        <f t="shared" si="120"/>
        <v>0</v>
      </c>
      <c r="W152">
        <f t="shared" si="121"/>
        <v>49.2</v>
      </c>
      <c r="X152">
        <f t="shared" si="122"/>
        <v>0</v>
      </c>
      <c r="Y152">
        <f t="shared" si="123"/>
        <v>0</v>
      </c>
      <c r="AA152">
        <v>35822480</v>
      </c>
      <c r="AB152">
        <f t="shared" si="124"/>
        <v>53.72</v>
      </c>
      <c r="AC152">
        <f t="shared" si="125"/>
        <v>53.72</v>
      </c>
      <c r="AD152">
        <f>ROUND((((ET152)-(EU152))+AE152),6)</f>
        <v>0</v>
      </c>
      <c r="AE152">
        <f>ROUND((EU152),6)</f>
        <v>0</v>
      </c>
      <c r="AF152">
        <f>ROUND((EV152),6)</f>
        <v>0</v>
      </c>
      <c r="AG152">
        <f t="shared" si="126"/>
        <v>0</v>
      </c>
      <c r="AH152">
        <f>(EW152)</f>
        <v>0</v>
      </c>
      <c r="AI152">
        <f>(EX152)</f>
        <v>0</v>
      </c>
      <c r="AJ152">
        <f t="shared" si="127"/>
        <v>2.46</v>
      </c>
      <c r="AK152">
        <v>53.72</v>
      </c>
      <c r="AL152">
        <v>53.72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2.46</v>
      </c>
      <c r="AT152">
        <v>0</v>
      </c>
      <c r="AU152">
        <v>0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2.25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189</v>
      </c>
      <c r="BM152">
        <v>500001</v>
      </c>
      <c r="BN152">
        <v>0</v>
      </c>
      <c r="BO152" t="s">
        <v>186</v>
      </c>
      <c r="BP152">
        <v>1</v>
      </c>
      <c r="BQ152">
        <v>8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0</v>
      </c>
      <c r="CA152">
        <v>0</v>
      </c>
      <c r="CB152" t="s">
        <v>3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si="128"/>
        <v>2417.4</v>
      </c>
      <c r="CQ152">
        <f t="shared" si="129"/>
        <v>120.87</v>
      </c>
      <c r="CR152">
        <f t="shared" si="130"/>
        <v>0</v>
      </c>
      <c r="CS152">
        <f t="shared" si="131"/>
        <v>0</v>
      </c>
      <c r="CT152">
        <f t="shared" si="132"/>
        <v>0</v>
      </c>
      <c r="CU152">
        <f t="shared" si="133"/>
        <v>0</v>
      </c>
      <c r="CV152">
        <f t="shared" si="134"/>
        <v>0</v>
      </c>
      <c r="CW152">
        <f t="shared" si="135"/>
        <v>0</v>
      </c>
      <c r="CX152">
        <f t="shared" si="136"/>
        <v>2.46</v>
      </c>
      <c r="CY152">
        <f t="shared" si="137"/>
        <v>0</v>
      </c>
      <c r="CZ152">
        <f t="shared" si="138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1009</v>
      </c>
      <c r="DV152" t="s">
        <v>188</v>
      </c>
      <c r="DW152" t="s">
        <v>188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36260359</v>
      </c>
      <c r="EF152">
        <v>8</v>
      </c>
      <c r="EG152" t="s">
        <v>138</v>
      </c>
      <c r="EH152">
        <v>0</v>
      </c>
      <c r="EI152" t="s">
        <v>3</v>
      </c>
      <c r="EJ152">
        <v>1</v>
      </c>
      <c r="EK152">
        <v>500001</v>
      </c>
      <c r="EL152" t="s">
        <v>139</v>
      </c>
      <c r="EM152" t="s">
        <v>140</v>
      </c>
      <c r="EO152" t="s">
        <v>3</v>
      </c>
      <c r="EQ152">
        <v>0</v>
      </c>
      <c r="ER152">
        <v>53.72</v>
      </c>
      <c r="ES152">
        <v>53.72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FQ152">
        <v>0</v>
      </c>
      <c r="FR152">
        <f t="shared" si="139"/>
        <v>0</v>
      </c>
      <c r="FS152">
        <v>0</v>
      </c>
      <c r="FX152">
        <v>0</v>
      </c>
      <c r="FY152">
        <v>0</v>
      </c>
      <c r="GA152" t="s">
        <v>3</v>
      </c>
      <c r="GD152">
        <v>1</v>
      </c>
      <c r="GF152">
        <v>-147900572</v>
      </c>
      <c r="GG152">
        <v>2</v>
      </c>
      <c r="GH152">
        <v>1</v>
      </c>
      <c r="GI152">
        <v>2</v>
      </c>
      <c r="GJ152">
        <v>0</v>
      </c>
      <c r="GK152">
        <v>0</v>
      </c>
      <c r="GL152">
        <f t="shared" si="140"/>
        <v>0</v>
      </c>
      <c r="GM152">
        <f t="shared" si="141"/>
        <v>2417.4</v>
      </c>
      <c r="GN152">
        <f t="shared" si="142"/>
        <v>2417.4</v>
      </c>
      <c r="GO152">
        <f t="shared" si="143"/>
        <v>0</v>
      </c>
      <c r="GP152">
        <f t="shared" si="144"/>
        <v>0</v>
      </c>
      <c r="GR152">
        <v>0</v>
      </c>
      <c r="GS152">
        <v>3</v>
      </c>
      <c r="GT152">
        <v>0</v>
      </c>
      <c r="GU152" t="s">
        <v>3</v>
      </c>
      <c r="GV152">
        <f t="shared" si="145"/>
        <v>0</v>
      </c>
      <c r="GW152">
        <v>1</v>
      </c>
      <c r="GX152">
        <f t="shared" si="146"/>
        <v>0</v>
      </c>
      <c r="HA152">
        <v>0</v>
      </c>
      <c r="HB152">
        <v>0</v>
      </c>
      <c r="HC152">
        <f t="shared" si="147"/>
        <v>0</v>
      </c>
      <c r="HE152" t="s">
        <v>3</v>
      </c>
      <c r="HF152" t="s">
        <v>3</v>
      </c>
      <c r="HM152" t="s">
        <v>3</v>
      </c>
      <c r="IK152">
        <v>0</v>
      </c>
    </row>
    <row r="153" spans="1:245">
      <c r="A153">
        <v>17</v>
      </c>
      <c r="B153">
        <v>1</v>
      </c>
      <c r="C153">
        <f>ROW(SmtRes!A93)</f>
        <v>93</v>
      </c>
      <c r="D153">
        <f>ROW(EtalonRes!A96)</f>
        <v>96</v>
      </c>
      <c r="E153" t="s">
        <v>141</v>
      </c>
      <c r="F153" t="s">
        <v>190</v>
      </c>
      <c r="G153" t="s">
        <v>191</v>
      </c>
      <c r="H153" t="s">
        <v>180</v>
      </c>
      <c r="I153">
        <f>ROUND(129/100,9)</f>
        <v>1.29</v>
      </c>
      <c r="J153">
        <v>0</v>
      </c>
      <c r="K153">
        <f>ROUND(129/100,9)</f>
        <v>1.29</v>
      </c>
      <c r="O153">
        <f t="shared" si="113"/>
        <v>11609.25</v>
      </c>
      <c r="P153">
        <f t="shared" si="114"/>
        <v>0</v>
      </c>
      <c r="Q153">
        <f t="shared" si="115"/>
        <v>0</v>
      </c>
      <c r="R153">
        <f t="shared" si="116"/>
        <v>0</v>
      </c>
      <c r="S153">
        <f t="shared" si="117"/>
        <v>11609.25</v>
      </c>
      <c r="T153">
        <f t="shared" si="118"/>
        <v>0</v>
      </c>
      <c r="U153">
        <f t="shared" si="119"/>
        <v>33.452925</v>
      </c>
      <c r="V153">
        <f t="shared" si="120"/>
        <v>0</v>
      </c>
      <c r="W153">
        <f t="shared" si="121"/>
        <v>0</v>
      </c>
      <c r="X153">
        <f t="shared" si="122"/>
        <v>11028.79</v>
      </c>
      <c r="Y153">
        <f t="shared" si="123"/>
        <v>5456.35</v>
      </c>
      <c r="AA153">
        <v>35822480</v>
      </c>
      <c r="AB153">
        <f t="shared" si="124"/>
        <v>272.29700000000003</v>
      </c>
      <c r="AC153">
        <f t="shared" si="125"/>
        <v>0</v>
      </c>
      <c r="AD153">
        <f>ROUND(((((ET153*1.25))-((EU153*1.25)))+AE153),6)</f>
        <v>0</v>
      </c>
      <c r="AE153">
        <f>ROUND(((EU153*1.25)),6)</f>
        <v>0</v>
      </c>
      <c r="AF153">
        <f>ROUND(((EV153*1.15)),6)</f>
        <v>272.29700000000003</v>
      </c>
      <c r="AG153">
        <f t="shared" si="126"/>
        <v>0</v>
      </c>
      <c r="AH153">
        <f>((EW153*1.15))</f>
        <v>25.932499999999997</v>
      </c>
      <c r="AI153">
        <f>((EX153*1.25))</f>
        <v>0</v>
      </c>
      <c r="AJ153">
        <f t="shared" si="127"/>
        <v>0</v>
      </c>
      <c r="AK153">
        <v>236.78</v>
      </c>
      <c r="AL153">
        <v>0</v>
      </c>
      <c r="AM153">
        <v>0</v>
      </c>
      <c r="AN153">
        <v>0</v>
      </c>
      <c r="AO153">
        <v>236.78</v>
      </c>
      <c r="AP153">
        <v>0</v>
      </c>
      <c r="AQ153">
        <v>22.55</v>
      </c>
      <c r="AR153">
        <v>0</v>
      </c>
      <c r="AS153">
        <v>0</v>
      </c>
      <c r="AT153">
        <v>95</v>
      </c>
      <c r="AU153">
        <v>47</v>
      </c>
      <c r="AV153">
        <v>1</v>
      </c>
      <c r="AW153">
        <v>1</v>
      </c>
      <c r="AZ153">
        <v>1</v>
      </c>
      <c r="BA153">
        <v>33.049999999999997</v>
      </c>
      <c r="BB153">
        <v>1</v>
      </c>
      <c r="BC153">
        <v>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192</v>
      </c>
      <c r="BM153">
        <v>15001</v>
      </c>
      <c r="BN153">
        <v>0</v>
      </c>
      <c r="BO153" t="s">
        <v>190</v>
      </c>
      <c r="BP153">
        <v>1</v>
      </c>
      <c r="BQ153">
        <v>2</v>
      </c>
      <c r="BR153">
        <v>0</v>
      </c>
      <c r="BS153">
        <v>33.049999999999997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105</v>
      </c>
      <c r="CA153">
        <v>55</v>
      </c>
      <c r="CB153" t="s">
        <v>3</v>
      </c>
      <c r="CE153">
        <v>0</v>
      </c>
      <c r="CF153">
        <v>0</v>
      </c>
      <c r="CG153">
        <v>0</v>
      </c>
      <c r="CM153">
        <v>0</v>
      </c>
      <c r="CN153" t="s">
        <v>468</v>
      </c>
      <c r="CO153">
        <v>0</v>
      </c>
      <c r="CP153">
        <f t="shared" si="128"/>
        <v>11609.25</v>
      </c>
      <c r="CQ153">
        <f t="shared" si="129"/>
        <v>0</v>
      </c>
      <c r="CR153">
        <f t="shared" si="130"/>
        <v>0</v>
      </c>
      <c r="CS153">
        <f t="shared" si="131"/>
        <v>0</v>
      </c>
      <c r="CT153">
        <f t="shared" si="132"/>
        <v>8999.4158499999994</v>
      </c>
      <c r="CU153">
        <f t="shared" si="133"/>
        <v>0</v>
      </c>
      <c r="CV153">
        <f t="shared" si="134"/>
        <v>25.932499999999997</v>
      </c>
      <c r="CW153">
        <f t="shared" si="135"/>
        <v>0</v>
      </c>
      <c r="CX153">
        <f t="shared" si="136"/>
        <v>0</v>
      </c>
      <c r="CY153">
        <f t="shared" si="137"/>
        <v>11028.7875</v>
      </c>
      <c r="CZ153">
        <f t="shared" si="138"/>
        <v>5456.3474999999999</v>
      </c>
      <c r="DC153" t="s">
        <v>3</v>
      </c>
      <c r="DD153" t="s">
        <v>3</v>
      </c>
      <c r="DE153" t="s">
        <v>117</v>
      </c>
      <c r="DF153" t="s">
        <v>117</v>
      </c>
      <c r="DG153" t="s">
        <v>118</v>
      </c>
      <c r="DH153" t="s">
        <v>3</v>
      </c>
      <c r="DI153" t="s">
        <v>118</v>
      </c>
      <c r="DJ153" t="s">
        <v>117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1013</v>
      </c>
      <c r="DV153" t="s">
        <v>180</v>
      </c>
      <c r="DW153" t="s">
        <v>180</v>
      </c>
      <c r="DX153">
        <v>1</v>
      </c>
      <c r="DZ153" t="s">
        <v>3</v>
      </c>
      <c r="EA153" t="s">
        <v>3</v>
      </c>
      <c r="EB153" t="s">
        <v>3</v>
      </c>
      <c r="EC153" t="s">
        <v>3</v>
      </c>
      <c r="EE153">
        <v>36260452</v>
      </c>
      <c r="EF153">
        <v>2</v>
      </c>
      <c r="EG153" t="s">
        <v>109</v>
      </c>
      <c r="EH153">
        <v>0</v>
      </c>
      <c r="EI153" t="s">
        <v>3</v>
      </c>
      <c r="EJ153">
        <v>1</v>
      </c>
      <c r="EK153">
        <v>15001</v>
      </c>
      <c r="EL153" t="s">
        <v>119</v>
      </c>
      <c r="EM153" t="s">
        <v>120</v>
      </c>
      <c r="EO153" t="s">
        <v>121</v>
      </c>
      <c r="EQ153">
        <v>0</v>
      </c>
      <c r="ER153">
        <v>236.78</v>
      </c>
      <c r="ES153">
        <v>0</v>
      </c>
      <c r="ET153">
        <v>0</v>
      </c>
      <c r="EU153">
        <v>0</v>
      </c>
      <c r="EV153">
        <v>236.78</v>
      </c>
      <c r="EW153">
        <v>22.55</v>
      </c>
      <c r="EX153">
        <v>0</v>
      </c>
      <c r="EY153">
        <v>0</v>
      </c>
      <c r="FQ153">
        <v>0</v>
      </c>
      <c r="FR153">
        <f t="shared" si="139"/>
        <v>0</v>
      </c>
      <c r="FS153">
        <v>0</v>
      </c>
      <c r="FT153" t="s">
        <v>111</v>
      </c>
      <c r="FU153" t="s">
        <v>112</v>
      </c>
      <c r="FX153">
        <v>94.5</v>
      </c>
      <c r="FY153">
        <v>46.75</v>
      </c>
      <c r="GA153" t="s">
        <v>3</v>
      </c>
      <c r="GD153">
        <v>1</v>
      </c>
      <c r="GF153">
        <v>-640416134</v>
      </c>
      <c r="GG153">
        <v>2</v>
      </c>
      <c r="GH153">
        <v>1</v>
      </c>
      <c r="GI153">
        <v>2</v>
      </c>
      <c r="GJ153">
        <v>0</v>
      </c>
      <c r="GK153">
        <v>0</v>
      </c>
      <c r="GL153">
        <f t="shared" si="140"/>
        <v>0</v>
      </c>
      <c r="GM153">
        <f t="shared" si="141"/>
        <v>28094.39</v>
      </c>
      <c r="GN153">
        <f t="shared" si="142"/>
        <v>28094.39</v>
      </c>
      <c r="GO153">
        <f t="shared" si="143"/>
        <v>0</v>
      </c>
      <c r="GP153">
        <f t="shared" si="144"/>
        <v>0</v>
      </c>
      <c r="GR153">
        <v>0</v>
      </c>
      <c r="GS153">
        <v>3</v>
      </c>
      <c r="GT153">
        <v>0</v>
      </c>
      <c r="GU153" t="s">
        <v>3</v>
      </c>
      <c r="GV153">
        <f t="shared" si="145"/>
        <v>0</v>
      </c>
      <c r="GW153">
        <v>1</v>
      </c>
      <c r="GX153">
        <f t="shared" si="146"/>
        <v>0</v>
      </c>
      <c r="HA153">
        <v>0</v>
      </c>
      <c r="HB153">
        <v>0</v>
      </c>
      <c r="HC153">
        <f t="shared" si="147"/>
        <v>0</v>
      </c>
      <c r="HE153" t="s">
        <v>3</v>
      </c>
      <c r="HF153" t="s">
        <v>3</v>
      </c>
      <c r="HM153" t="s">
        <v>3</v>
      </c>
      <c r="IK153">
        <v>0</v>
      </c>
    </row>
    <row r="155" spans="1:245">
      <c r="A155" s="2">
        <v>51</v>
      </c>
      <c r="B155" s="2">
        <f>B141</f>
        <v>1</v>
      </c>
      <c r="C155" s="2">
        <f>A141</f>
        <v>4</v>
      </c>
      <c r="D155" s="2">
        <f>ROW(A141)</f>
        <v>141</v>
      </c>
      <c r="E155" s="2"/>
      <c r="F155" s="2" t="str">
        <f>IF(F141&lt;&gt;"",F141,"")</f>
        <v>Новый раздел</v>
      </c>
      <c r="G155" s="2" t="str">
        <f>IF(G141&lt;&gt;"",G141,"")</f>
        <v>стены</v>
      </c>
      <c r="H155" s="2">
        <v>0</v>
      </c>
      <c r="I155" s="2"/>
      <c r="J155" s="2"/>
      <c r="K155" s="2"/>
      <c r="L155" s="2"/>
      <c r="M155" s="2"/>
      <c r="N155" s="2"/>
      <c r="O155" s="2">
        <f t="shared" ref="O155:T155" si="148">ROUND(AB155,2)</f>
        <v>109235.44</v>
      </c>
      <c r="P155" s="2">
        <f t="shared" si="148"/>
        <v>19882.13</v>
      </c>
      <c r="Q155" s="2">
        <f t="shared" si="148"/>
        <v>3476.79</v>
      </c>
      <c r="R155" s="2">
        <f t="shared" si="148"/>
        <v>2493.42</v>
      </c>
      <c r="S155" s="2">
        <f t="shared" si="148"/>
        <v>85876.52</v>
      </c>
      <c r="T155" s="2">
        <f t="shared" si="148"/>
        <v>0</v>
      </c>
      <c r="U155" s="2">
        <f>AH155</f>
        <v>267.57537249999996</v>
      </c>
      <c r="V155" s="2">
        <f>AI155</f>
        <v>8.1970999999999989</v>
      </c>
      <c r="W155" s="2">
        <f>ROUND(AJ155,2)</f>
        <v>88.26</v>
      </c>
      <c r="X155" s="2">
        <f>ROUND(AK155,2)</f>
        <v>84289.87</v>
      </c>
      <c r="Y155" s="2">
        <f>ROUND(AL155,2)</f>
        <v>42542.62</v>
      </c>
      <c r="Z155" s="2"/>
      <c r="AA155" s="2"/>
      <c r="AB155" s="2">
        <f>ROUND(SUMIF(AA145:AA153,"=35822480",O145:O153),2)</f>
        <v>109235.44</v>
      </c>
      <c r="AC155" s="2">
        <f>ROUND(SUMIF(AA145:AA153,"=35822480",P145:P153),2)</f>
        <v>19882.13</v>
      </c>
      <c r="AD155" s="2">
        <f>ROUND(SUMIF(AA145:AA153,"=35822480",Q145:Q153),2)</f>
        <v>3476.79</v>
      </c>
      <c r="AE155" s="2">
        <f>ROUND(SUMIF(AA145:AA153,"=35822480",R145:R153),2)</f>
        <v>2493.42</v>
      </c>
      <c r="AF155" s="2">
        <f>ROUND(SUMIF(AA145:AA153,"=35822480",S145:S153),2)</f>
        <v>85876.52</v>
      </c>
      <c r="AG155" s="2">
        <f>ROUND(SUMIF(AA145:AA153,"=35822480",T145:T153),2)</f>
        <v>0</v>
      </c>
      <c r="AH155" s="2">
        <f>SUMIF(AA145:AA153,"=35822480",U145:U153)</f>
        <v>267.57537249999996</v>
      </c>
      <c r="AI155" s="2">
        <f>SUMIF(AA145:AA153,"=35822480",V145:V153)</f>
        <v>8.1970999999999989</v>
      </c>
      <c r="AJ155" s="2">
        <f>ROUND(SUMIF(AA145:AA153,"=35822480",W145:W153),2)</f>
        <v>88.26</v>
      </c>
      <c r="AK155" s="2">
        <f>ROUND(SUMIF(AA145:AA153,"=35822480",X145:X153),2)</f>
        <v>84289.87</v>
      </c>
      <c r="AL155" s="2">
        <f>ROUND(SUMIF(AA145:AA153,"=35822480",Y145:Y153),2)</f>
        <v>42542.62</v>
      </c>
      <c r="AM155" s="2"/>
      <c r="AN155" s="2"/>
      <c r="AO155" s="2">
        <f t="shared" ref="AO155:BD155" si="149">ROUND(BX155,2)</f>
        <v>0</v>
      </c>
      <c r="AP155" s="2">
        <f t="shared" si="149"/>
        <v>0</v>
      </c>
      <c r="AQ155" s="2">
        <f t="shared" si="149"/>
        <v>0</v>
      </c>
      <c r="AR155" s="2">
        <f t="shared" si="149"/>
        <v>236067.93</v>
      </c>
      <c r="AS155" s="2">
        <f t="shared" si="149"/>
        <v>236067.93</v>
      </c>
      <c r="AT155" s="2">
        <f t="shared" si="149"/>
        <v>0</v>
      </c>
      <c r="AU155" s="2">
        <f t="shared" si="149"/>
        <v>0</v>
      </c>
      <c r="AV155" s="2">
        <f t="shared" si="149"/>
        <v>19882.13</v>
      </c>
      <c r="AW155" s="2">
        <f t="shared" si="149"/>
        <v>19882.13</v>
      </c>
      <c r="AX155" s="2">
        <f t="shared" si="149"/>
        <v>0</v>
      </c>
      <c r="AY155" s="2">
        <f t="shared" si="149"/>
        <v>19882.13</v>
      </c>
      <c r="AZ155" s="2">
        <f t="shared" si="149"/>
        <v>0</v>
      </c>
      <c r="BA155" s="2">
        <f t="shared" si="149"/>
        <v>0</v>
      </c>
      <c r="BB155" s="2">
        <f t="shared" si="149"/>
        <v>0</v>
      </c>
      <c r="BC155" s="2">
        <f t="shared" si="149"/>
        <v>0</v>
      </c>
      <c r="BD155" s="2">
        <f t="shared" si="149"/>
        <v>0</v>
      </c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>
        <f>ROUND(SUMIF(AA145:AA153,"=35822480",FQ145:FQ153),2)</f>
        <v>0</v>
      </c>
      <c r="BY155" s="2">
        <f>ROUND(SUMIF(AA145:AA153,"=35822480",FR145:FR153),2)</f>
        <v>0</v>
      </c>
      <c r="BZ155" s="2">
        <f>ROUND(SUMIF(AA145:AA153,"=35822480",GL145:GL153),2)</f>
        <v>0</v>
      </c>
      <c r="CA155" s="2">
        <f>ROUND(SUMIF(AA145:AA153,"=35822480",GM145:GM153),2)</f>
        <v>236067.93</v>
      </c>
      <c r="CB155" s="2">
        <f>ROUND(SUMIF(AA145:AA153,"=35822480",GN145:GN153),2)</f>
        <v>236067.93</v>
      </c>
      <c r="CC155" s="2">
        <f>ROUND(SUMIF(AA145:AA153,"=35822480",GO145:GO153),2)</f>
        <v>0</v>
      </c>
      <c r="CD155" s="2">
        <f>ROUND(SUMIF(AA145:AA153,"=35822480",GP145:GP153),2)</f>
        <v>0</v>
      </c>
      <c r="CE155" s="2">
        <f>AC155-BX155</f>
        <v>19882.13</v>
      </c>
      <c r="CF155" s="2">
        <f>AC155-BY155</f>
        <v>19882.13</v>
      </c>
      <c r="CG155" s="2">
        <f>BX155-BZ155</f>
        <v>0</v>
      </c>
      <c r="CH155" s="2">
        <f>AC155-BX155-BY155+BZ155</f>
        <v>19882.13</v>
      </c>
      <c r="CI155" s="2">
        <f>BY155-BZ155</f>
        <v>0</v>
      </c>
      <c r="CJ155" s="2">
        <f>ROUND(SUMIF(AA145:AA153,"=35822480",GX145:GX153),2)</f>
        <v>0</v>
      </c>
      <c r="CK155" s="2">
        <f>ROUND(SUMIF(AA145:AA153,"=35822480",GY145:GY153),2)</f>
        <v>0</v>
      </c>
      <c r="CL155" s="2">
        <f>ROUND(SUMIF(AA145:AA153,"=35822480",GZ145:GZ153),2)</f>
        <v>0</v>
      </c>
      <c r="CM155" s="2">
        <f>ROUND(SUMIF(AA145:AA153,"=35822480",HD145:HD153),2)</f>
        <v>0</v>
      </c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>
        <v>0</v>
      </c>
    </row>
    <row r="157" spans="1:245">
      <c r="A157" s="4">
        <v>50</v>
      </c>
      <c r="B157" s="4">
        <v>0</v>
      </c>
      <c r="C157" s="4">
        <v>0</v>
      </c>
      <c r="D157" s="4">
        <v>1</v>
      </c>
      <c r="E157" s="4">
        <v>201</v>
      </c>
      <c r="F157" s="4">
        <f>ROUND(Source!O155,O157)</f>
        <v>109235.44</v>
      </c>
      <c r="G157" s="4" t="s">
        <v>49</v>
      </c>
      <c r="H157" s="4" t="s">
        <v>50</v>
      </c>
      <c r="I157" s="4"/>
      <c r="J157" s="4"/>
      <c r="K157" s="4">
        <v>201</v>
      </c>
      <c r="L157" s="4">
        <v>1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45">
      <c r="A158" s="4">
        <v>50</v>
      </c>
      <c r="B158" s="4">
        <v>0</v>
      </c>
      <c r="C158" s="4">
        <v>0</v>
      </c>
      <c r="D158" s="4">
        <v>1</v>
      </c>
      <c r="E158" s="4">
        <v>202</v>
      </c>
      <c r="F158" s="4">
        <f>ROUND(Source!P155,O158)</f>
        <v>19882.13</v>
      </c>
      <c r="G158" s="4" t="s">
        <v>51</v>
      </c>
      <c r="H158" s="4" t="s">
        <v>52</v>
      </c>
      <c r="I158" s="4"/>
      <c r="J158" s="4"/>
      <c r="K158" s="4">
        <v>202</v>
      </c>
      <c r="L158" s="4">
        <v>2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45">
      <c r="A159" s="4">
        <v>50</v>
      </c>
      <c r="B159" s="4">
        <v>0</v>
      </c>
      <c r="C159" s="4">
        <v>0</v>
      </c>
      <c r="D159" s="4">
        <v>1</v>
      </c>
      <c r="E159" s="4">
        <v>222</v>
      </c>
      <c r="F159" s="4">
        <f>ROUND(Source!AO155,O159)</f>
        <v>0</v>
      </c>
      <c r="G159" s="4" t="s">
        <v>53</v>
      </c>
      <c r="H159" s="4" t="s">
        <v>54</v>
      </c>
      <c r="I159" s="4"/>
      <c r="J159" s="4"/>
      <c r="K159" s="4">
        <v>222</v>
      </c>
      <c r="L159" s="4">
        <v>3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45">
      <c r="A160" s="4">
        <v>50</v>
      </c>
      <c r="B160" s="4">
        <v>0</v>
      </c>
      <c r="C160" s="4">
        <v>0</v>
      </c>
      <c r="D160" s="4">
        <v>1</v>
      </c>
      <c r="E160" s="4">
        <v>225</v>
      </c>
      <c r="F160" s="4">
        <f>ROUND(Source!AV155,O160)</f>
        <v>19882.13</v>
      </c>
      <c r="G160" s="4" t="s">
        <v>55</v>
      </c>
      <c r="H160" s="4" t="s">
        <v>56</v>
      </c>
      <c r="I160" s="4"/>
      <c r="J160" s="4"/>
      <c r="K160" s="4">
        <v>225</v>
      </c>
      <c r="L160" s="4">
        <v>4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1</v>
      </c>
      <c r="E161" s="4">
        <v>226</v>
      </c>
      <c r="F161" s="4">
        <f>ROUND(Source!AW155,O161)</f>
        <v>19882.13</v>
      </c>
      <c r="G161" s="4" t="s">
        <v>57</v>
      </c>
      <c r="H161" s="4" t="s">
        <v>58</v>
      </c>
      <c r="I161" s="4"/>
      <c r="J161" s="4"/>
      <c r="K161" s="4">
        <v>226</v>
      </c>
      <c r="L161" s="4">
        <v>5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1</v>
      </c>
      <c r="E162" s="4">
        <v>227</v>
      </c>
      <c r="F162" s="4">
        <f>ROUND(Source!AX155,O162)</f>
        <v>0</v>
      </c>
      <c r="G162" s="4" t="s">
        <v>59</v>
      </c>
      <c r="H162" s="4" t="s">
        <v>60</v>
      </c>
      <c r="I162" s="4"/>
      <c r="J162" s="4"/>
      <c r="K162" s="4">
        <v>227</v>
      </c>
      <c r="L162" s="4">
        <v>6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0</v>
      </c>
      <c r="C163" s="4">
        <v>0</v>
      </c>
      <c r="D163" s="4">
        <v>1</v>
      </c>
      <c r="E163" s="4">
        <v>228</v>
      </c>
      <c r="F163" s="4">
        <f>ROUND(Source!AY155,O163)</f>
        <v>19882.13</v>
      </c>
      <c r="G163" s="4" t="s">
        <v>61</v>
      </c>
      <c r="H163" s="4" t="s">
        <v>62</v>
      </c>
      <c r="I163" s="4"/>
      <c r="J163" s="4"/>
      <c r="K163" s="4">
        <v>228</v>
      </c>
      <c r="L163" s="4">
        <v>7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0</v>
      </c>
      <c r="C164" s="4">
        <v>0</v>
      </c>
      <c r="D164" s="4">
        <v>1</v>
      </c>
      <c r="E164" s="4">
        <v>216</v>
      </c>
      <c r="F164" s="4">
        <f>ROUND(Source!AP155,O164)</f>
        <v>0</v>
      </c>
      <c r="G164" s="4" t="s">
        <v>63</v>
      </c>
      <c r="H164" s="4" t="s">
        <v>64</v>
      </c>
      <c r="I164" s="4"/>
      <c r="J164" s="4"/>
      <c r="K164" s="4">
        <v>216</v>
      </c>
      <c r="L164" s="4">
        <v>8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>
      <c r="A165" s="4">
        <v>50</v>
      </c>
      <c r="B165" s="4">
        <v>0</v>
      </c>
      <c r="C165" s="4">
        <v>0</v>
      </c>
      <c r="D165" s="4">
        <v>1</v>
      </c>
      <c r="E165" s="4">
        <v>223</v>
      </c>
      <c r="F165" s="4">
        <f>ROUND(Source!AQ155,O165)</f>
        <v>0</v>
      </c>
      <c r="G165" s="4" t="s">
        <v>65</v>
      </c>
      <c r="H165" s="4" t="s">
        <v>66</v>
      </c>
      <c r="I165" s="4"/>
      <c r="J165" s="4"/>
      <c r="K165" s="4">
        <v>223</v>
      </c>
      <c r="L165" s="4">
        <v>9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>
      <c r="A166" s="4">
        <v>50</v>
      </c>
      <c r="B166" s="4">
        <v>0</v>
      </c>
      <c r="C166" s="4">
        <v>0</v>
      </c>
      <c r="D166" s="4">
        <v>1</v>
      </c>
      <c r="E166" s="4">
        <v>229</v>
      </c>
      <c r="F166" s="4">
        <f>ROUND(Source!AZ155,O166)</f>
        <v>0</v>
      </c>
      <c r="G166" s="4" t="s">
        <v>67</v>
      </c>
      <c r="H166" s="4" t="s">
        <v>68</v>
      </c>
      <c r="I166" s="4"/>
      <c r="J166" s="4"/>
      <c r="K166" s="4">
        <v>229</v>
      </c>
      <c r="L166" s="4">
        <v>10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3">
      <c r="A167" s="4">
        <v>50</v>
      </c>
      <c r="B167" s="4">
        <v>0</v>
      </c>
      <c r="C167" s="4">
        <v>0</v>
      </c>
      <c r="D167" s="4">
        <v>1</v>
      </c>
      <c r="E167" s="4">
        <v>203</v>
      </c>
      <c r="F167" s="4">
        <f>ROUND(Source!Q155,O167)</f>
        <v>3476.79</v>
      </c>
      <c r="G167" s="4" t="s">
        <v>69</v>
      </c>
      <c r="H167" s="4" t="s">
        <v>70</v>
      </c>
      <c r="I167" s="4"/>
      <c r="J167" s="4"/>
      <c r="K167" s="4">
        <v>203</v>
      </c>
      <c r="L167" s="4">
        <v>11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3">
      <c r="A168" s="4">
        <v>50</v>
      </c>
      <c r="B168" s="4">
        <v>0</v>
      </c>
      <c r="C168" s="4">
        <v>0</v>
      </c>
      <c r="D168" s="4">
        <v>1</v>
      </c>
      <c r="E168" s="4">
        <v>231</v>
      </c>
      <c r="F168" s="4">
        <f>ROUND(Source!BB155,O168)</f>
        <v>0</v>
      </c>
      <c r="G168" s="4" t="s">
        <v>71</v>
      </c>
      <c r="H168" s="4" t="s">
        <v>72</v>
      </c>
      <c r="I168" s="4"/>
      <c r="J168" s="4"/>
      <c r="K168" s="4">
        <v>231</v>
      </c>
      <c r="L168" s="4">
        <v>12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3">
      <c r="A169" s="4">
        <v>50</v>
      </c>
      <c r="B169" s="4">
        <v>0</v>
      </c>
      <c r="C169" s="4">
        <v>0</v>
      </c>
      <c r="D169" s="4">
        <v>1</v>
      </c>
      <c r="E169" s="4">
        <v>204</v>
      </c>
      <c r="F169" s="4">
        <f>ROUND(Source!R155,O169)</f>
        <v>2493.42</v>
      </c>
      <c r="G169" s="4" t="s">
        <v>73</v>
      </c>
      <c r="H169" s="4" t="s">
        <v>74</v>
      </c>
      <c r="I169" s="4"/>
      <c r="J169" s="4"/>
      <c r="K169" s="4">
        <v>204</v>
      </c>
      <c r="L169" s="4">
        <v>13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3">
      <c r="A170" s="4">
        <v>50</v>
      </c>
      <c r="B170" s="4">
        <v>0</v>
      </c>
      <c r="C170" s="4">
        <v>0</v>
      </c>
      <c r="D170" s="4">
        <v>1</v>
      </c>
      <c r="E170" s="4">
        <v>205</v>
      </c>
      <c r="F170" s="4">
        <f>ROUND(Source!S155,O170)</f>
        <v>85876.52</v>
      </c>
      <c r="G170" s="4" t="s">
        <v>75</v>
      </c>
      <c r="H170" s="4" t="s">
        <v>76</v>
      </c>
      <c r="I170" s="4"/>
      <c r="J170" s="4"/>
      <c r="K170" s="4">
        <v>205</v>
      </c>
      <c r="L170" s="4">
        <v>14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3">
      <c r="A171" s="4">
        <v>50</v>
      </c>
      <c r="B171" s="4">
        <v>0</v>
      </c>
      <c r="C171" s="4">
        <v>0</v>
      </c>
      <c r="D171" s="4">
        <v>1</v>
      </c>
      <c r="E171" s="4">
        <v>232</v>
      </c>
      <c r="F171" s="4">
        <f>ROUND(Source!BC155,O171)</f>
        <v>0</v>
      </c>
      <c r="G171" s="4" t="s">
        <v>77</v>
      </c>
      <c r="H171" s="4" t="s">
        <v>78</v>
      </c>
      <c r="I171" s="4"/>
      <c r="J171" s="4"/>
      <c r="K171" s="4">
        <v>232</v>
      </c>
      <c r="L171" s="4">
        <v>15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>
      <c r="A172" s="4">
        <v>50</v>
      </c>
      <c r="B172" s="4">
        <v>0</v>
      </c>
      <c r="C172" s="4">
        <v>0</v>
      </c>
      <c r="D172" s="4">
        <v>1</v>
      </c>
      <c r="E172" s="4">
        <v>214</v>
      </c>
      <c r="F172" s="4">
        <f>ROUND(Source!AS155,O172)</f>
        <v>236067.93</v>
      </c>
      <c r="G172" s="4" t="s">
        <v>79</v>
      </c>
      <c r="H172" s="4" t="s">
        <v>80</v>
      </c>
      <c r="I172" s="4"/>
      <c r="J172" s="4"/>
      <c r="K172" s="4">
        <v>214</v>
      </c>
      <c r="L172" s="4">
        <v>16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>
      <c r="A173" s="4">
        <v>50</v>
      </c>
      <c r="B173" s="4">
        <v>0</v>
      </c>
      <c r="C173" s="4">
        <v>0</v>
      </c>
      <c r="D173" s="4">
        <v>1</v>
      </c>
      <c r="E173" s="4">
        <v>215</v>
      </c>
      <c r="F173" s="4">
        <f>ROUND(Source!AT155,O173)</f>
        <v>0</v>
      </c>
      <c r="G173" s="4" t="s">
        <v>81</v>
      </c>
      <c r="H173" s="4" t="s">
        <v>82</v>
      </c>
      <c r="I173" s="4"/>
      <c r="J173" s="4"/>
      <c r="K173" s="4">
        <v>215</v>
      </c>
      <c r="L173" s="4">
        <v>17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3">
      <c r="A174" s="4">
        <v>50</v>
      </c>
      <c r="B174" s="4">
        <v>0</v>
      </c>
      <c r="C174" s="4">
        <v>0</v>
      </c>
      <c r="D174" s="4">
        <v>1</v>
      </c>
      <c r="E174" s="4">
        <v>217</v>
      </c>
      <c r="F174" s="4">
        <f>ROUND(Source!AU155,O174)</f>
        <v>0</v>
      </c>
      <c r="G174" s="4" t="s">
        <v>83</v>
      </c>
      <c r="H174" s="4" t="s">
        <v>84</v>
      </c>
      <c r="I174" s="4"/>
      <c r="J174" s="4"/>
      <c r="K174" s="4">
        <v>217</v>
      </c>
      <c r="L174" s="4">
        <v>18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>
      <c r="A175" s="4">
        <v>50</v>
      </c>
      <c r="B175" s="4">
        <v>0</v>
      </c>
      <c r="C175" s="4">
        <v>0</v>
      </c>
      <c r="D175" s="4">
        <v>1</v>
      </c>
      <c r="E175" s="4">
        <v>230</v>
      </c>
      <c r="F175" s="4">
        <f>ROUND(Source!BA155,O175)</f>
        <v>0</v>
      </c>
      <c r="G175" s="4" t="s">
        <v>85</v>
      </c>
      <c r="H175" s="4" t="s">
        <v>86</v>
      </c>
      <c r="I175" s="4"/>
      <c r="J175" s="4"/>
      <c r="K175" s="4">
        <v>230</v>
      </c>
      <c r="L175" s="4">
        <v>19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3">
      <c r="A176" s="4">
        <v>50</v>
      </c>
      <c r="B176" s="4">
        <v>0</v>
      </c>
      <c r="C176" s="4">
        <v>0</v>
      </c>
      <c r="D176" s="4">
        <v>1</v>
      </c>
      <c r="E176" s="4">
        <v>206</v>
      </c>
      <c r="F176" s="4">
        <f>ROUND(Source!T155,O176)</f>
        <v>0</v>
      </c>
      <c r="G176" s="4" t="s">
        <v>87</v>
      </c>
      <c r="H176" s="4" t="s">
        <v>88</v>
      </c>
      <c r="I176" s="4"/>
      <c r="J176" s="4"/>
      <c r="K176" s="4">
        <v>206</v>
      </c>
      <c r="L176" s="4">
        <v>20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45">
      <c r="A177" s="4">
        <v>50</v>
      </c>
      <c r="B177" s="4">
        <v>0</v>
      </c>
      <c r="C177" s="4">
        <v>0</v>
      </c>
      <c r="D177" s="4">
        <v>1</v>
      </c>
      <c r="E177" s="4">
        <v>207</v>
      </c>
      <c r="F177" s="4">
        <f>Source!U155</f>
        <v>267.57537249999996</v>
      </c>
      <c r="G177" s="4" t="s">
        <v>89</v>
      </c>
      <c r="H177" s="4" t="s">
        <v>90</v>
      </c>
      <c r="I177" s="4"/>
      <c r="J177" s="4"/>
      <c r="K177" s="4">
        <v>207</v>
      </c>
      <c r="L177" s="4">
        <v>21</v>
      </c>
      <c r="M177" s="4">
        <v>3</v>
      </c>
      <c r="N177" s="4" t="s">
        <v>3</v>
      </c>
      <c r="O177" s="4">
        <v>-1</v>
      </c>
      <c r="P177" s="4"/>
      <c r="Q177" s="4"/>
      <c r="R177" s="4"/>
      <c r="S177" s="4"/>
      <c r="T177" s="4"/>
      <c r="U177" s="4"/>
      <c r="V177" s="4"/>
      <c r="W177" s="4"/>
    </row>
    <row r="178" spans="1:245">
      <c r="A178" s="4">
        <v>50</v>
      </c>
      <c r="B178" s="4">
        <v>0</v>
      </c>
      <c r="C178" s="4">
        <v>0</v>
      </c>
      <c r="D178" s="4">
        <v>1</v>
      </c>
      <c r="E178" s="4">
        <v>208</v>
      </c>
      <c r="F178" s="4">
        <f>Source!V155</f>
        <v>8.1970999999999989</v>
      </c>
      <c r="G178" s="4" t="s">
        <v>91</v>
      </c>
      <c r="H178" s="4" t="s">
        <v>92</v>
      </c>
      <c r="I178" s="4"/>
      <c r="J178" s="4"/>
      <c r="K178" s="4">
        <v>208</v>
      </c>
      <c r="L178" s="4">
        <v>22</v>
      </c>
      <c r="M178" s="4">
        <v>3</v>
      </c>
      <c r="N178" s="4" t="s">
        <v>3</v>
      </c>
      <c r="O178" s="4">
        <v>-1</v>
      </c>
      <c r="P178" s="4"/>
      <c r="Q178" s="4"/>
      <c r="R178" s="4"/>
      <c r="S178" s="4"/>
      <c r="T178" s="4"/>
      <c r="U178" s="4"/>
      <c r="V178" s="4"/>
      <c r="W178" s="4"/>
    </row>
    <row r="179" spans="1:245">
      <c r="A179" s="4">
        <v>50</v>
      </c>
      <c r="B179" s="4">
        <v>0</v>
      </c>
      <c r="C179" s="4">
        <v>0</v>
      </c>
      <c r="D179" s="4">
        <v>1</v>
      </c>
      <c r="E179" s="4">
        <v>209</v>
      </c>
      <c r="F179" s="4">
        <f>ROUND(Source!W155,O179)</f>
        <v>88.26</v>
      </c>
      <c r="G179" s="4" t="s">
        <v>93</v>
      </c>
      <c r="H179" s="4" t="s">
        <v>94</v>
      </c>
      <c r="I179" s="4"/>
      <c r="J179" s="4"/>
      <c r="K179" s="4">
        <v>209</v>
      </c>
      <c r="L179" s="4">
        <v>23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45">
      <c r="A180" s="4">
        <v>50</v>
      </c>
      <c r="B180" s="4">
        <v>0</v>
      </c>
      <c r="C180" s="4">
        <v>0</v>
      </c>
      <c r="D180" s="4">
        <v>1</v>
      </c>
      <c r="E180" s="4">
        <v>233</v>
      </c>
      <c r="F180" s="4">
        <f>ROUND(Source!BD155,O180)</f>
        <v>0</v>
      </c>
      <c r="G180" s="4" t="s">
        <v>95</v>
      </c>
      <c r="H180" s="4" t="s">
        <v>96</v>
      </c>
      <c r="I180" s="4"/>
      <c r="J180" s="4"/>
      <c r="K180" s="4">
        <v>233</v>
      </c>
      <c r="L180" s="4">
        <v>24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45">
      <c r="A181" s="4">
        <v>50</v>
      </c>
      <c r="B181" s="4">
        <v>0</v>
      </c>
      <c r="C181" s="4">
        <v>0</v>
      </c>
      <c r="D181" s="4">
        <v>1</v>
      </c>
      <c r="E181" s="4">
        <v>210</v>
      </c>
      <c r="F181" s="4">
        <f>ROUND(Source!X155,O181)</f>
        <v>84289.87</v>
      </c>
      <c r="G181" s="4" t="s">
        <v>97</v>
      </c>
      <c r="H181" s="4" t="s">
        <v>98</v>
      </c>
      <c r="I181" s="4"/>
      <c r="J181" s="4"/>
      <c r="K181" s="4">
        <v>210</v>
      </c>
      <c r="L181" s="4">
        <v>25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45">
      <c r="A182" s="4">
        <v>50</v>
      </c>
      <c r="B182" s="4">
        <v>0</v>
      </c>
      <c r="C182" s="4">
        <v>0</v>
      </c>
      <c r="D182" s="4">
        <v>1</v>
      </c>
      <c r="E182" s="4">
        <v>211</v>
      </c>
      <c r="F182" s="4">
        <f>ROUND(Source!Y155,O182)</f>
        <v>42542.62</v>
      </c>
      <c r="G182" s="4" t="s">
        <v>99</v>
      </c>
      <c r="H182" s="4" t="s">
        <v>100</v>
      </c>
      <c r="I182" s="4"/>
      <c r="J182" s="4"/>
      <c r="K182" s="4">
        <v>211</v>
      </c>
      <c r="L182" s="4">
        <v>26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45">
      <c r="A183" s="4">
        <v>50</v>
      </c>
      <c r="B183" s="4">
        <v>0</v>
      </c>
      <c r="C183" s="4">
        <v>0</v>
      </c>
      <c r="D183" s="4">
        <v>1</v>
      </c>
      <c r="E183" s="4">
        <v>224</v>
      </c>
      <c r="F183" s="4">
        <f>ROUND(Source!AR155,O183)</f>
        <v>236067.93</v>
      </c>
      <c r="G183" s="4" t="s">
        <v>101</v>
      </c>
      <c r="H183" s="4" t="s">
        <v>102</v>
      </c>
      <c r="I183" s="4"/>
      <c r="J183" s="4"/>
      <c r="K183" s="4">
        <v>224</v>
      </c>
      <c r="L183" s="4">
        <v>27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5" spans="1:245">
      <c r="A185" s="1">
        <v>4</v>
      </c>
      <c r="B185" s="1">
        <v>1</v>
      </c>
      <c r="C185" s="1"/>
      <c r="D185" s="1">
        <f>ROW(A193)</f>
        <v>193</v>
      </c>
      <c r="E185" s="1"/>
      <c r="F185" s="1" t="s">
        <v>13</v>
      </c>
      <c r="G185" s="1" t="s">
        <v>193</v>
      </c>
      <c r="H185" s="1" t="s">
        <v>3</v>
      </c>
      <c r="I185" s="1">
        <v>0</v>
      </c>
      <c r="J185" s="1"/>
      <c r="K185" s="1">
        <v>0</v>
      </c>
      <c r="L185" s="1"/>
      <c r="M185" s="1" t="s">
        <v>3</v>
      </c>
      <c r="N185" s="1"/>
      <c r="O185" s="1"/>
      <c r="P185" s="1"/>
      <c r="Q185" s="1"/>
      <c r="R185" s="1"/>
      <c r="S185" s="1">
        <v>0</v>
      </c>
      <c r="T185" s="1"/>
      <c r="U185" s="1" t="s">
        <v>3</v>
      </c>
      <c r="V185" s="1">
        <v>0</v>
      </c>
      <c r="W185" s="1"/>
      <c r="X185" s="1"/>
      <c r="Y185" s="1"/>
      <c r="Z185" s="1"/>
      <c r="AA185" s="1"/>
      <c r="AB185" s="1" t="s">
        <v>3</v>
      </c>
      <c r="AC185" s="1" t="s">
        <v>3</v>
      </c>
      <c r="AD185" s="1" t="s">
        <v>3</v>
      </c>
      <c r="AE185" s="1" t="s">
        <v>3</v>
      </c>
      <c r="AF185" s="1" t="s">
        <v>3</v>
      </c>
      <c r="AG185" s="1" t="s">
        <v>3</v>
      </c>
      <c r="AH185" s="1"/>
      <c r="AI185" s="1"/>
      <c r="AJ185" s="1"/>
      <c r="AK185" s="1"/>
      <c r="AL185" s="1"/>
      <c r="AM185" s="1"/>
      <c r="AN185" s="1"/>
      <c r="AO185" s="1"/>
      <c r="AP185" s="1" t="s">
        <v>3</v>
      </c>
      <c r="AQ185" s="1" t="s">
        <v>3</v>
      </c>
      <c r="AR185" s="1" t="s">
        <v>3</v>
      </c>
      <c r="AS185" s="1"/>
      <c r="AT185" s="1"/>
      <c r="AU185" s="1"/>
      <c r="AV185" s="1"/>
      <c r="AW185" s="1"/>
      <c r="AX185" s="1"/>
      <c r="AY185" s="1"/>
      <c r="AZ185" s="1" t="s">
        <v>3</v>
      </c>
      <c r="BA185" s="1"/>
      <c r="BB185" s="1" t="s">
        <v>3</v>
      </c>
      <c r="BC185" s="1" t="s">
        <v>3</v>
      </c>
      <c r="BD185" s="1" t="s">
        <v>3</v>
      </c>
      <c r="BE185" s="1" t="s">
        <v>3</v>
      </c>
      <c r="BF185" s="1" t="s">
        <v>3</v>
      </c>
      <c r="BG185" s="1" t="s">
        <v>3</v>
      </c>
      <c r="BH185" s="1" t="s">
        <v>3</v>
      </c>
      <c r="BI185" s="1" t="s">
        <v>3</v>
      </c>
      <c r="BJ185" s="1" t="s">
        <v>3</v>
      </c>
      <c r="BK185" s="1" t="s">
        <v>3</v>
      </c>
      <c r="BL185" s="1" t="s">
        <v>3</v>
      </c>
      <c r="BM185" s="1" t="s">
        <v>3</v>
      </c>
      <c r="BN185" s="1" t="s">
        <v>3</v>
      </c>
      <c r="BO185" s="1" t="s">
        <v>3</v>
      </c>
      <c r="BP185" s="1" t="s">
        <v>3</v>
      </c>
      <c r="BQ185" s="1"/>
      <c r="BR185" s="1"/>
      <c r="BS185" s="1"/>
      <c r="BT185" s="1"/>
      <c r="BU185" s="1"/>
      <c r="BV185" s="1"/>
      <c r="BW185" s="1"/>
      <c r="BX185" s="1">
        <v>0</v>
      </c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>
        <v>0</v>
      </c>
    </row>
    <row r="187" spans="1:245">
      <c r="A187" s="2">
        <v>52</v>
      </c>
      <c r="B187" s="2">
        <f t="shared" ref="B187:G187" si="150">B193</f>
        <v>1</v>
      </c>
      <c r="C187" s="2">
        <f t="shared" si="150"/>
        <v>4</v>
      </c>
      <c r="D187" s="2">
        <f t="shared" si="150"/>
        <v>185</v>
      </c>
      <c r="E187" s="2">
        <f t="shared" si="150"/>
        <v>0</v>
      </c>
      <c r="F187" s="2" t="str">
        <f t="shared" si="150"/>
        <v>Новый раздел</v>
      </c>
      <c r="G187" s="2" t="str">
        <f t="shared" si="150"/>
        <v>потолок</v>
      </c>
      <c r="H187" s="2"/>
      <c r="I187" s="2"/>
      <c r="J187" s="2"/>
      <c r="K187" s="2"/>
      <c r="L187" s="2"/>
      <c r="M187" s="2"/>
      <c r="N187" s="2"/>
      <c r="O187" s="2">
        <f t="shared" ref="O187:AT187" si="151">O193</f>
        <v>20875.099999999999</v>
      </c>
      <c r="P187" s="2">
        <f t="shared" si="151"/>
        <v>7726.63</v>
      </c>
      <c r="Q187" s="2">
        <f t="shared" si="151"/>
        <v>2020.31</v>
      </c>
      <c r="R187" s="2">
        <f t="shared" si="151"/>
        <v>128.86000000000001</v>
      </c>
      <c r="S187" s="2">
        <f t="shared" si="151"/>
        <v>11128.16</v>
      </c>
      <c r="T187" s="2">
        <f t="shared" si="151"/>
        <v>0</v>
      </c>
      <c r="U187" s="2">
        <f t="shared" si="151"/>
        <v>35.820015999999995</v>
      </c>
      <c r="V187" s="2">
        <f t="shared" si="151"/>
        <v>0.2888</v>
      </c>
      <c r="W187" s="2">
        <f t="shared" si="151"/>
        <v>0</v>
      </c>
      <c r="X187" s="2">
        <f t="shared" si="151"/>
        <v>10694.17</v>
      </c>
      <c r="Y187" s="2">
        <f t="shared" si="151"/>
        <v>5290.8</v>
      </c>
      <c r="Z187" s="2">
        <f t="shared" si="151"/>
        <v>0</v>
      </c>
      <c r="AA187" s="2">
        <f t="shared" si="151"/>
        <v>0</v>
      </c>
      <c r="AB187" s="2">
        <f t="shared" si="151"/>
        <v>20875.099999999999</v>
      </c>
      <c r="AC187" s="2">
        <f t="shared" si="151"/>
        <v>7726.63</v>
      </c>
      <c r="AD187" s="2">
        <f t="shared" si="151"/>
        <v>2020.31</v>
      </c>
      <c r="AE187" s="2">
        <f t="shared" si="151"/>
        <v>128.86000000000001</v>
      </c>
      <c r="AF187" s="2">
        <f t="shared" si="151"/>
        <v>11128.16</v>
      </c>
      <c r="AG187" s="2">
        <f t="shared" si="151"/>
        <v>0</v>
      </c>
      <c r="AH187" s="2">
        <f t="shared" si="151"/>
        <v>35.820015999999995</v>
      </c>
      <c r="AI187" s="2">
        <f t="shared" si="151"/>
        <v>0.2888</v>
      </c>
      <c r="AJ187" s="2">
        <f t="shared" si="151"/>
        <v>0</v>
      </c>
      <c r="AK187" s="2">
        <f t="shared" si="151"/>
        <v>10694.17</v>
      </c>
      <c r="AL187" s="2">
        <f t="shared" si="151"/>
        <v>5290.8</v>
      </c>
      <c r="AM187" s="2">
        <f t="shared" si="151"/>
        <v>0</v>
      </c>
      <c r="AN187" s="2">
        <f t="shared" si="151"/>
        <v>0</v>
      </c>
      <c r="AO187" s="2">
        <f t="shared" si="151"/>
        <v>0</v>
      </c>
      <c r="AP187" s="2">
        <f t="shared" si="151"/>
        <v>0</v>
      </c>
      <c r="AQ187" s="2">
        <f t="shared" si="151"/>
        <v>0</v>
      </c>
      <c r="AR187" s="2">
        <f t="shared" si="151"/>
        <v>36860.07</v>
      </c>
      <c r="AS187" s="2">
        <f t="shared" si="151"/>
        <v>36860.07</v>
      </c>
      <c r="AT187" s="2">
        <f t="shared" si="151"/>
        <v>0</v>
      </c>
      <c r="AU187" s="2">
        <f t="shared" ref="AU187:BZ187" si="152">AU193</f>
        <v>0</v>
      </c>
      <c r="AV187" s="2">
        <f t="shared" si="152"/>
        <v>7726.63</v>
      </c>
      <c r="AW187" s="2">
        <f t="shared" si="152"/>
        <v>7726.63</v>
      </c>
      <c r="AX187" s="2">
        <f t="shared" si="152"/>
        <v>0</v>
      </c>
      <c r="AY187" s="2">
        <f t="shared" si="152"/>
        <v>7726.63</v>
      </c>
      <c r="AZ187" s="2">
        <f t="shared" si="152"/>
        <v>0</v>
      </c>
      <c r="BA187" s="2">
        <f t="shared" si="152"/>
        <v>0</v>
      </c>
      <c r="BB187" s="2">
        <f t="shared" si="152"/>
        <v>0</v>
      </c>
      <c r="BC187" s="2">
        <f t="shared" si="152"/>
        <v>0</v>
      </c>
      <c r="BD187" s="2">
        <f t="shared" si="152"/>
        <v>248.1</v>
      </c>
      <c r="BE187" s="2">
        <f t="shared" si="152"/>
        <v>0</v>
      </c>
      <c r="BF187" s="2">
        <f t="shared" si="152"/>
        <v>0</v>
      </c>
      <c r="BG187" s="2">
        <f t="shared" si="152"/>
        <v>0</v>
      </c>
      <c r="BH187" s="2">
        <f t="shared" si="152"/>
        <v>0</v>
      </c>
      <c r="BI187" s="2">
        <f t="shared" si="152"/>
        <v>0</v>
      </c>
      <c r="BJ187" s="2">
        <f t="shared" si="152"/>
        <v>0</v>
      </c>
      <c r="BK187" s="2">
        <f t="shared" si="152"/>
        <v>0</v>
      </c>
      <c r="BL187" s="2">
        <f t="shared" si="152"/>
        <v>0</v>
      </c>
      <c r="BM187" s="2">
        <f t="shared" si="152"/>
        <v>0</v>
      </c>
      <c r="BN187" s="2">
        <f t="shared" si="152"/>
        <v>0</v>
      </c>
      <c r="BO187" s="2">
        <f t="shared" si="152"/>
        <v>0</v>
      </c>
      <c r="BP187" s="2">
        <f t="shared" si="152"/>
        <v>0</v>
      </c>
      <c r="BQ187" s="2">
        <f t="shared" si="152"/>
        <v>0</v>
      </c>
      <c r="BR187" s="2">
        <f t="shared" si="152"/>
        <v>0</v>
      </c>
      <c r="BS187" s="2">
        <f t="shared" si="152"/>
        <v>0</v>
      </c>
      <c r="BT187" s="2">
        <f t="shared" si="152"/>
        <v>0</v>
      </c>
      <c r="BU187" s="2">
        <f t="shared" si="152"/>
        <v>0</v>
      </c>
      <c r="BV187" s="2">
        <f t="shared" si="152"/>
        <v>0</v>
      </c>
      <c r="BW187" s="2">
        <f t="shared" si="152"/>
        <v>0</v>
      </c>
      <c r="BX187" s="2">
        <f t="shared" si="152"/>
        <v>0</v>
      </c>
      <c r="BY187" s="2">
        <f t="shared" si="152"/>
        <v>0</v>
      </c>
      <c r="BZ187" s="2">
        <f t="shared" si="152"/>
        <v>0</v>
      </c>
      <c r="CA187" s="2">
        <f t="shared" ref="CA187:DF187" si="153">CA193</f>
        <v>36860.07</v>
      </c>
      <c r="CB187" s="2">
        <f t="shared" si="153"/>
        <v>36860.07</v>
      </c>
      <c r="CC187" s="2">
        <f t="shared" si="153"/>
        <v>0</v>
      </c>
      <c r="CD187" s="2">
        <f t="shared" si="153"/>
        <v>0</v>
      </c>
      <c r="CE187" s="2">
        <f t="shared" si="153"/>
        <v>7726.63</v>
      </c>
      <c r="CF187" s="2">
        <f t="shared" si="153"/>
        <v>7726.63</v>
      </c>
      <c r="CG187" s="2">
        <f t="shared" si="153"/>
        <v>0</v>
      </c>
      <c r="CH187" s="2">
        <f t="shared" si="153"/>
        <v>7726.63</v>
      </c>
      <c r="CI187" s="2">
        <f t="shared" si="153"/>
        <v>0</v>
      </c>
      <c r="CJ187" s="2">
        <f t="shared" si="153"/>
        <v>0</v>
      </c>
      <c r="CK187" s="2">
        <f t="shared" si="153"/>
        <v>0</v>
      </c>
      <c r="CL187" s="2">
        <f t="shared" si="153"/>
        <v>0</v>
      </c>
      <c r="CM187" s="2">
        <f t="shared" si="153"/>
        <v>248.1</v>
      </c>
      <c r="CN187" s="2">
        <f t="shared" si="153"/>
        <v>0</v>
      </c>
      <c r="CO187" s="2">
        <f t="shared" si="153"/>
        <v>0</v>
      </c>
      <c r="CP187" s="2">
        <f t="shared" si="153"/>
        <v>0</v>
      </c>
      <c r="CQ187" s="2">
        <f t="shared" si="153"/>
        <v>0</v>
      </c>
      <c r="CR187" s="2">
        <f t="shared" si="153"/>
        <v>0</v>
      </c>
      <c r="CS187" s="2">
        <f t="shared" si="153"/>
        <v>0</v>
      </c>
      <c r="CT187" s="2">
        <f t="shared" si="153"/>
        <v>0</v>
      </c>
      <c r="CU187" s="2">
        <f t="shared" si="153"/>
        <v>0</v>
      </c>
      <c r="CV187" s="2">
        <f t="shared" si="153"/>
        <v>0</v>
      </c>
      <c r="CW187" s="2">
        <f t="shared" si="153"/>
        <v>0</v>
      </c>
      <c r="CX187" s="2">
        <f t="shared" si="153"/>
        <v>0</v>
      </c>
      <c r="CY187" s="2">
        <f t="shared" si="153"/>
        <v>0</v>
      </c>
      <c r="CZ187" s="2">
        <f t="shared" si="153"/>
        <v>0</v>
      </c>
      <c r="DA187" s="2">
        <f t="shared" si="153"/>
        <v>0</v>
      </c>
      <c r="DB187" s="2">
        <f t="shared" si="153"/>
        <v>0</v>
      </c>
      <c r="DC187" s="2">
        <f t="shared" si="153"/>
        <v>0</v>
      </c>
      <c r="DD187" s="2">
        <f t="shared" si="153"/>
        <v>0</v>
      </c>
      <c r="DE187" s="2">
        <f t="shared" si="153"/>
        <v>0</v>
      </c>
      <c r="DF187" s="2">
        <f t="shared" si="153"/>
        <v>0</v>
      </c>
      <c r="DG187" s="3">
        <f t="shared" ref="DG187:EL187" si="154">DG193</f>
        <v>0</v>
      </c>
      <c r="DH187" s="3">
        <f t="shared" si="154"/>
        <v>0</v>
      </c>
      <c r="DI187" s="3">
        <f t="shared" si="154"/>
        <v>0</v>
      </c>
      <c r="DJ187" s="3">
        <f t="shared" si="154"/>
        <v>0</v>
      </c>
      <c r="DK187" s="3">
        <f t="shared" si="154"/>
        <v>0</v>
      </c>
      <c r="DL187" s="3">
        <f t="shared" si="154"/>
        <v>0</v>
      </c>
      <c r="DM187" s="3">
        <f t="shared" si="154"/>
        <v>0</v>
      </c>
      <c r="DN187" s="3">
        <f t="shared" si="154"/>
        <v>0</v>
      </c>
      <c r="DO187" s="3">
        <f t="shared" si="154"/>
        <v>0</v>
      </c>
      <c r="DP187" s="3">
        <f t="shared" si="154"/>
        <v>0</v>
      </c>
      <c r="DQ187" s="3">
        <f t="shared" si="154"/>
        <v>0</v>
      </c>
      <c r="DR187" s="3">
        <f t="shared" si="154"/>
        <v>0</v>
      </c>
      <c r="DS187" s="3">
        <f t="shared" si="154"/>
        <v>0</v>
      </c>
      <c r="DT187" s="3">
        <f t="shared" si="154"/>
        <v>0</v>
      </c>
      <c r="DU187" s="3">
        <f t="shared" si="154"/>
        <v>0</v>
      </c>
      <c r="DV187" s="3">
        <f t="shared" si="154"/>
        <v>0</v>
      </c>
      <c r="DW187" s="3">
        <f t="shared" si="154"/>
        <v>0</v>
      </c>
      <c r="DX187" s="3">
        <f t="shared" si="154"/>
        <v>0</v>
      </c>
      <c r="DY187" s="3">
        <f t="shared" si="154"/>
        <v>0</v>
      </c>
      <c r="DZ187" s="3">
        <f t="shared" si="154"/>
        <v>0</v>
      </c>
      <c r="EA187" s="3">
        <f t="shared" si="154"/>
        <v>0</v>
      </c>
      <c r="EB187" s="3">
        <f t="shared" si="154"/>
        <v>0</v>
      </c>
      <c r="EC187" s="3">
        <f t="shared" si="154"/>
        <v>0</v>
      </c>
      <c r="ED187" s="3">
        <f t="shared" si="154"/>
        <v>0</v>
      </c>
      <c r="EE187" s="3">
        <f t="shared" si="154"/>
        <v>0</v>
      </c>
      <c r="EF187" s="3">
        <f t="shared" si="154"/>
        <v>0</v>
      </c>
      <c r="EG187" s="3">
        <f t="shared" si="154"/>
        <v>0</v>
      </c>
      <c r="EH187" s="3">
        <f t="shared" si="154"/>
        <v>0</v>
      </c>
      <c r="EI187" s="3">
        <f t="shared" si="154"/>
        <v>0</v>
      </c>
      <c r="EJ187" s="3">
        <f t="shared" si="154"/>
        <v>0</v>
      </c>
      <c r="EK187" s="3">
        <f t="shared" si="154"/>
        <v>0</v>
      </c>
      <c r="EL187" s="3">
        <f t="shared" si="154"/>
        <v>0</v>
      </c>
      <c r="EM187" s="3">
        <f t="shared" ref="EM187:FR187" si="155">EM193</f>
        <v>0</v>
      </c>
      <c r="EN187" s="3">
        <f t="shared" si="155"/>
        <v>0</v>
      </c>
      <c r="EO187" s="3">
        <f t="shared" si="155"/>
        <v>0</v>
      </c>
      <c r="EP187" s="3">
        <f t="shared" si="155"/>
        <v>0</v>
      </c>
      <c r="EQ187" s="3">
        <f t="shared" si="155"/>
        <v>0</v>
      </c>
      <c r="ER187" s="3">
        <f t="shared" si="155"/>
        <v>0</v>
      </c>
      <c r="ES187" s="3">
        <f t="shared" si="155"/>
        <v>0</v>
      </c>
      <c r="ET187" s="3">
        <f t="shared" si="155"/>
        <v>0</v>
      </c>
      <c r="EU187" s="3">
        <f t="shared" si="155"/>
        <v>0</v>
      </c>
      <c r="EV187" s="3">
        <f t="shared" si="155"/>
        <v>0</v>
      </c>
      <c r="EW187" s="3">
        <f t="shared" si="155"/>
        <v>0</v>
      </c>
      <c r="EX187" s="3">
        <f t="shared" si="155"/>
        <v>0</v>
      </c>
      <c r="EY187" s="3">
        <f t="shared" si="155"/>
        <v>0</v>
      </c>
      <c r="EZ187" s="3">
        <f t="shared" si="155"/>
        <v>0</v>
      </c>
      <c r="FA187" s="3">
        <f t="shared" si="155"/>
        <v>0</v>
      </c>
      <c r="FB187" s="3">
        <f t="shared" si="155"/>
        <v>0</v>
      </c>
      <c r="FC187" s="3">
        <f t="shared" si="155"/>
        <v>0</v>
      </c>
      <c r="FD187" s="3">
        <f t="shared" si="155"/>
        <v>0</v>
      </c>
      <c r="FE187" s="3">
        <f t="shared" si="155"/>
        <v>0</v>
      </c>
      <c r="FF187" s="3">
        <f t="shared" si="155"/>
        <v>0</v>
      </c>
      <c r="FG187" s="3">
        <f t="shared" si="155"/>
        <v>0</v>
      </c>
      <c r="FH187" s="3">
        <f t="shared" si="155"/>
        <v>0</v>
      </c>
      <c r="FI187" s="3">
        <f t="shared" si="155"/>
        <v>0</v>
      </c>
      <c r="FJ187" s="3">
        <f t="shared" si="155"/>
        <v>0</v>
      </c>
      <c r="FK187" s="3">
        <f t="shared" si="155"/>
        <v>0</v>
      </c>
      <c r="FL187" s="3">
        <f t="shared" si="155"/>
        <v>0</v>
      </c>
      <c r="FM187" s="3">
        <f t="shared" si="155"/>
        <v>0</v>
      </c>
      <c r="FN187" s="3">
        <f t="shared" si="155"/>
        <v>0</v>
      </c>
      <c r="FO187" s="3">
        <f t="shared" si="155"/>
        <v>0</v>
      </c>
      <c r="FP187" s="3">
        <f t="shared" si="155"/>
        <v>0</v>
      </c>
      <c r="FQ187" s="3">
        <f t="shared" si="155"/>
        <v>0</v>
      </c>
      <c r="FR187" s="3">
        <f t="shared" si="155"/>
        <v>0</v>
      </c>
      <c r="FS187" s="3">
        <f t="shared" ref="FS187:GX187" si="156">FS193</f>
        <v>0</v>
      </c>
      <c r="FT187" s="3">
        <f t="shared" si="156"/>
        <v>0</v>
      </c>
      <c r="FU187" s="3">
        <f t="shared" si="156"/>
        <v>0</v>
      </c>
      <c r="FV187" s="3">
        <f t="shared" si="156"/>
        <v>0</v>
      </c>
      <c r="FW187" s="3">
        <f t="shared" si="156"/>
        <v>0</v>
      </c>
      <c r="FX187" s="3">
        <f t="shared" si="156"/>
        <v>0</v>
      </c>
      <c r="FY187" s="3">
        <f t="shared" si="156"/>
        <v>0</v>
      </c>
      <c r="FZ187" s="3">
        <f t="shared" si="156"/>
        <v>0</v>
      </c>
      <c r="GA187" s="3">
        <f t="shared" si="156"/>
        <v>0</v>
      </c>
      <c r="GB187" s="3">
        <f t="shared" si="156"/>
        <v>0</v>
      </c>
      <c r="GC187" s="3">
        <f t="shared" si="156"/>
        <v>0</v>
      </c>
      <c r="GD187" s="3">
        <f t="shared" si="156"/>
        <v>0</v>
      </c>
      <c r="GE187" s="3">
        <f t="shared" si="156"/>
        <v>0</v>
      </c>
      <c r="GF187" s="3">
        <f t="shared" si="156"/>
        <v>0</v>
      </c>
      <c r="GG187" s="3">
        <f t="shared" si="156"/>
        <v>0</v>
      </c>
      <c r="GH187" s="3">
        <f t="shared" si="156"/>
        <v>0</v>
      </c>
      <c r="GI187" s="3">
        <f t="shared" si="156"/>
        <v>0</v>
      </c>
      <c r="GJ187" s="3">
        <f t="shared" si="156"/>
        <v>0</v>
      </c>
      <c r="GK187" s="3">
        <f t="shared" si="156"/>
        <v>0</v>
      </c>
      <c r="GL187" s="3">
        <f t="shared" si="156"/>
        <v>0</v>
      </c>
      <c r="GM187" s="3">
        <f t="shared" si="156"/>
        <v>0</v>
      </c>
      <c r="GN187" s="3">
        <f t="shared" si="156"/>
        <v>0</v>
      </c>
      <c r="GO187" s="3">
        <f t="shared" si="156"/>
        <v>0</v>
      </c>
      <c r="GP187" s="3">
        <f t="shared" si="156"/>
        <v>0</v>
      </c>
      <c r="GQ187" s="3">
        <f t="shared" si="156"/>
        <v>0</v>
      </c>
      <c r="GR187" s="3">
        <f t="shared" si="156"/>
        <v>0</v>
      </c>
      <c r="GS187" s="3">
        <f t="shared" si="156"/>
        <v>0</v>
      </c>
      <c r="GT187" s="3">
        <f t="shared" si="156"/>
        <v>0</v>
      </c>
      <c r="GU187" s="3">
        <f t="shared" si="156"/>
        <v>0</v>
      </c>
      <c r="GV187" s="3">
        <f t="shared" si="156"/>
        <v>0</v>
      </c>
      <c r="GW187" s="3">
        <f t="shared" si="156"/>
        <v>0</v>
      </c>
      <c r="GX187" s="3">
        <f t="shared" si="156"/>
        <v>0</v>
      </c>
    </row>
    <row r="189" spans="1:245">
      <c r="A189">
        <v>17</v>
      </c>
      <c r="B189">
        <v>1</v>
      </c>
      <c r="C189">
        <f>ROW(SmtRes!A99)</f>
        <v>99</v>
      </c>
      <c r="D189">
        <f>ROW(EtalonRes!A102)</f>
        <v>102</v>
      </c>
      <c r="E189" t="s">
        <v>154</v>
      </c>
      <c r="F189" t="s">
        <v>194</v>
      </c>
      <c r="G189" t="s">
        <v>195</v>
      </c>
      <c r="H189" t="s">
        <v>115</v>
      </c>
      <c r="I189">
        <f>ROUND(30.4/100,9)</f>
        <v>0.30399999999999999</v>
      </c>
      <c r="J189">
        <v>0</v>
      </c>
      <c r="K189">
        <f>ROUND(30.4/100,9)</f>
        <v>0.30399999999999999</v>
      </c>
      <c r="O189">
        <f>ROUND(CP189,2)</f>
        <v>20627</v>
      </c>
      <c r="P189">
        <f>ROUND(CQ189*I189,2)</f>
        <v>7726.63</v>
      </c>
      <c r="Q189">
        <f>ROUND(CR189*I189,2)</f>
        <v>1772.21</v>
      </c>
      <c r="R189">
        <f>ROUND(CS189*I189,2)</f>
        <v>128.86000000000001</v>
      </c>
      <c r="S189">
        <f>ROUND(CT189*I189,2)</f>
        <v>11128.16</v>
      </c>
      <c r="T189">
        <f>ROUND(CU189*I189,2)</f>
        <v>0</v>
      </c>
      <c r="U189">
        <f>CV189*I189</f>
        <v>35.820015999999995</v>
      </c>
      <c r="V189">
        <f>CW189*I189</f>
        <v>0.2888</v>
      </c>
      <c r="W189">
        <f>ROUND(CX189*I189,2)</f>
        <v>0</v>
      </c>
      <c r="X189">
        <f t="shared" ref="X189:Y191" si="157">ROUND(CY189,2)</f>
        <v>10694.17</v>
      </c>
      <c r="Y189">
        <f t="shared" si="157"/>
        <v>5290.8</v>
      </c>
      <c r="AA189">
        <v>35822480</v>
      </c>
      <c r="AB189">
        <f>ROUND((AC189+AD189+AF189),6)</f>
        <v>7000.2254999999996</v>
      </c>
      <c r="AC189">
        <f>ROUND((ES189),6)</f>
        <v>5350.85</v>
      </c>
      <c r="AD189">
        <f>ROUND(((((ET189*1.25))-((EU189*1.25)))+AE189),6)</f>
        <v>541.78750000000002</v>
      </c>
      <c r="AE189">
        <f>ROUND(((EU189*1.25)),6)</f>
        <v>12.824999999999999</v>
      </c>
      <c r="AF189">
        <f>ROUND(((EV189*1.15)),6)</f>
        <v>1107.588</v>
      </c>
      <c r="AG189">
        <f>ROUND((AP189),6)</f>
        <v>0</v>
      </c>
      <c r="AH189">
        <f>((EW189*1.15))</f>
        <v>117.82899999999998</v>
      </c>
      <c r="AI189">
        <f>((EX189*1.25))</f>
        <v>0.95</v>
      </c>
      <c r="AJ189">
        <f>(AS189)</f>
        <v>0</v>
      </c>
      <c r="AK189">
        <v>6747.4</v>
      </c>
      <c r="AL189">
        <v>5350.85</v>
      </c>
      <c r="AM189">
        <v>433.43</v>
      </c>
      <c r="AN189">
        <v>10.26</v>
      </c>
      <c r="AO189">
        <v>963.12</v>
      </c>
      <c r="AP189">
        <v>0</v>
      </c>
      <c r="AQ189">
        <v>102.46</v>
      </c>
      <c r="AR189">
        <v>0.76</v>
      </c>
      <c r="AS189">
        <v>0</v>
      </c>
      <c r="AT189">
        <v>95</v>
      </c>
      <c r="AU189">
        <v>47</v>
      </c>
      <c r="AV189">
        <v>1</v>
      </c>
      <c r="AW189">
        <v>1</v>
      </c>
      <c r="AZ189">
        <v>1</v>
      </c>
      <c r="BA189">
        <v>33.049999999999997</v>
      </c>
      <c r="BB189">
        <v>10.76</v>
      </c>
      <c r="BC189">
        <v>4.75</v>
      </c>
      <c r="BD189" t="s">
        <v>3</v>
      </c>
      <c r="BE189" t="s">
        <v>3</v>
      </c>
      <c r="BF189" t="s">
        <v>3</v>
      </c>
      <c r="BG189" t="s">
        <v>3</v>
      </c>
      <c r="BH189">
        <v>0</v>
      </c>
      <c r="BI189">
        <v>1</v>
      </c>
      <c r="BJ189" t="s">
        <v>196</v>
      </c>
      <c r="BM189">
        <v>15001</v>
      </c>
      <c r="BN189">
        <v>0</v>
      </c>
      <c r="BO189" t="s">
        <v>194</v>
      </c>
      <c r="BP189">
        <v>1</v>
      </c>
      <c r="BQ189">
        <v>2</v>
      </c>
      <c r="BR189">
        <v>0</v>
      </c>
      <c r="BS189">
        <v>33.049999999999997</v>
      </c>
      <c r="BT189">
        <v>1</v>
      </c>
      <c r="BU189">
        <v>1</v>
      </c>
      <c r="BV189">
        <v>1</v>
      </c>
      <c r="BW189">
        <v>1</v>
      </c>
      <c r="BX189">
        <v>1</v>
      </c>
      <c r="BY189" t="s">
        <v>3</v>
      </c>
      <c r="BZ189">
        <v>105</v>
      </c>
      <c r="CA189">
        <v>55</v>
      </c>
      <c r="CB189" t="s">
        <v>3</v>
      </c>
      <c r="CE189">
        <v>0</v>
      </c>
      <c r="CF189">
        <v>0</v>
      </c>
      <c r="CG189">
        <v>0</v>
      </c>
      <c r="CM189">
        <v>0</v>
      </c>
      <c r="CN189" t="s">
        <v>468</v>
      </c>
      <c r="CO189">
        <v>0</v>
      </c>
      <c r="CP189">
        <f>(P189+Q189+S189)</f>
        <v>20627</v>
      </c>
      <c r="CQ189">
        <f>AC189*BC189</f>
        <v>25416.537500000002</v>
      </c>
      <c r="CR189">
        <f>AD189*BB189</f>
        <v>5829.6334999999999</v>
      </c>
      <c r="CS189">
        <f>AE189*BS189</f>
        <v>423.86624999999992</v>
      </c>
      <c r="CT189">
        <f>AF189*BA189</f>
        <v>36605.783399999993</v>
      </c>
      <c r="CU189">
        <f t="shared" ref="CU189:CX191" si="158">AG189</f>
        <v>0</v>
      </c>
      <c r="CV189">
        <f t="shared" si="158"/>
        <v>117.82899999999998</v>
      </c>
      <c r="CW189">
        <f t="shared" si="158"/>
        <v>0.95</v>
      </c>
      <c r="CX189">
        <f t="shared" si="158"/>
        <v>0</v>
      </c>
      <c r="CY189">
        <f>(((S189+R189)*AT189)/100)</f>
        <v>10694.169000000002</v>
      </c>
      <c r="CZ189">
        <f>(((S189+R189)*AU189)/100)</f>
        <v>5290.7994000000008</v>
      </c>
      <c r="DC189" t="s">
        <v>3</v>
      </c>
      <c r="DD189" t="s">
        <v>3</v>
      </c>
      <c r="DE189" t="s">
        <v>117</v>
      </c>
      <c r="DF189" t="s">
        <v>117</v>
      </c>
      <c r="DG189" t="s">
        <v>118</v>
      </c>
      <c r="DH189" t="s">
        <v>3</v>
      </c>
      <c r="DI189" t="s">
        <v>118</v>
      </c>
      <c r="DJ189" t="s">
        <v>117</v>
      </c>
      <c r="DK189" t="s">
        <v>3</v>
      </c>
      <c r="DL189" t="s">
        <v>3</v>
      </c>
      <c r="DM189" t="s">
        <v>3</v>
      </c>
      <c r="DN189">
        <v>0</v>
      </c>
      <c r="DO189">
        <v>0</v>
      </c>
      <c r="DP189">
        <v>1</v>
      </c>
      <c r="DQ189">
        <v>1</v>
      </c>
      <c r="DU189">
        <v>1013</v>
      </c>
      <c r="DV189" t="s">
        <v>115</v>
      </c>
      <c r="DW189" t="s">
        <v>115</v>
      </c>
      <c r="DX189">
        <v>1</v>
      </c>
      <c r="DZ189" t="s">
        <v>3</v>
      </c>
      <c r="EA189" t="s">
        <v>3</v>
      </c>
      <c r="EB189" t="s">
        <v>3</v>
      </c>
      <c r="EC189" t="s">
        <v>3</v>
      </c>
      <c r="EE189">
        <v>36260452</v>
      </c>
      <c r="EF189">
        <v>2</v>
      </c>
      <c r="EG189" t="s">
        <v>109</v>
      </c>
      <c r="EH189">
        <v>0</v>
      </c>
      <c r="EI189" t="s">
        <v>3</v>
      </c>
      <c r="EJ189">
        <v>1</v>
      </c>
      <c r="EK189">
        <v>15001</v>
      </c>
      <c r="EL189" t="s">
        <v>119</v>
      </c>
      <c r="EM189" t="s">
        <v>120</v>
      </c>
      <c r="EO189" t="s">
        <v>121</v>
      </c>
      <c r="EQ189">
        <v>0</v>
      </c>
      <c r="ER189">
        <v>6747.4</v>
      </c>
      <c r="ES189">
        <v>5350.85</v>
      </c>
      <c r="ET189">
        <v>433.43</v>
      </c>
      <c r="EU189">
        <v>10.26</v>
      </c>
      <c r="EV189">
        <v>963.12</v>
      </c>
      <c r="EW189">
        <v>102.46</v>
      </c>
      <c r="EX189">
        <v>0.76</v>
      </c>
      <c r="EY189">
        <v>0</v>
      </c>
      <c r="FQ189">
        <v>0</v>
      </c>
      <c r="FR189">
        <f>ROUND(IF(AND(BH189=3,BI189=3),P189,0),2)</f>
        <v>0</v>
      </c>
      <c r="FS189">
        <v>0</v>
      </c>
      <c r="FT189" t="s">
        <v>111</v>
      </c>
      <c r="FU189" t="s">
        <v>112</v>
      </c>
      <c r="FX189">
        <v>94.5</v>
      </c>
      <c r="FY189">
        <v>46.75</v>
      </c>
      <c r="GA189" t="s">
        <v>3</v>
      </c>
      <c r="GD189">
        <v>1</v>
      </c>
      <c r="GF189">
        <v>-1218928354</v>
      </c>
      <c r="GG189">
        <v>2</v>
      </c>
      <c r="GH189">
        <v>1</v>
      </c>
      <c r="GI189">
        <v>2</v>
      </c>
      <c r="GJ189">
        <v>0</v>
      </c>
      <c r="GK189">
        <v>0</v>
      </c>
      <c r="GL189">
        <f>ROUND(IF(AND(BH189=3,BI189=3,FS189&lt;&gt;0),P189,0),2)</f>
        <v>0</v>
      </c>
      <c r="GM189">
        <f>ROUND(O189+X189+Y189,2)+GX189</f>
        <v>36611.97</v>
      </c>
      <c r="GN189">
        <f>IF(OR(BI189=0,BI189=1),ROUND(O189+X189+Y189,2),0)</f>
        <v>36611.97</v>
      </c>
      <c r="GO189">
        <f>IF(BI189=2,ROUND(O189+X189+Y189,2),0)</f>
        <v>0</v>
      </c>
      <c r="GP189">
        <f>IF(BI189=4,ROUND(O189+X189+Y189,2)+GX189,0)</f>
        <v>0</v>
      </c>
      <c r="GR189">
        <v>0</v>
      </c>
      <c r="GS189">
        <v>3</v>
      </c>
      <c r="GT189">
        <v>0</v>
      </c>
      <c r="GU189" t="s">
        <v>3</v>
      </c>
      <c r="GV189">
        <f>ROUND((GT189),6)</f>
        <v>0</v>
      </c>
      <c r="GW189">
        <v>1</v>
      </c>
      <c r="GX189">
        <f>ROUND(HC189*I189,2)</f>
        <v>0</v>
      </c>
      <c r="HA189">
        <v>0</v>
      </c>
      <c r="HB189">
        <v>0</v>
      </c>
      <c r="HC189">
        <f>GV189*GW189</f>
        <v>0</v>
      </c>
      <c r="HE189" t="s">
        <v>3</v>
      </c>
      <c r="HF189" t="s">
        <v>3</v>
      </c>
      <c r="HM189" t="s">
        <v>3</v>
      </c>
      <c r="IK189">
        <v>0</v>
      </c>
    </row>
    <row r="190" spans="1:245">
      <c r="A190">
        <v>17</v>
      </c>
      <c r="B190">
        <v>1</v>
      </c>
      <c r="E190" t="s">
        <v>45</v>
      </c>
      <c r="F190" t="s">
        <v>197</v>
      </c>
      <c r="G190" t="s">
        <v>198</v>
      </c>
      <c r="H190" t="s">
        <v>199</v>
      </c>
      <c r="I190">
        <v>0.3</v>
      </c>
      <c r="J190">
        <v>0</v>
      </c>
      <c r="K190">
        <v>0.3</v>
      </c>
      <c r="O190">
        <f>ROUND(CP190,2)</f>
        <v>186.06</v>
      </c>
      <c r="P190">
        <f>ROUND(CQ190*I190,2)</f>
        <v>0</v>
      </c>
      <c r="Q190">
        <f>ROUND(CR190*I190,2)</f>
        <v>186.06</v>
      </c>
      <c r="R190">
        <f>ROUND(CS190*I190,2)</f>
        <v>0</v>
      </c>
      <c r="S190">
        <f>ROUND(CT190*I190,2)</f>
        <v>0</v>
      </c>
      <c r="T190">
        <f>ROUND(CU190*I190,2)</f>
        <v>0</v>
      </c>
      <c r="U190">
        <f>CV190*I190</f>
        <v>0</v>
      </c>
      <c r="V190">
        <f>CW190*I190</f>
        <v>0</v>
      </c>
      <c r="W190">
        <f>ROUND(CX190*I190,2)</f>
        <v>0</v>
      </c>
      <c r="X190">
        <f t="shared" si="157"/>
        <v>0</v>
      </c>
      <c r="Y190">
        <f t="shared" si="157"/>
        <v>0</v>
      </c>
      <c r="AA190">
        <v>35822480</v>
      </c>
      <c r="AB190">
        <f>ROUND((AC190+AD190+AF190),6)</f>
        <v>42.98</v>
      </c>
      <c r="AC190">
        <f>ROUND((ES190),6)</f>
        <v>0</v>
      </c>
      <c r="AD190">
        <f>ROUND(((ET190)+ROUND(((EU190)*1.6),2)),6)</f>
        <v>42.98</v>
      </c>
      <c r="AE190">
        <f>ROUND(((EU190)+ROUND(((EU190)*1.6),2)),6)</f>
        <v>0</v>
      </c>
      <c r="AF190">
        <f>ROUND(((EV190)+ROUND(((EV190)*1.6),2)),6)</f>
        <v>0</v>
      </c>
      <c r="AG190">
        <f>ROUND((AP190),6)</f>
        <v>0</v>
      </c>
      <c r="AH190">
        <f>(EW190)</f>
        <v>0</v>
      </c>
      <c r="AI190">
        <f>(EX190)</f>
        <v>0</v>
      </c>
      <c r="AJ190">
        <f>(AS190)</f>
        <v>0</v>
      </c>
      <c r="AK190">
        <v>42.98</v>
      </c>
      <c r="AL190">
        <v>0</v>
      </c>
      <c r="AM190">
        <v>42.98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14.43</v>
      </c>
      <c r="BB190">
        <v>14.43</v>
      </c>
      <c r="BC190">
        <v>1</v>
      </c>
      <c r="BD190" t="s">
        <v>3</v>
      </c>
      <c r="BE190" t="s">
        <v>3</v>
      </c>
      <c r="BF190" t="s">
        <v>3</v>
      </c>
      <c r="BG190" t="s">
        <v>3</v>
      </c>
      <c r="BH190">
        <v>0</v>
      </c>
      <c r="BI190">
        <v>1</v>
      </c>
      <c r="BJ190" t="s">
        <v>200</v>
      </c>
      <c r="BM190">
        <v>700004</v>
      </c>
      <c r="BN190">
        <v>0</v>
      </c>
      <c r="BO190" t="s">
        <v>3</v>
      </c>
      <c r="BP190">
        <v>0</v>
      </c>
      <c r="BQ190">
        <v>19</v>
      </c>
      <c r="BR190">
        <v>0</v>
      </c>
      <c r="BS190">
        <v>14.43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3</v>
      </c>
      <c r="BZ190">
        <v>0</v>
      </c>
      <c r="CA190">
        <v>0</v>
      </c>
      <c r="CB190" t="s">
        <v>3</v>
      </c>
      <c r="CE190">
        <v>0</v>
      </c>
      <c r="CF190">
        <v>0</v>
      </c>
      <c r="CG190">
        <v>0</v>
      </c>
      <c r="CM190">
        <v>0</v>
      </c>
      <c r="CN190" t="s">
        <v>3</v>
      </c>
      <c r="CO190">
        <v>0</v>
      </c>
      <c r="CP190">
        <f>(P190+Q190+S190)</f>
        <v>186.06</v>
      </c>
      <c r="CQ190">
        <f>AC190*BC190</f>
        <v>0</v>
      </c>
      <c r="CR190">
        <f>AD190*BB190</f>
        <v>620.20139999999992</v>
      </c>
      <c r="CS190">
        <f>AE190*BS190</f>
        <v>0</v>
      </c>
      <c r="CT190">
        <f>AF190*BA190</f>
        <v>0</v>
      </c>
      <c r="CU190">
        <f t="shared" si="158"/>
        <v>0</v>
      </c>
      <c r="CV190">
        <f t="shared" si="158"/>
        <v>0</v>
      </c>
      <c r="CW190">
        <f t="shared" si="158"/>
        <v>0</v>
      </c>
      <c r="CX190">
        <f t="shared" si="158"/>
        <v>0</v>
      </c>
      <c r="CY190">
        <f>(((S190+R190)*AT190)/100)</f>
        <v>0</v>
      </c>
      <c r="CZ190">
        <f>(((S190+R190)*AU190)/100)</f>
        <v>0</v>
      </c>
      <c r="DC190" t="s">
        <v>3</v>
      </c>
      <c r="DD190" t="s">
        <v>3</v>
      </c>
      <c r="DE190" t="s">
        <v>3</v>
      </c>
      <c r="DF190" t="s">
        <v>3</v>
      </c>
      <c r="DG190" t="s">
        <v>3</v>
      </c>
      <c r="DH190" t="s">
        <v>3</v>
      </c>
      <c r="DI190" t="s">
        <v>3</v>
      </c>
      <c r="DJ190" t="s">
        <v>3</v>
      </c>
      <c r="DK190" t="s">
        <v>3</v>
      </c>
      <c r="DL190" t="s">
        <v>3</v>
      </c>
      <c r="DM190" t="s">
        <v>3</v>
      </c>
      <c r="DN190">
        <v>0</v>
      </c>
      <c r="DO190">
        <v>0</v>
      </c>
      <c r="DP190">
        <v>1</v>
      </c>
      <c r="DQ190">
        <v>1</v>
      </c>
      <c r="DU190">
        <v>1013</v>
      </c>
      <c r="DV190" t="s">
        <v>199</v>
      </c>
      <c r="DW190" t="s">
        <v>199</v>
      </c>
      <c r="DX190">
        <v>1</v>
      </c>
      <c r="DZ190" t="s">
        <v>3</v>
      </c>
      <c r="EA190" t="s">
        <v>3</v>
      </c>
      <c r="EB190" t="s">
        <v>3</v>
      </c>
      <c r="EC190" t="s">
        <v>3</v>
      </c>
      <c r="EE190">
        <v>36260614</v>
      </c>
      <c r="EF190">
        <v>19</v>
      </c>
      <c r="EG190" t="s">
        <v>201</v>
      </c>
      <c r="EH190">
        <v>0</v>
      </c>
      <c r="EI190" t="s">
        <v>3</v>
      </c>
      <c r="EJ190">
        <v>1</v>
      </c>
      <c r="EK190">
        <v>700004</v>
      </c>
      <c r="EL190" t="s">
        <v>202</v>
      </c>
      <c r="EM190" t="s">
        <v>203</v>
      </c>
      <c r="EO190" t="s">
        <v>3</v>
      </c>
      <c r="EQ190">
        <v>0</v>
      </c>
      <c r="ER190">
        <v>42.98</v>
      </c>
      <c r="ES190">
        <v>0</v>
      </c>
      <c r="ET190">
        <v>42.98</v>
      </c>
      <c r="EU190">
        <v>0</v>
      </c>
      <c r="EV190">
        <v>0</v>
      </c>
      <c r="EW190">
        <v>0</v>
      </c>
      <c r="EX190">
        <v>0</v>
      </c>
      <c r="EY190">
        <v>0</v>
      </c>
      <c r="FQ190">
        <v>0</v>
      </c>
      <c r="FR190">
        <f>ROUND(IF(AND(BH190=3,BI190=3),P190,0),2)</f>
        <v>0</v>
      </c>
      <c r="FS190">
        <v>0</v>
      </c>
      <c r="FX190">
        <v>0</v>
      </c>
      <c r="FY190">
        <v>0</v>
      </c>
      <c r="GA190" t="s">
        <v>3</v>
      </c>
      <c r="GD190">
        <v>1</v>
      </c>
      <c r="GF190">
        <v>-772656430</v>
      </c>
      <c r="GG190">
        <v>2</v>
      </c>
      <c r="GH190">
        <v>1</v>
      </c>
      <c r="GI190">
        <v>2</v>
      </c>
      <c r="GJ190">
        <v>0</v>
      </c>
      <c r="GK190">
        <v>0</v>
      </c>
      <c r="GL190">
        <f>ROUND(IF(AND(BH190=3,BI190=3,FS190&lt;&gt;0),P190,0),2)</f>
        <v>0</v>
      </c>
      <c r="GM190">
        <f>ROUND(O190+X190+Y190,2)+GX190</f>
        <v>186.06</v>
      </c>
      <c r="GN190">
        <f>IF(OR(BI190=0,BI190=1),ROUND(O190+X190+Y190,2),0)</f>
        <v>186.06</v>
      </c>
      <c r="GO190">
        <f>IF(BI190=2,ROUND(O190+X190+Y190,2),0)</f>
        <v>0</v>
      </c>
      <c r="GP190">
        <f>IF(BI190=4,ROUND(O190+X190+Y190,2)+GX190,0)</f>
        <v>0</v>
      </c>
      <c r="GR190">
        <v>0</v>
      </c>
      <c r="GS190">
        <v>3</v>
      </c>
      <c r="GT190">
        <v>0</v>
      </c>
      <c r="GU190" t="s">
        <v>3</v>
      </c>
      <c r="GV190">
        <f>ROUND((GT190),6)</f>
        <v>0</v>
      </c>
      <c r="GW190">
        <v>1</v>
      </c>
      <c r="GX190">
        <f>ROUND(HC190*I190,2)</f>
        <v>0</v>
      </c>
      <c r="HA190">
        <v>0</v>
      </c>
      <c r="HB190">
        <v>0</v>
      </c>
      <c r="HC190">
        <f>GV190*GW190</f>
        <v>0</v>
      </c>
      <c r="HD190">
        <f>GM190</f>
        <v>186.06</v>
      </c>
      <c r="HE190" t="s">
        <v>3</v>
      </c>
      <c r="HF190" t="s">
        <v>3</v>
      </c>
      <c r="HM190" t="s">
        <v>3</v>
      </c>
      <c r="IK190">
        <v>0</v>
      </c>
    </row>
    <row r="191" spans="1:245">
      <c r="A191">
        <v>17</v>
      </c>
      <c r="B191">
        <v>1</v>
      </c>
      <c r="E191" t="s">
        <v>204</v>
      </c>
      <c r="F191" t="s">
        <v>205</v>
      </c>
      <c r="G191" t="s">
        <v>206</v>
      </c>
      <c r="H191" t="s">
        <v>199</v>
      </c>
      <c r="I191">
        <v>0.3</v>
      </c>
      <c r="J191">
        <v>0</v>
      </c>
      <c r="K191">
        <v>0.3</v>
      </c>
      <c r="O191">
        <f>ROUND(CP191,2)</f>
        <v>62.04</v>
      </c>
      <c r="P191">
        <f>ROUND(CQ191*I191,2)</f>
        <v>0</v>
      </c>
      <c r="Q191">
        <f>ROUND(CR191*I191,2)</f>
        <v>62.04</v>
      </c>
      <c r="R191">
        <f>ROUND(CS191*I191,2)</f>
        <v>0</v>
      </c>
      <c r="S191">
        <f>ROUND(CT191*I191,2)</f>
        <v>0</v>
      </c>
      <c r="T191">
        <f>ROUND(CU191*I191,2)</f>
        <v>0</v>
      </c>
      <c r="U191">
        <f>CV191*I191</f>
        <v>0</v>
      </c>
      <c r="V191">
        <f>CW191*I191</f>
        <v>0</v>
      </c>
      <c r="W191">
        <f>ROUND(CX191*I191,2)</f>
        <v>0</v>
      </c>
      <c r="X191">
        <f t="shared" si="157"/>
        <v>0</v>
      </c>
      <c r="Y191">
        <f t="shared" si="157"/>
        <v>0</v>
      </c>
      <c r="AA191">
        <v>35822480</v>
      </c>
      <c r="AB191">
        <f>ROUND((AC191+AD191+AF191),6)</f>
        <v>20.91</v>
      </c>
      <c r="AC191">
        <f>ROUND((ES191),6)</f>
        <v>0</v>
      </c>
      <c r="AD191">
        <f>ROUND(((ET191)+ROUND(((EU191)*1.85),2)),6)</f>
        <v>20.91</v>
      </c>
      <c r="AE191">
        <f>ROUND(((EU191)+ROUND(((EU191)*1.85),2)),6)</f>
        <v>0</v>
      </c>
      <c r="AF191">
        <f>ROUND(((EV191)+ROUND(((EV191)*1.85),2)),6)</f>
        <v>0</v>
      </c>
      <c r="AG191">
        <f>ROUND((AP191),6)</f>
        <v>0</v>
      </c>
      <c r="AH191">
        <f>(EW191)</f>
        <v>0</v>
      </c>
      <c r="AI191">
        <f>(EX191)</f>
        <v>0</v>
      </c>
      <c r="AJ191">
        <f>(AS191)</f>
        <v>0</v>
      </c>
      <c r="AK191">
        <v>20.91</v>
      </c>
      <c r="AL191">
        <v>0</v>
      </c>
      <c r="AM191">
        <v>20.91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1</v>
      </c>
      <c r="AW191">
        <v>1</v>
      </c>
      <c r="AZ191">
        <v>1</v>
      </c>
      <c r="BA191">
        <v>9.89</v>
      </c>
      <c r="BB191">
        <v>9.89</v>
      </c>
      <c r="BC191">
        <v>1</v>
      </c>
      <c r="BD191" t="s">
        <v>3</v>
      </c>
      <c r="BE191" t="s">
        <v>3</v>
      </c>
      <c r="BF191" t="s">
        <v>3</v>
      </c>
      <c r="BG191" t="s">
        <v>3</v>
      </c>
      <c r="BH191">
        <v>0</v>
      </c>
      <c r="BI191">
        <v>1</v>
      </c>
      <c r="BJ191" t="s">
        <v>207</v>
      </c>
      <c r="BM191">
        <v>700001</v>
      </c>
      <c r="BN191">
        <v>0</v>
      </c>
      <c r="BO191" t="s">
        <v>3</v>
      </c>
      <c r="BP191">
        <v>0</v>
      </c>
      <c r="BQ191">
        <v>10</v>
      </c>
      <c r="BR191">
        <v>0</v>
      </c>
      <c r="BS191">
        <v>9.89</v>
      </c>
      <c r="BT191">
        <v>1</v>
      </c>
      <c r="BU191">
        <v>1</v>
      </c>
      <c r="BV191">
        <v>1</v>
      </c>
      <c r="BW191">
        <v>1</v>
      </c>
      <c r="BX191">
        <v>1</v>
      </c>
      <c r="BY191" t="s">
        <v>3</v>
      </c>
      <c r="BZ191">
        <v>0</v>
      </c>
      <c r="CA191">
        <v>0</v>
      </c>
      <c r="CB191" t="s">
        <v>3</v>
      </c>
      <c r="CE191">
        <v>0</v>
      </c>
      <c r="CF191">
        <v>0</v>
      </c>
      <c r="CG191">
        <v>0</v>
      </c>
      <c r="CM191">
        <v>0</v>
      </c>
      <c r="CN191" t="s">
        <v>3</v>
      </c>
      <c r="CO191">
        <v>0</v>
      </c>
      <c r="CP191">
        <f>(P191+Q191+S191)</f>
        <v>62.04</v>
      </c>
      <c r="CQ191">
        <f>AC191*BC191</f>
        <v>0</v>
      </c>
      <c r="CR191">
        <f>AD191*BB191</f>
        <v>206.79990000000001</v>
      </c>
      <c r="CS191">
        <f>AE191*BS191</f>
        <v>0</v>
      </c>
      <c r="CT191">
        <f>AF191*BA191</f>
        <v>0</v>
      </c>
      <c r="CU191">
        <f t="shared" si="158"/>
        <v>0</v>
      </c>
      <c r="CV191">
        <f t="shared" si="158"/>
        <v>0</v>
      </c>
      <c r="CW191">
        <f t="shared" si="158"/>
        <v>0</v>
      </c>
      <c r="CX191">
        <f t="shared" si="158"/>
        <v>0</v>
      </c>
      <c r="CY191">
        <f>(((S191+R191)*AT191)/100)</f>
        <v>0</v>
      </c>
      <c r="CZ191">
        <f>(((S191+R191)*AU191)/100)</f>
        <v>0</v>
      </c>
      <c r="DC191" t="s">
        <v>3</v>
      </c>
      <c r="DD191" t="s">
        <v>3</v>
      </c>
      <c r="DE191" t="s">
        <v>3</v>
      </c>
      <c r="DF191" t="s">
        <v>3</v>
      </c>
      <c r="DG191" t="s">
        <v>3</v>
      </c>
      <c r="DH191" t="s">
        <v>3</v>
      </c>
      <c r="DI191" t="s">
        <v>3</v>
      </c>
      <c r="DJ191" t="s">
        <v>3</v>
      </c>
      <c r="DK191" t="s">
        <v>3</v>
      </c>
      <c r="DL191" t="s">
        <v>3</v>
      </c>
      <c r="DM191" t="s">
        <v>3</v>
      </c>
      <c r="DN191">
        <v>0</v>
      </c>
      <c r="DO191">
        <v>0</v>
      </c>
      <c r="DP191">
        <v>1</v>
      </c>
      <c r="DQ191">
        <v>1</v>
      </c>
      <c r="DU191">
        <v>1013</v>
      </c>
      <c r="DV191" t="s">
        <v>199</v>
      </c>
      <c r="DW191" t="s">
        <v>199</v>
      </c>
      <c r="DX191">
        <v>1</v>
      </c>
      <c r="DZ191" t="s">
        <v>3</v>
      </c>
      <c r="EA191" t="s">
        <v>3</v>
      </c>
      <c r="EB191" t="s">
        <v>3</v>
      </c>
      <c r="EC191" t="s">
        <v>3</v>
      </c>
      <c r="EE191">
        <v>36260364</v>
      </c>
      <c r="EF191">
        <v>10</v>
      </c>
      <c r="EG191" t="s">
        <v>208</v>
      </c>
      <c r="EH191">
        <v>0</v>
      </c>
      <c r="EI191" t="s">
        <v>3</v>
      </c>
      <c r="EJ191">
        <v>1</v>
      </c>
      <c r="EK191">
        <v>700001</v>
      </c>
      <c r="EL191" t="s">
        <v>209</v>
      </c>
      <c r="EM191" t="s">
        <v>210</v>
      </c>
      <c r="EO191" t="s">
        <v>3</v>
      </c>
      <c r="EQ191">
        <v>0</v>
      </c>
      <c r="ER191">
        <v>20.91</v>
      </c>
      <c r="ES191">
        <v>0</v>
      </c>
      <c r="ET191">
        <v>20.91</v>
      </c>
      <c r="EU191">
        <v>0</v>
      </c>
      <c r="EV191">
        <v>0</v>
      </c>
      <c r="EW191">
        <v>0</v>
      </c>
      <c r="EX191">
        <v>0</v>
      </c>
      <c r="EY191">
        <v>0</v>
      </c>
      <c r="FQ191">
        <v>0</v>
      </c>
      <c r="FR191">
        <f>ROUND(IF(AND(BH191=3,BI191=3),P191,0),2)</f>
        <v>0</v>
      </c>
      <c r="FS191">
        <v>0</v>
      </c>
      <c r="FX191">
        <v>0</v>
      </c>
      <c r="FY191">
        <v>0</v>
      </c>
      <c r="GA191" t="s">
        <v>3</v>
      </c>
      <c r="GD191">
        <v>1</v>
      </c>
      <c r="GF191">
        <v>-419364396</v>
      </c>
      <c r="GG191">
        <v>2</v>
      </c>
      <c r="GH191">
        <v>1</v>
      </c>
      <c r="GI191">
        <v>2</v>
      </c>
      <c r="GJ191">
        <v>0</v>
      </c>
      <c r="GK191">
        <v>0</v>
      </c>
      <c r="GL191">
        <f>ROUND(IF(AND(BH191=3,BI191=3,FS191&lt;&gt;0),P191,0),2)</f>
        <v>0</v>
      </c>
      <c r="GM191">
        <f>ROUND(O191+X191+Y191,2)+GX191</f>
        <v>62.04</v>
      </c>
      <c r="GN191">
        <f>IF(OR(BI191=0,BI191=1),ROUND(O191+X191+Y191,2),0)</f>
        <v>62.04</v>
      </c>
      <c r="GO191">
        <f>IF(BI191=2,ROUND(O191+X191+Y191,2),0)</f>
        <v>0</v>
      </c>
      <c r="GP191">
        <f>IF(BI191=4,ROUND(O191+X191+Y191,2)+GX191,0)</f>
        <v>0</v>
      </c>
      <c r="GR191">
        <v>0</v>
      </c>
      <c r="GS191">
        <v>3</v>
      </c>
      <c r="GT191">
        <v>0</v>
      </c>
      <c r="GU191" t="s">
        <v>3</v>
      </c>
      <c r="GV191">
        <f>ROUND((GT191),6)</f>
        <v>0</v>
      </c>
      <c r="GW191">
        <v>1</v>
      </c>
      <c r="GX191">
        <f>ROUND(HC191*I191,2)</f>
        <v>0</v>
      </c>
      <c r="HA191">
        <v>0</v>
      </c>
      <c r="HB191">
        <v>0</v>
      </c>
      <c r="HC191">
        <f>GV191*GW191</f>
        <v>0</v>
      </c>
      <c r="HD191">
        <f>GM191</f>
        <v>62.04</v>
      </c>
      <c r="HE191" t="s">
        <v>3</v>
      </c>
      <c r="HF191" t="s">
        <v>3</v>
      </c>
      <c r="HM191" t="s">
        <v>3</v>
      </c>
      <c r="IK191">
        <v>0</v>
      </c>
    </row>
    <row r="193" spans="1:206">
      <c r="A193" s="2">
        <v>51</v>
      </c>
      <c r="B193" s="2">
        <f>B185</f>
        <v>1</v>
      </c>
      <c r="C193" s="2">
        <f>A185</f>
        <v>4</v>
      </c>
      <c r="D193" s="2">
        <f>ROW(A185)</f>
        <v>185</v>
      </c>
      <c r="E193" s="2"/>
      <c r="F193" s="2" t="str">
        <f>IF(F185&lt;&gt;"",F185,"")</f>
        <v>Новый раздел</v>
      </c>
      <c r="G193" s="2" t="str">
        <f>IF(G185&lt;&gt;"",G185,"")</f>
        <v>потолок</v>
      </c>
      <c r="H193" s="2">
        <v>0</v>
      </c>
      <c r="I193" s="2"/>
      <c r="J193" s="2"/>
      <c r="K193" s="2"/>
      <c r="L193" s="2"/>
      <c r="M193" s="2"/>
      <c r="N193" s="2"/>
      <c r="O193" s="2">
        <f t="shared" ref="O193:T193" si="159">ROUND(AB193,2)</f>
        <v>20875.099999999999</v>
      </c>
      <c r="P193" s="2">
        <f t="shared" si="159"/>
        <v>7726.63</v>
      </c>
      <c r="Q193" s="2">
        <f t="shared" si="159"/>
        <v>2020.31</v>
      </c>
      <c r="R193" s="2">
        <f t="shared" si="159"/>
        <v>128.86000000000001</v>
      </c>
      <c r="S193" s="2">
        <f t="shared" si="159"/>
        <v>11128.16</v>
      </c>
      <c r="T193" s="2">
        <f t="shared" si="159"/>
        <v>0</v>
      </c>
      <c r="U193" s="2">
        <f>AH193</f>
        <v>35.820015999999995</v>
      </c>
      <c r="V193" s="2">
        <f>AI193</f>
        <v>0.2888</v>
      </c>
      <c r="W193" s="2">
        <f>ROUND(AJ193,2)</f>
        <v>0</v>
      </c>
      <c r="X193" s="2">
        <f>ROUND(AK193,2)</f>
        <v>10694.17</v>
      </c>
      <c r="Y193" s="2">
        <f>ROUND(AL193,2)</f>
        <v>5290.8</v>
      </c>
      <c r="Z193" s="2"/>
      <c r="AA193" s="2"/>
      <c r="AB193" s="2">
        <f>ROUND(SUMIF(AA189:AA191,"=35822480",O189:O191),2)</f>
        <v>20875.099999999999</v>
      </c>
      <c r="AC193" s="2">
        <f>ROUND(SUMIF(AA189:AA191,"=35822480",P189:P191),2)</f>
        <v>7726.63</v>
      </c>
      <c r="AD193" s="2">
        <f>ROUND(SUMIF(AA189:AA191,"=35822480",Q189:Q191),2)</f>
        <v>2020.31</v>
      </c>
      <c r="AE193" s="2">
        <f>ROUND(SUMIF(AA189:AA191,"=35822480",R189:R191),2)</f>
        <v>128.86000000000001</v>
      </c>
      <c r="AF193" s="2">
        <f>ROUND(SUMIF(AA189:AA191,"=35822480",S189:S191),2)</f>
        <v>11128.16</v>
      </c>
      <c r="AG193" s="2">
        <f>ROUND(SUMIF(AA189:AA191,"=35822480",T189:T191),2)</f>
        <v>0</v>
      </c>
      <c r="AH193" s="2">
        <f>SUMIF(AA189:AA191,"=35822480",U189:U191)</f>
        <v>35.820015999999995</v>
      </c>
      <c r="AI193" s="2">
        <f>SUMIF(AA189:AA191,"=35822480",V189:V191)</f>
        <v>0.2888</v>
      </c>
      <c r="AJ193" s="2">
        <f>ROUND(SUMIF(AA189:AA191,"=35822480",W189:W191),2)</f>
        <v>0</v>
      </c>
      <c r="AK193" s="2">
        <f>ROUND(SUMIF(AA189:AA191,"=35822480",X189:X191),2)</f>
        <v>10694.17</v>
      </c>
      <c r="AL193" s="2">
        <f>ROUND(SUMIF(AA189:AA191,"=35822480",Y189:Y191),2)</f>
        <v>5290.8</v>
      </c>
      <c r="AM193" s="2"/>
      <c r="AN193" s="2"/>
      <c r="AO193" s="2">
        <f t="shared" ref="AO193:BD193" si="160">ROUND(BX193,2)</f>
        <v>0</v>
      </c>
      <c r="AP193" s="2">
        <f t="shared" si="160"/>
        <v>0</v>
      </c>
      <c r="AQ193" s="2">
        <f t="shared" si="160"/>
        <v>0</v>
      </c>
      <c r="AR193" s="2">
        <f t="shared" si="160"/>
        <v>36860.07</v>
      </c>
      <c r="AS193" s="2">
        <f t="shared" si="160"/>
        <v>36860.07</v>
      </c>
      <c r="AT193" s="2">
        <f t="shared" si="160"/>
        <v>0</v>
      </c>
      <c r="AU193" s="2">
        <f t="shared" si="160"/>
        <v>0</v>
      </c>
      <c r="AV193" s="2">
        <f t="shared" si="160"/>
        <v>7726.63</v>
      </c>
      <c r="AW193" s="2">
        <f t="shared" si="160"/>
        <v>7726.63</v>
      </c>
      <c r="AX193" s="2">
        <f t="shared" si="160"/>
        <v>0</v>
      </c>
      <c r="AY193" s="2">
        <f t="shared" si="160"/>
        <v>7726.63</v>
      </c>
      <c r="AZ193" s="2">
        <f t="shared" si="160"/>
        <v>0</v>
      </c>
      <c r="BA193" s="2">
        <f t="shared" si="160"/>
        <v>0</v>
      </c>
      <c r="BB193" s="2">
        <f t="shared" si="160"/>
        <v>0</v>
      </c>
      <c r="BC193" s="2">
        <f t="shared" si="160"/>
        <v>0</v>
      </c>
      <c r="BD193" s="2">
        <f t="shared" si="160"/>
        <v>248.1</v>
      </c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>
        <f>ROUND(SUMIF(AA189:AA191,"=35822480",FQ189:FQ191),2)</f>
        <v>0</v>
      </c>
      <c r="BY193" s="2">
        <f>ROUND(SUMIF(AA189:AA191,"=35822480",FR189:FR191),2)</f>
        <v>0</v>
      </c>
      <c r="BZ193" s="2">
        <f>ROUND(SUMIF(AA189:AA191,"=35822480",GL189:GL191),2)</f>
        <v>0</v>
      </c>
      <c r="CA193" s="2">
        <f>ROUND(SUMIF(AA189:AA191,"=35822480",GM189:GM191),2)</f>
        <v>36860.07</v>
      </c>
      <c r="CB193" s="2">
        <f>ROUND(SUMIF(AA189:AA191,"=35822480",GN189:GN191),2)</f>
        <v>36860.07</v>
      </c>
      <c r="CC193" s="2">
        <f>ROUND(SUMIF(AA189:AA191,"=35822480",GO189:GO191),2)</f>
        <v>0</v>
      </c>
      <c r="CD193" s="2">
        <f>ROUND(SUMIF(AA189:AA191,"=35822480",GP189:GP191),2)</f>
        <v>0</v>
      </c>
      <c r="CE193" s="2">
        <f>AC193-BX193</f>
        <v>7726.63</v>
      </c>
      <c r="CF193" s="2">
        <f>AC193-BY193</f>
        <v>7726.63</v>
      </c>
      <c r="CG193" s="2">
        <f>BX193-BZ193</f>
        <v>0</v>
      </c>
      <c r="CH193" s="2">
        <f>AC193-BX193-BY193+BZ193</f>
        <v>7726.63</v>
      </c>
      <c r="CI193" s="2">
        <f>BY193-BZ193</f>
        <v>0</v>
      </c>
      <c r="CJ193" s="2">
        <f>ROUND(SUMIF(AA189:AA191,"=35822480",GX189:GX191),2)</f>
        <v>0</v>
      </c>
      <c r="CK193" s="2">
        <f>ROUND(SUMIF(AA189:AA191,"=35822480",GY189:GY191),2)</f>
        <v>0</v>
      </c>
      <c r="CL193" s="2">
        <f>ROUND(SUMIF(AA189:AA191,"=35822480",GZ189:GZ191),2)</f>
        <v>0</v>
      </c>
      <c r="CM193" s="2">
        <f>ROUND(SUMIF(AA189:AA191,"=35822480",HD189:HD191),2)</f>
        <v>248.1</v>
      </c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>
        <v>0</v>
      </c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201</v>
      </c>
      <c r="F195" s="4">
        <f>ROUND(Source!O193,O195)</f>
        <v>20875.099999999999</v>
      </c>
      <c r="G195" s="4" t="s">
        <v>49</v>
      </c>
      <c r="H195" s="4" t="s">
        <v>50</v>
      </c>
      <c r="I195" s="4"/>
      <c r="J195" s="4"/>
      <c r="K195" s="4">
        <v>201</v>
      </c>
      <c r="L195" s="4">
        <v>1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202</v>
      </c>
      <c r="F196" s="4">
        <f>ROUND(Source!P193,O196)</f>
        <v>7726.63</v>
      </c>
      <c r="G196" s="4" t="s">
        <v>51</v>
      </c>
      <c r="H196" s="4" t="s">
        <v>52</v>
      </c>
      <c r="I196" s="4"/>
      <c r="J196" s="4"/>
      <c r="K196" s="4">
        <v>202</v>
      </c>
      <c r="L196" s="4">
        <v>2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222</v>
      </c>
      <c r="F197" s="4">
        <f>ROUND(Source!AO193,O197)</f>
        <v>0</v>
      </c>
      <c r="G197" s="4" t="s">
        <v>53</v>
      </c>
      <c r="H197" s="4" t="s">
        <v>54</v>
      </c>
      <c r="I197" s="4"/>
      <c r="J197" s="4"/>
      <c r="K197" s="4">
        <v>222</v>
      </c>
      <c r="L197" s="4">
        <v>3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225</v>
      </c>
      <c r="F198" s="4">
        <f>ROUND(Source!AV193,O198)</f>
        <v>7726.63</v>
      </c>
      <c r="G198" s="4" t="s">
        <v>55</v>
      </c>
      <c r="H198" s="4" t="s">
        <v>56</v>
      </c>
      <c r="I198" s="4"/>
      <c r="J198" s="4"/>
      <c r="K198" s="4">
        <v>225</v>
      </c>
      <c r="L198" s="4">
        <v>4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226</v>
      </c>
      <c r="F199" s="4">
        <f>ROUND(Source!AW193,O199)</f>
        <v>7726.63</v>
      </c>
      <c r="G199" s="4" t="s">
        <v>57</v>
      </c>
      <c r="H199" s="4" t="s">
        <v>58</v>
      </c>
      <c r="I199" s="4"/>
      <c r="J199" s="4"/>
      <c r="K199" s="4">
        <v>226</v>
      </c>
      <c r="L199" s="4">
        <v>5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06">
      <c r="A200" s="4">
        <v>50</v>
      </c>
      <c r="B200" s="4">
        <v>0</v>
      </c>
      <c r="C200" s="4">
        <v>0</v>
      </c>
      <c r="D200" s="4">
        <v>1</v>
      </c>
      <c r="E200" s="4">
        <v>227</v>
      </c>
      <c r="F200" s="4">
        <f>ROUND(Source!AX193,O200)</f>
        <v>0</v>
      </c>
      <c r="G200" s="4" t="s">
        <v>59</v>
      </c>
      <c r="H200" s="4" t="s">
        <v>60</v>
      </c>
      <c r="I200" s="4"/>
      <c r="J200" s="4"/>
      <c r="K200" s="4">
        <v>227</v>
      </c>
      <c r="L200" s="4">
        <v>6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06">
      <c r="A201" s="4">
        <v>50</v>
      </c>
      <c r="B201" s="4">
        <v>0</v>
      </c>
      <c r="C201" s="4">
        <v>0</v>
      </c>
      <c r="D201" s="4">
        <v>1</v>
      </c>
      <c r="E201" s="4">
        <v>228</v>
      </c>
      <c r="F201" s="4">
        <f>ROUND(Source!AY193,O201)</f>
        <v>7726.63</v>
      </c>
      <c r="G201" s="4" t="s">
        <v>61</v>
      </c>
      <c r="H201" s="4" t="s">
        <v>62</v>
      </c>
      <c r="I201" s="4"/>
      <c r="J201" s="4"/>
      <c r="K201" s="4">
        <v>228</v>
      </c>
      <c r="L201" s="4">
        <v>7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216</v>
      </c>
      <c r="F202" s="4">
        <f>ROUND(Source!AP193,O202)</f>
        <v>0</v>
      </c>
      <c r="G202" s="4" t="s">
        <v>63</v>
      </c>
      <c r="H202" s="4" t="s">
        <v>64</v>
      </c>
      <c r="I202" s="4"/>
      <c r="J202" s="4"/>
      <c r="K202" s="4">
        <v>216</v>
      </c>
      <c r="L202" s="4">
        <v>8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223</v>
      </c>
      <c r="F203" s="4">
        <f>ROUND(Source!AQ193,O203)</f>
        <v>0</v>
      </c>
      <c r="G203" s="4" t="s">
        <v>65</v>
      </c>
      <c r="H203" s="4" t="s">
        <v>66</v>
      </c>
      <c r="I203" s="4"/>
      <c r="J203" s="4"/>
      <c r="K203" s="4">
        <v>223</v>
      </c>
      <c r="L203" s="4">
        <v>9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229</v>
      </c>
      <c r="F204" s="4">
        <f>ROUND(Source!AZ193,O204)</f>
        <v>0</v>
      </c>
      <c r="G204" s="4" t="s">
        <v>67</v>
      </c>
      <c r="H204" s="4" t="s">
        <v>68</v>
      </c>
      <c r="I204" s="4"/>
      <c r="J204" s="4"/>
      <c r="K204" s="4">
        <v>229</v>
      </c>
      <c r="L204" s="4">
        <v>10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203</v>
      </c>
      <c r="F205" s="4">
        <f>ROUND(Source!Q193,O205)</f>
        <v>2020.31</v>
      </c>
      <c r="G205" s="4" t="s">
        <v>69</v>
      </c>
      <c r="H205" s="4" t="s">
        <v>70</v>
      </c>
      <c r="I205" s="4"/>
      <c r="J205" s="4"/>
      <c r="K205" s="4">
        <v>203</v>
      </c>
      <c r="L205" s="4">
        <v>11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231</v>
      </c>
      <c r="F206" s="4">
        <f>ROUND(Source!BB193,O206)</f>
        <v>0</v>
      </c>
      <c r="G206" s="4" t="s">
        <v>71</v>
      </c>
      <c r="H206" s="4" t="s">
        <v>72</v>
      </c>
      <c r="I206" s="4"/>
      <c r="J206" s="4"/>
      <c r="K206" s="4">
        <v>231</v>
      </c>
      <c r="L206" s="4">
        <v>12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204</v>
      </c>
      <c r="F207" s="4">
        <f>ROUND(Source!R193,O207)</f>
        <v>128.86000000000001</v>
      </c>
      <c r="G207" s="4" t="s">
        <v>73</v>
      </c>
      <c r="H207" s="4" t="s">
        <v>74</v>
      </c>
      <c r="I207" s="4"/>
      <c r="J207" s="4"/>
      <c r="K207" s="4">
        <v>204</v>
      </c>
      <c r="L207" s="4">
        <v>13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205</v>
      </c>
      <c r="F208" s="4">
        <f>ROUND(Source!S193,O208)</f>
        <v>11128.16</v>
      </c>
      <c r="G208" s="4" t="s">
        <v>75</v>
      </c>
      <c r="H208" s="4" t="s">
        <v>76</v>
      </c>
      <c r="I208" s="4"/>
      <c r="J208" s="4"/>
      <c r="K208" s="4">
        <v>205</v>
      </c>
      <c r="L208" s="4">
        <v>14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06">
      <c r="A209" s="4">
        <v>50</v>
      </c>
      <c r="B209" s="4">
        <v>0</v>
      </c>
      <c r="C209" s="4">
        <v>0</v>
      </c>
      <c r="D209" s="4">
        <v>1</v>
      </c>
      <c r="E209" s="4">
        <v>232</v>
      </c>
      <c r="F209" s="4">
        <f>ROUND(Source!BC193,O209)</f>
        <v>0</v>
      </c>
      <c r="G209" s="4" t="s">
        <v>77</v>
      </c>
      <c r="H209" s="4" t="s">
        <v>78</v>
      </c>
      <c r="I209" s="4"/>
      <c r="J209" s="4"/>
      <c r="K209" s="4">
        <v>232</v>
      </c>
      <c r="L209" s="4">
        <v>15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06">
      <c r="A210" s="4">
        <v>50</v>
      </c>
      <c r="B210" s="4">
        <v>0</v>
      </c>
      <c r="C210" s="4">
        <v>0</v>
      </c>
      <c r="D210" s="4">
        <v>1</v>
      </c>
      <c r="E210" s="4">
        <v>214</v>
      </c>
      <c r="F210" s="4">
        <f>ROUND(Source!AS193,O210)</f>
        <v>36860.07</v>
      </c>
      <c r="G210" s="4" t="s">
        <v>79</v>
      </c>
      <c r="H210" s="4" t="s">
        <v>80</v>
      </c>
      <c r="I210" s="4"/>
      <c r="J210" s="4"/>
      <c r="K210" s="4">
        <v>214</v>
      </c>
      <c r="L210" s="4">
        <v>16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06">
      <c r="A211" s="4">
        <v>50</v>
      </c>
      <c r="B211" s="4">
        <v>0</v>
      </c>
      <c r="C211" s="4">
        <v>0</v>
      </c>
      <c r="D211" s="4">
        <v>1</v>
      </c>
      <c r="E211" s="4">
        <v>215</v>
      </c>
      <c r="F211" s="4">
        <f>ROUND(Source!AT193,O211)</f>
        <v>0</v>
      </c>
      <c r="G211" s="4" t="s">
        <v>81</v>
      </c>
      <c r="H211" s="4" t="s">
        <v>82</v>
      </c>
      <c r="I211" s="4"/>
      <c r="J211" s="4"/>
      <c r="K211" s="4">
        <v>215</v>
      </c>
      <c r="L211" s="4">
        <v>17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06">
      <c r="A212" s="4">
        <v>50</v>
      </c>
      <c r="B212" s="4">
        <v>0</v>
      </c>
      <c r="C212" s="4">
        <v>0</v>
      </c>
      <c r="D212" s="4">
        <v>1</v>
      </c>
      <c r="E212" s="4">
        <v>217</v>
      </c>
      <c r="F212" s="4">
        <f>ROUND(Source!AU193,O212)</f>
        <v>0</v>
      </c>
      <c r="G212" s="4" t="s">
        <v>83</v>
      </c>
      <c r="H212" s="4" t="s">
        <v>84</v>
      </c>
      <c r="I212" s="4"/>
      <c r="J212" s="4"/>
      <c r="K212" s="4">
        <v>217</v>
      </c>
      <c r="L212" s="4">
        <v>18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06">
      <c r="A213" s="4">
        <v>50</v>
      </c>
      <c r="B213" s="4">
        <v>0</v>
      </c>
      <c r="C213" s="4">
        <v>0</v>
      </c>
      <c r="D213" s="4">
        <v>1</v>
      </c>
      <c r="E213" s="4">
        <v>230</v>
      </c>
      <c r="F213" s="4">
        <f>ROUND(Source!BA193,O213)</f>
        <v>0</v>
      </c>
      <c r="G213" s="4" t="s">
        <v>85</v>
      </c>
      <c r="H213" s="4" t="s">
        <v>86</v>
      </c>
      <c r="I213" s="4"/>
      <c r="J213" s="4"/>
      <c r="K213" s="4">
        <v>230</v>
      </c>
      <c r="L213" s="4">
        <v>19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06">
      <c r="A214" s="4">
        <v>50</v>
      </c>
      <c r="B214" s="4">
        <v>0</v>
      </c>
      <c r="C214" s="4">
        <v>0</v>
      </c>
      <c r="D214" s="4">
        <v>1</v>
      </c>
      <c r="E214" s="4">
        <v>206</v>
      </c>
      <c r="F214" s="4">
        <f>ROUND(Source!T193,O214)</f>
        <v>0</v>
      </c>
      <c r="G214" s="4" t="s">
        <v>87</v>
      </c>
      <c r="H214" s="4" t="s">
        <v>88</v>
      </c>
      <c r="I214" s="4"/>
      <c r="J214" s="4"/>
      <c r="K214" s="4">
        <v>206</v>
      </c>
      <c r="L214" s="4">
        <v>20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06">
      <c r="A215" s="4">
        <v>50</v>
      </c>
      <c r="B215" s="4">
        <v>0</v>
      </c>
      <c r="C215" s="4">
        <v>0</v>
      </c>
      <c r="D215" s="4">
        <v>1</v>
      </c>
      <c r="E215" s="4">
        <v>207</v>
      </c>
      <c r="F215" s="4">
        <f>Source!U193</f>
        <v>35.820015999999995</v>
      </c>
      <c r="G215" s="4" t="s">
        <v>89</v>
      </c>
      <c r="H215" s="4" t="s">
        <v>90</v>
      </c>
      <c r="I215" s="4"/>
      <c r="J215" s="4"/>
      <c r="K215" s="4">
        <v>207</v>
      </c>
      <c r="L215" s="4">
        <v>21</v>
      </c>
      <c r="M215" s="4">
        <v>3</v>
      </c>
      <c r="N215" s="4" t="s">
        <v>3</v>
      </c>
      <c r="O215" s="4">
        <v>-1</v>
      </c>
      <c r="P215" s="4"/>
      <c r="Q215" s="4"/>
      <c r="R215" s="4"/>
      <c r="S215" s="4"/>
      <c r="T215" s="4"/>
      <c r="U215" s="4"/>
      <c r="V215" s="4"/>
      <c r="W215" s="4"/>
    </row>
    <row r="216" spans="1:206">
      <c r="A216" s="4">
        <v>50</v>
      </c>
      <c r="B216" s="4">
        <v>0</v>
      </c>
      <c r="C216" s="4">
        <v>0</v>
      </c>
      <c r="D216" s="4">
        <v>1</v>
      </c>
      <c r="E216" s="4">
        <v>208</v>
      </c>
      <c r="F216" s="4">
        <f>Source!V193</f>
        <v>0.2888</v>
      </c>
      <c r="G216" s="4" t="s">
        <v>91</v>
      </c>
      <c r="H216" s="4" t="s">
        <v>92</v>
      </c>
      <c r="I216" s="4"/>
      <c r="J216" s="4"/>
      <c r="K216" s="4">
        <v>208</v>
      </c>
      <c r="L216" s="4">
        <v>22</v>
      </c>
      <c r="M216" s="4">
        <v>3</v>
      </c>
      <c r="N216" s="4" t="s">
        <v>3</v>
      </c>
      <c r="O216" s="4">
        <v>-1</v>
      </c>
      <c r="P216" s="4"/>
      <c r="Q216" s="4"/>
      <c r="R216" s="4"/>
      <c r="S216" s="4"/>
      <c r="T216" s="4"/>
      <c r="U216" s="4"/>
      <c r="V216" s="4"/>
      <c r="W216" s="4"/>
    </row>
    <row r="217" spans="1:206">
      <c r="A217" s="4">
        <v>50</v>
      </c>
      <c r="B217" s="4">
        <v>0</v>
      </c>
      <c r="C217" s="4">
        <v>0</v>
      </c>
      <c r="D217" s="4">
        <v>1</v>
      </c>
      <c r="E217" s="4">
        <v>209</v>
      </c>
      <c r="F217" s="4">
        <f>ROUND(Source!W193,O217)</f>
        <v>0</v>
      </c>
      <c r="G217" s="4" t="s">
        <v>93</v>
      </c>
      <c r="H217" s="4" t="s">
        <v>94</v>
      </c>
      <c r="I217" s="4"/>
      <c r="J217" s="4"/>
      <c r="K217" s="4">
        <v>209</v>
      </c>
      <c r="L217" s="4">
        <v>23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06">
      <c r="A218" s="4">
        <v>50</v>
      </c>
      <c r="B218" s="4">
        <v>0</v>
      </c>
      <c r="C218" s="4">
        <v>0</v>
      </c>
      <c r="D218" s="4">
        <v>1</v>
      </c>
      <c r="E218" s="4">
        <v>233</v>
      </c>
      <c r="F218" s="4">
        <f>ROUND(Source!BD193,O218)</f>
        <v>248.1</v>
      </c>
      <c r="G218" s="4" t="s">
        <v>95</v>
      </c>
      <c r="H218" s="4" t="s">
        <v>96</v>
      </c>
      <c r="I218" s="4"/>
      <c r="J218" s="4"/>
      <c r="K218" s="4">
        <v>233</v>
      </c>
      <c r="L218" s="4">
        <v>24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06">
      <c r="A219" s="4">
        <v>50</v>
      </c>
      <c r="B219" s="4">
        <v>0</v>
      </c>
      <c r="C219" s="4">
        <v>0</v>
      </c>
      <c r="D219" s="4">
        <v>1</v>
      </c>
      <c r="E219" s="4">
        <v>210</v>
      </c>
      <c r="F219" s="4">
        <f>ROUND(Source!X193,O219)</f>
        <v>10694.17</v>
      </c>
      <c r="G219" s="4" t="s">
        <v>97</v>
      </c>
      <c r="H219" s="4" t="s">
        <v>98</v>
      </c>
      <c r="I219" s="4"/>
      <c r="J219" s="4"/>
      <c r="K219" s="4">
        <v>210</v>
      </c>
      <c r="L219" s="4">
        <v>25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06">
      <c r="A220" s="4">
        <v>50</v>
      </c>
      <c r="B220" s="4">
        <v>0</v>
      </c>
      <c r="C220" s="4">
        <v>0</v>
      </c>
      <c r="D220" s="4">
        <v>1</v>
      </c>
      <c r="E220" s="4">
        <v>211</v>
      </c>
      <c r="F220" s="4">
        <f>ROUND(Source!Y193,O220)</f>
        <v>5290.8</v>
      </c>
      <c r="G220" s="4" t="s">
        <v>99</v>
      </c>
      <c r="H220" s="4" t="s">
        <v>100</v>
      </c>
      <c r="I220" s="4"/>
      <c r="J220" s="4"/>
      <c r="K220" s="4">
        <v>211</v>
      </c>
      <c r="L220" s="4">
        <v>26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06">
      <c r="A221" s="4">
        <v>50</v>
      </c>
      <c r="B221" s="4">
        <v>0</v>
      </c>
      <c r="C221" s="4">
        <v>0</v>
      </c>
      <c r="D221" s="4">
        <v>1</v>
      </c>
      <c r="E221" s="4">
        <v>224</v>
      </c>
      <c r="F221" s="4">
        <f>ROUND(Source!AR193,O221)</f>
        <v>36860.07</v>
      </c>
      <c r="G221" s="4" t="s">
        <v>101</v>
      </c>
      <c r="H221" s="4" t="s">
        <v>102</v>
      </c>
      <c r="I221" s="4"/>
      <c r="J221" s="4"/>
      <c r="K221" s="4">
        <v>224</v>
      </c>
      <c r="L221" s="4">
        <v>27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3" spans="1:206">
      <c r="A223" s="2">
        <v>51</v>
      </c>
      <c r="B223" s="2">
        <f>B20</f>
        <v>1</v>
      </c>
      <c r="C223" s="2">
        <f>A20</f>
        <v>3</v>
      </c>
      <c r="D223" s="2">
        <f>ROW(A20)</f>
        <v>20</v>
      </c>
      <c r="E223" s="2"/>
      <c r="F223" s="2" t="str">
        <f>IF(F20&lt;&gt;"",F20,"")</f>
        <v>Новая локальная смета</v>
      </c>
      <c r="G223" s="2" t="str">
        <f>IF(G20&lt;&gt;"",G20,"")</f>
        <v>Новая локальная смета</v>
      </c>
      <c r="H223" s="2">
        <v>0</v>
      </c>
      <c r="I223" s="2"/>
      <c r="J223" s="2"/>
      <c r="K223" s="2"/>
      <c r="L223" s="2"/>
      <c r="M223" s="2"/>
      <c r="N223" s="2"/>
      <c r="O223" s="2">
        <f t="shared" ref="O223:T223" si="161">ROUND(O69+O111+O155+O193+AB223,2)</f>
        <v>238084.08</v>
      </c>
      <c r="P223" s="2">
        <f t="shared" si="161"/>
        <v>76704.28</v>
      </c>
      <c r="Q223" s="2">
        <f t="shared" si="161"/>
        <v>7148.81</v>
      </c>
      <c r="R223" s="2">
        <f t="shared" si="161"/>
        <v>3619.76</v>
      </c>
      <c r="S223" s="2">
        <f t="shared" si="161"/>
        <v>154230.99</v>
      </c>
      <c r="T223" s="2">
        <f t="shared" si="161"/>
        <v>0</v>
      </c>
      <c r="U223" s="2">
        <f>U69+U111+U155+U193+AH223</f>
        <v>496.07817849999998</v>
      </c>
      <c r="V223" s="2">
        <f>V69+V111+V155+V193+AI223</f>
        <v>11.065225</v>
      </c>
      <c r="W223" s="2">
        <f>ROUND(W69+W111+W155+W193+AJ223,2)</f>
        <v>119.85</v>
      </c>
      <c r="X223" s="2">
        <f>ROUND(X69+X111+X155+X193+AK223,2)</f>
        <v>151158</v>
      </c>
      <c r="Y223" s="2">
        <f>ROUND(Y69+Y111+Y155+Y193+AL223,2)</f>
        <v>79466.73</v>
      </c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>
        <f t="shared" ref="AO223:BD223" si="162">ROUND(AO69+AO111+AO155+AO193+BX223,2)</f>
        <v>0</v>
      </c>
      <c r="AP223" s="2">
        <f t="shared" si="162"/>
        <v>0</v>
      </c>
      <c r="AQ223" s="2">
        <f t="shared" si="162"/>
        <v>0</v>
      </c>
      <c r="AR223" s="2">
        <f t="shared" si="162"/>
        <v>468708.81</v>
      </c>
      <c r="AS223" s="2">
        <f t="shared" si="162"/>
        <v>459870.38</v>
      </c>
      <c r="AT223" s="2">
        <f t="shared" si="162"/>
        <v>8838.43</v>
      </c>
      <c r="AU223" s="2">
        <f t="shared" si="162"/>
        <v>0</v>
      </c>
      <c r="AV223" s="2">
        <f t="shared" si="162"/>
        <v>76704.28</v>
      </c>
      <c r="AW223" s="2">
        <f t="shared" si="162"/>
        <v>76704.28</v>
      </c>
      <c r="AX223" s="2">
        <f t="shared" si="162"/>
        <v>0</v>
      </c>
      <c r="AY223" s="2">
        <f t="shared" si="162"/>
        <v>76704.28</v>
      </c>
      <c r="AZ223" s="2">
        <f t="shared" si="162"/>
        <v>0</v>
      </c>
      <c r="BA223" s="2">
        <f t="shared" si="162"/>
        <v>0</v>
      </c>
      <c r="BB223" s="2">
        <f t="shared" si="162"/>
        <v>0</v>
      </c>
      <c r="BC223" s="2">
        <f t="shared" si="162"/>
        <v>0</v>
      </c>
      <c r="BD223" s="2">
        <f t="shared" si="162"/>
        <v>248.1</v>
      </c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>
        <v>0</v>
      </c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201</v>
      </c>
      <c r="F225" s="4">
        <f>ROUND(Source!O223,O225)</f>
        <v>238084.08</v>
      </c>
      <c r="G225" s="4" t="s">
        <v>49</v>
      </c>
      <c r="H225" s="4" t="s">
        <v>50</v>
      </c>
      <c r="I225" s="4"/>
      <c r="J225" s="4"/>
      <c r="K225" s="4">
        <v>201</v>
      </c>
      <c r="L225" s="4">
        <v>1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202</v>
      </c>
      <c r="F226" s="4">
        <f>ROUND(Source!P223,O226)</f>
        <v>76704.28</v>
      </c>
      <c r="G226" s="4" t="s">
        <v>51</v>
      </c>
      <c r="H226" s="4" t="s">
        <v>52</v>
      </c>
      <c r="I226" s="4"/>
      <c r="J226" s="4"/>
      <c r="K226" s="4">
        <v>202</v>
      </c>
      <c r="L226" s="4">
        <v>2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222</v>
      </c>
      <c r="F227" s="4">
        <f>ROUND(Source!AO223,O227)</f>
        <v>0</v>
      </c>
      <c r="G227" s="4" t="s">
        <v>53</v>
      </c>
      <c r="H227" s="4" t="s">
        <v>54</v>
      </c>
      <c r="I227" s="4"/>
      <c r="J227" s="4"/>
      <c r="K227" s="4">
        <v>222</v>
      </c>
      <c r="L227" s="4">
        <v>3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225</v>
      </c>
      <c r="F228" s="4">
        <f>ROUND(Source!AV223,O228)</f>
        <v>76704.28</v>
      </c>
      <c r="G228" s="4" t="s">
        <v>55</v>
      </c>
      <c r="H228" s="4" t="s">
        <v>56</v>
      </c>
      <c r="I228" s="4"/>
      <c r="J228" s="4"/>
      <c r="K228" s="4">
        <v>225</v>
      </c>
      <c r="L228" s="4">
        <v>4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226</v>
      </c>
      <c r="F229" s="4">
        <f>ROUND(Source!AW223,O229)</f>
        <v>76704.28</v>
      </c>
      <c r="G229" s="4" t="s">
        <v>57</v>
      </c>
      <c r="H229" s="4" t="s">
        <v>58</v>
      </c>
      <c r="I229" s="4"/>
      <c r="J229" s="4"/>
      <c r="K229" s="4">
        <v>226</v>
      </c>
      <c r="L229" s="4">
        <v>5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0</v>
      </c>
      <c r="C230" s="4">
        <v>0</v>
      </c>
      <c r="D230" s="4">
        <v>1</v>
      </c>
      <c r="E230" s="4">
        <v>227</v>
      </c>
      <c r="F230" s="4">
        <f>ROUND(Source!AX223,O230)</f>
        <v>0</v>
      </c>
      <c r="G230" s="4" t="s">
        <v>59</v>
      </c>
      <c r="H230" s="4" t="s">
        <v>60</v>
      </c>
      <c r="I230" s="4"/>
      <c r="J230" s="4"/>
      <c r="K230" s="4">
        <v>227</v>
      </c>
      <c r="L230" s="4">
        <v>6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0</v>
      </c>
      <c r="C231" s="4">
        <v>0</v>
      </c>
      <c r="D231" s="4">
        <v>1</v>
      </c>
      <c r="E231" s="4">
        <v>228</v>
      </c>
      <c r="F231" s="4">
        <f>ROUND(Source!AY223,O231)</f>
        <v>76704.28</v>
      </c>
      <c r="G231" s="4" t="s">
        <v>61</v>
      </c>
      <c r="H231" s="4" t="s">
        <v>62</v>
      </c>
      <c r="I231" s="4"/>
      <c r="J231" s="4"/>
      <c r="K231" s="4">
        <v>228</v>
      </c>
      <c r="L231" s="4">
        <v>7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0</v>
      </c>
      <c r="C232" s="4">
        <v>0</v>
      </c>
      <c r="D232" s="4">
        <v>1</v>
      </c>
      <c r="E232" s="4">
        <v>216</v>
      </c>
      <c r="F232" s="4">
        <f>ROUND(Source!AP223,O232)</f>
        <v>0</v>
      </c>
      <c r="G232" s="4" t="s">
        <v>63</v>
      </c>
      <c r="H232" s="4" t="s">
        <v>64</v>
      </c>
      <c r="I232" s="4"/>
      <c r="J232" s="4"/>
      <c r="K232" s="4">
        <v>216</v>
      </c>
      <c r="L232" s="4">
        <v>8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0</v>
      </c>
      <c r="C233" s="4">
        <v>0</v>
      </c>
      <c r="D233" s="4">
        <v>1</v>
      </c>
      <c r="E233" s="4">
        <v>223</v>
      </c>
      <c r="F233" s="4">
        <f>ROUND(Source!AQ223,O233)</f>
        <v>0</v>
      </c>
      <c r="G233" s="4" t="s">
        <v>65</v>
      </c>
      <c r="H233" s="4" t="s">
        <v>66</v>
      </c>
      <c r="I233" s="4"/>
      <c r="J233" s="4"/>
      <c r="K233" s="4">
        <v>223</v>
      </c>
      <c r="L233" s="4">
        <v>9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0</v>
      </c>
      <c r="C234" s="4">
        <v>0</v>
      </c>
      <c r="D234" s="4">
        <v>1</v>
      </c>
      <c r="E234" s="4">
        <v>229</v>
      </c>
      <c r="F234" s="4">
        <f>ROUND(Source!AZ223,O234)</f>
        <v>0</v>
      </c>
      <c r="G234" s="4" t="s">
        <v>67</v>
      </c>
      <c r="H234" s="4" t="s">
        <v>68</v>
      </c>
      <c r="I234" s="4"/>
      <c r="J234" s="4"/>
      <c r="K234" s="4">
        <v>229</v>
      </c>
      <c r="L234" s="4">
        <v>10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>
      <c r="A235" s="4">
        <v>50</v>
      </c>
      <c r="B235" s="4">
        <v>0</v>
      </c>
      <c r="C235" s="4">
        <v>0</v>
      </c>
      <c r="D235" s="4">
        <v>1</v>
      </c>
      <c r="E235" s="4">
        <v>203</v>
      </c>
      <c r="F235" s="4">
        <f>ROUND(Source!Q223,O235)</f>
        <v>7148.81</v>
      </c>
      <c r="G235" s="4" t="s">
        <v>69</v>
      </c>
      <c r="H235" s="4" t="s">
        <v>70</v>
      </c>
      <c r="I235" s="4"/>
      <c r="J235" s="4"/>
      <c r="K235" s="4">
        <v>203</v>
      </c>
      <c r="L235" s="4">
        <v>11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>
      <c r="A236" s="4">
        <v>50</v>
      </c>
      <c r="B236" s="4">
        <v>0</v>
      </c>
      <c r="C236" s="4">
        <v>0</v>
      </c>
      <c r="D236" s="4">
        <v>1</v>
      </c>
      <c r="E236" s="4">
        <v>231</v>
      </c>
      <c r="F236" s="4">
        <f>ROUND(Source!BB223,O236)</f>
        <v>0</v>
      </c>
      <c r="G236" s="4" t="s">
        <v>71</v>
      </c>
      <c r="H236" s="4" t="s">
        <v>72</v>
      </c>
      <c r="I236" s="4"/>
      <c r="J236" s="4"/>
      <c r="K236" s="4">
        <v>231</v>
      </c>
      <c r="L236" s="4">
        <v>12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>
      <c r="A237" s="4">
        <v>50</v>
      </c>
      <c r="B237" s="4">
        <v>0</v>
      </c>
      <c r="C237" s="4">
        <v>0</v>
      </c>
      <c r="D237" s="4">
        <v>1</v>
      </c>
      <c r="E237" s="4">
        <v>204</v>
      </c>
      <c r="F237" s="4">
        <f>ROUND(Source!R223,O237)</f>
        <v>3619.76</v>
      </c>
      <c r="G237" s="4" t="s">
        <v>73</v>
      </c>
      <c r="H237" s="4" t="s">
        <v>74</v>
      </c>
      <c r="I237" s="4"/>
      <c r="J237" s="4"/>
      <c r="K237" s="4">
        <v>204</v>
      </c>
      <c r="L237" s="4">
        <v>13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3">
      <c r="A238" s="4">
        <v>50</v>
      </c>
      <c r="B238" s="4">
        <v>0</v>
      </c>
      <c r="C238" s="4">
        <v>0</v>
      </c>
      <c r="D238" s="4">
        <v>1</v>
      </c>
      <c r="E238" s="4">
        <v>205</v>
      </c>
      <c r="F238" s="4">
        <f>ROUND(Source!S223,O238)</f>
        <v>154230.99</v>
      </c>
      <c r="G238" s="4" t="s">
        <v>75</v>
      </c>
      <c r="H238" s="4" t="s">
        <v>76</v>
      </c>
      <c r="I238" s="4"/>
      <c r="J238" s="4"/>
      <c r="K238" s="4">
        <v>205</v>
      </c>
      <c r="L238" s="4">
        <v>14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3">
      <c r="A239" s="4">
        <v>50</v>
      </c>
      <c r="B239" s="4">
        <v>0</v>
      </c>
      <c r="C239" s="4">
        <v>0</v>
      </c>
      <c r="D239" s="4">
        <v>1</v>
      </c>
      <c r="E239" s="4">
        <v>232</v>
      </c>
      <c r="F239" s="4">
        <f>ROUND(Source!BC223,O239)</f>
        <v>0</v>
      </c>
      <c r="G239" s="4" t="s">
        <v>77</v>
      </c>
      <c r="H239" s="4" t="s">
        <v>78</v>
      </c>
      <c r="I239" s="4"/>
      <c r="J239" s="4"/>
      <c r="K239" s="4">
        <v>232</v>
      </c>
      <c r="L239" s="4">
        <v>15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>
      <c r="A240" s="4">
        <v>50</v>
      </c>
      <c r="B240" s="4">
        <v>0</v>
      </c>
      <c r="C240" s="4">
        <v>0</v>
      </c>
      <c r="D240" s="4">
        <v>1</v>
      </c>
      <c r="E240" s="4">
        <v>214</v>
      </c>
      <c r="F240" s="4">
        <f>ROUND(Source!AS223,O240)</f>
        <v>459870.38</v>
      </c>
      <c r="G240" s="4" t="s">
        <v>79</v>
      </c>
      <c r="H240" s="4" t="s">
        <v>80</v>
      </c>
      <c r="I240" s="4"/>
      <c r="J240" s="4"/>
      <c r="K240" s="4">
        <v>214</v>
      </c>
      <c r="L240" s="4">
        <v>16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06">
      <c r="A241" s="4">
        <v>50</v>
      </c>
      <c r="B241" s="4">
        <v>0</v>
      </c>
      <c r="C241" s="4">
        <v>0</v>
      </c>
      <c r="D241" s="4">
        <v>1</v>
      </c>
      <c r="E241" s="4">
        <v>215</v>
      </c>
      <c r="F241" s="4">
        <f>ROUND(Source!AT223,O241)</f>
        <v>8838.43</v>
      </c>
      <c r="G241" s="4" t="s">
        <v>81</v>
      </c>
      <c r="H241" s="4" t="s">
        <v>82</v>
      </c>
      <c r="I241" s="4"/>
      <c r="J241" s="4"/>
      <c r="K241" s="4">
        <v>215</v>
      </c>
      <c r="L241" s="4">
        <v>17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06">
      <c r="A242" s="4">
        <v>50</v>
      </c>
      <c r="B242" s="4">
        <v>0</v>
      </c>
      <c r="C242" s="4">
        <v>0</v>
      </c>
      <c r="D242" s="4">
        <v>1</v>
      </c>
      <c r="E242" s="4">
        <v>217</v>
      </c>
      <c r="F242" s="4">
        <f>ROUND(Source!AU223,O242)</f>
        <v>0</v>
      </c>
      <c r="G242" s="4" t="s">
        <v>83</v>
      </c>
      <c r="H242" s="4" t="s">
        <v>84</v>
      </c>
      <c r="I242" s="4"/>
      <c r="J242" s="4"/>
      <c r="K242" s="4">
        <v>217</v>
      </c>
      <c r="L242" s="4">
        <v>18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06">
      <c r="A243" s="4">
        <v>50</v>
      </c>
      <c r="B243" s="4">
        <v>0</v>
      </c>
      <c r="C243" s="4">
        <v>0</v>
      </c>
      <c r="D243" s="4">
        <v>1</v>
      </c>
      <c r="E243" s="4">
        <v>230</v>
      </c>
      <c r="F243" s="4">
        <f>ROUND(Source!BA223,O243)</f>
        <v>0</v>
      </c>
      <c r="G243" s="4" t="s">
        <v>85</v>
      </c>
      <c r="H243" s="4" t="s">
        <v>86</v>
      </c>
      <c r="I243" s="4"/>
      <c r="J243" s="4"/>
      <c r="K243" s="4">
        <v>230</v>
      </c>
      <c r="L243" s="4">
        <v>19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06">
      <c r="A244" s="4">
        <v>50</v>
      </c>
      <c r="B244" s="4">
        <v>0</v>
      </c>
      <c r="C244" s="4">
        <v>0</v>
      </c>
      <c r="D244" s="4">
        <v>1</v>
      </c>
      <c r="E244" s="4">
        <v>206</v>
      </c>
      <c r="F244" s="4">
        <f>ROUND(Source!T223,O244)</f>
        <v>0</v>
      </c>
      <c r="G244" s="4" t="s">
        <v>87</v>
      </c>
      <c r="H244" s="4" t="s">
        <v>88</v>
      </c>
      <c r="I244" s="4"/>
      <c r="J244" s="4"/>
      <c r="K244" s="4">
        <v>206</v>
      </c>
      <c r="L244" s="4">
        <v>20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06">
      <c r="A245" s="4">
        <v>50</v>
      </c>
      <c r="B245" s="4">
        <v>0</v>
      </c>
      <c r="C245" s="4">
        <v>0</v>
      </c>
      <c r="D245" s="4">
        <v>1</v>
      </c>
      <c r="E245" s="4">
        <v>207</v>
      </c>
      <c r="F245" s="4">
        <f>Source!U223</f>
        <v>496.07817849999998</v>
      </c>
      <c r="G245" s="4" t="s">
        <v>89</v>
      </c>
      <c r="H245" s="4" t="s">
        <v>90</v>
      </c>
      <c r="I245" s="4"/>
      <c r="J245" s="4"/>
      <c r="K245" s="4">
        <v>207</v>
      </c>
      <c r="L245" s="4">
        <v>21</v>
      </c>
      <c r="M245" s="4">
        <v>3</v>
      </c>
      <c r="N245" s="4" t="s">
        <v>3</v>
      </c>
      <c r="O245" s="4">
        <v>-1</v>
      </c>
      <c r="P245" s="4"/>
      <c r="Q245" s="4"/>
      <c r="R245" s="4"/>
      <c r="S245" s="4"/>
      <c r="T245" s="4"/>
      <c r="U245" s="4"/>
      <c r="V245" s="4"/>
      <c r="W245" s="4"/>
    </row>
    <row r="246" spans="1:206">
      <c r="A246" s="4">
        <v>50</v>
      </c>
      <c r="B246" s="4">
        <v>0</v>
      </c>
      <c r="C246" s="4">
        <v>0</v>
      </c>
      <c r="D246" s="4">
        <v>1</v>
      </c>
      <c r="E246" s="4">
        <v>208</v>
      </c>
      <c r="F246" s="4">
        <f>Source!V223</f>
        <v>11.065225</v>
      </c>
      <c r="G246" s="4" t="s">
        <v>91</v>
      </c>
      <c r="H246" s="4" t="s">
        <v>92</v>
      </c>
      <c r="I246" s="4"/>
      <c r="J246" s="4"/>
      <c r="K246" s="4">
        <v>208</v>
      </c>
      <c r="L246" s="4">
        <v>22</v>
      </c>
      <c r="M246" s="4">
        <v>3</v>
      </c>
      <c r="N246" s="4" t="s">
        <v>3</v>
      </c>
      <c r="O246" s="4">
        <v>-1</v>
      </c>
      <c r="P246" s="4"/>
      <c r="Q246" s="4"/>
      <c r="R246" s="4"/>
      <c r="S246" s="4"/>
      <c r="T246" s="4"/>
      <c r="U246" s="4"/>
      <c r="V246" s="4"/>
      <c r="W246" s="4"/>
    </row>
    <row r="247" spans="1:206">
      <c r="A247" s="4">
        <v>50</v>
      </c>
      <c r="B247" s="4">
        <v>0</v>
      </c>
      <c r="C247" s="4">
        <v>0</v>
      </c>
      <c r="D247" s="4">
        <v>1</v>
      </c>
      <c r="E247" s="4">
        <v>209</v>
      </c>
      <c r="F247" s="4">
        <f>ROUND(Source!W223,O247)</f>
        <v>119.85</v>
      </c>
      <c r="G247" s="4" t="s">
        <v>93</v>
      </c>
      <c r="H247" s="4" t="s">
        <v>94</v>
      </c>
      <c r="I247" s="4"/>
      <c r="J247" s="4"/>
      <c r="K247" s="4">
        <v>209</v>
      </c>
      <c r="L247" s="4">
        <v>23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/>
    </row>
    <row r="248" spans="1:206">
      <c r="A248" s="4">
        <v>50</v>
      </c>
      <c r="B248" s="4">
        <v>0</v>
      </c>
      <c r="C248" s="4">
        <v>0</v>
      </c>
      <c r="D248" s="4">
        <v>1</v>
      </c>
      <c r="E248" s="4">
        <v>233</v>
      </c>
      <c r="F248" s="4">
        <f>ROUND(Source!BD223,O248)</f>
        <v>248.1</v>
      </c>
      <c r="G248" s="4" t="s">
        <v>95</v>
      </c>
      <c r="H248" s="4" t="s">
        <v>96</v>
      </c>
      <c r="I248" s="4"/>
      <c r="J248" s="4"/>
      <c r="K248" s="4">
        <v>233</v>
      </c>
      <c r="L248" s="4">
        <v>24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06">
      <c r="A249" s="4">
        <v>50</v>
      </c>
      <c r="B249" s="4">
        <v>0</v>
      </c>
      <c r="C249" s="4">
        <v>0</v>
      </c>
      <c r="D249" s="4">
        <v>1</v>
      </c>
      <c r="E249" s="4">
        <v>210</v>
      </c>
      <c r="F249" s="4">
        <f>ROUND(Source!X223,O249)</f>
        <v>151158</v>
      </c>
      <c r="G249" s="4" t="s">
        <v>97</v>
      </c>
      <c r="H249" s="4" t="s">
        <v>98</v>
      </c>
      <c r="I249" s="4"/>
      <c r="J249" s="4"/>
      <c r="K249" s="4">
        <v>210</v>
      </c>
      <c r="L249" s="4">
        <v>25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06">
      <c r="A250" s="4">
        <v>50</v>
      </c>
      <c r="B250" s="4">
        <v>0</v>
      </c>
      <c r="C250" s="4">
        <v>0</v>
      </c>
      <c r="D250" s="4">
        <v>1</v>
      </c>
      <c r="E250" s="4">
        <v>211</v>
      </c>
      <c r="F250" s="4">
        <f>ROUND(Source!Y223,O250)</f>
        <v>79466.73</v>
      </c>
      <c r="G250" s="4" t="s">
        <v>99</v>
      </c>
      <c r="H250" s="4" t="s">
        <v>100</v>
      </c>
      <c r="I250" s="4"/>
      <c r="J250" s="4"/>
      <c r="K250" s="4">
        <v>211</v>
      </c>
      <c r="L250" s="4">
        <v>26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1" spans="1:206">
      <c r="A251" s="4">
        <v>50</v>
      </c>
      <c r="B251" s="4">
        <v>0</v>
      </c>
      <c r="C251" s="4">
        <v>0</v>
      </c>
      <c r="D251" s="4">
        <v>1</v>
      </c>
      <c r="E251" s="4">
        <v>224</v>
      </c>
      <c r="F251" s="4">
        <f>ROUND(Source!AR223,O251)</f>
        <v>468708.81</v>
      </c>
      <c r="G251" s="4" t="s">
        <v>101</v>
      </c>
      <c r="H251" s="4" t="s">
        <v>102</v>
      </c>
      <c r="I251" s="4"/>
      <c r="J251" s="4"/>
      <c r="K251" s="4">
        <v>224</v>
      </c>
      <c r="L251" s="4">
        <v>27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3" spans="1:206">
      <c r="A253" s="2">
        <v>51</v>
      </c>
      <c r="B253" s="2">
        <f>B12</f>
        <v>314</v>
      </c>
      <c r="C253" s="2">
        <f>A12</f>
        <v>1</v>
      </c>
      <c r="D253" s="2">
        <f>ROW(A12)</f>
        <v>12</v>
      </c>
      <c r="E253" s="2"/>
      <c r="F253" s="2" t="str">
        <f>IF(F12&lt;&gt;"",F12,"")</f>
        <v>Новый объект</v>
      </c>
      <c r="G253" s="2" t="str">
        <f>IF(G12&lt;&gt;"",G12,"")</f>
        <v>Ремонт лестничной клетки ОВП Ильинский Погост 2021</v>
      </c>
      <c r="H253" s="2">
        <v>0</v>
      </c>
      <c r="I253" s="2"/>
      <c r="J253" s="2"/>
      <c r="K253" s="2"/>
      <c r="L253" s="2"/>
      <c r="M253" s="2"/>
      <c r="N253" s="2"/>
      <c r="O253" s="2">
        <f t="shared" ref="O253:T253" si="163">ROUND(O223,2)</f>
        <v>238084.08</v>
      </c>
      <c r="P253" s="2">
        <f t="shared" si="163"/>
        <v>76704.28</v>
      </c>
      <c r="Q253" s="2">
        <f t="shared" si="163"/>
        <v>7148.81</v>
      </c>
      <c r="R253" s="2">
        <f t="shared" si="163"/>
        <v>3619.76</v>
      </c>
      <c r="S253" s="2">
        <f t="shared" si="163"/>
        <v>154230.99</v>
      </c>
      <c r="T253" s="2">
        <f t="shared" si="163"/>
        <v>0</v>
      </c>
      <c r="U253" s="2">
        <f>U223</f>
        <v>496.07817849999998</v>
      </c>
      <c r="V253" s="2">
        <f>V223</f>
        <v>11.065225</v>
      </c>
      <c r="W253" s="2">
        <f>ROUND(W223,2)</f>
        <v>119.85</v>
      </c>
      <c r="X253" s="2">
        <f>ROUND(X223,2)</f>
        <v>151158</v>
      </c>
      <c r="Y253" s="2">
        <f>ROUND(Y223,2)</f>
        <v>79466.73</v>
      </c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>
        <f t="shared" ref="AO253:BD253" si="164">ROUND(AO223,2)</f>
        <v>0</v>
      </c>
      <c r="AP253" s="2">
        <f t="shared" si="164"/>
        <v>0</v>
      </c>
      <c r="AQ253" s="2">
        <f t="shared" si="164"/>
        <v>0</v>
      </c>
      <c r="AR253" s="2">
        <f t="shared" si="164"/>
        <v>468708.81</v>
      </c>
      <c r="AS253" s="2">
        <f t="shared" si="164"/>
        <v>459870.38</v>
      </c>
      <c r="AT253" s="2">
        <f t="shared" si="164"/>
        <v>8838.43</v>
      </c>
      <c r="AU253" s="2">
        <f t="shared" si="164"/>
        <v>0</v>
      </c>
      <c r="AV253" s="2">
        <f t="shared" si="164"/>
        <v>76704.28</v>
      </c>
      <c r="AW253" s="2">
        <f t="shared" si="164"/>
        <v>76704.28</v>
      </c>
      <c r="AX253" s="2">
        <f t="shared" si="164"/>
        <v>0</v>
      </c>
      <c r="AY253" s="2">
        <f t="shared" si="164"/>
        <v>76704.28</v>
      </c>
      <c r="AZ253" s="2">
        <f t="shared" si="164"/>
        <v>0</v>
      </c>
      <c r="BA253" s="2">
        <f t="shared" si="164"/>
        <v>0</v>
      </c>
      <c r="BB253" s="2">
        <f t="shared" si="164"/>
        <v>0</v>
      </c>
      <c r="BC253" s="2">
        <f t="shared" si="164"/>
        <v>0</v>
      </c>
      <c r="BD253" s="2">
        <f t="shared" si="164"/>
        <v>248.1</v>
      </c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>
        <v>0</v>
      </c>
    </row>
    <row r="255" spans="1:206">
      <c r="A255" s="4">
        <v>50</v>
      </c>
      <c r="B255" s="4">
        <v>0</v>
      </c>
      <c r="C255" s="4">
        <v>0</v>
      </c>
      <c r="D255" s="4">
        <v>1</v>
      </c>
      <c r="E255" s="4">
        <v>201</v>
      </c>
      <c r="F255" s="4">
        <f>ROUND(Source!O253,O255)</f>
        <v>238084.08</v>
      </c>
      <c r="G255" s="4" t="s">
        <v>49</v>
      </c>
      <c r="H255" s="4" t="s">
        <v>50</v>
      </c>
      <c r="I255" s="4"/>
      <c r="J255" s="4"/>
      <c r="K255" s="4">
        <v>201</v>
      </c>
      <c r="L255" s="4">
        <v>1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/>
    </row>
    <row r="256" spans="1:206">
      <c r="A256" s="4">
        <v>50</v>
      </c>
      <c r="B256" s="4">
        <v>0</v>
      </c>
      <c r="C256" s="4">
        <v>0</v>
      </c>
      <c r="D256" s="4">
        <v>1</v>
      </c>
      <c r="E256" s="4">
        <v>202</v>
      </c>
      <c r="F256" s="4">
        <f>ROUND(Source!P253,O256)</f>
        <v>76704.28</v>
      </c>
      <c r="G256" s="4" t="s">
        <v>51</v>
      </c>
      <c r="H256" s="4" t="s">
        <v>52</v>
      </c>
      <c r="I256" s="4"/>
      <c r="J256" s="4"/>
      <c r="K256" s="4">
        <v>202</v>
      </c>
      <c r="L256" s="4">
        <v>2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1</v>
      </c>
      <c r="E257" s="4">
        <v>222</v>
      </c>
      <c r="F257" s="4">
        <f>ROUND(Source!AO253,O257)</f>
        <v>0</v>
      </c>
      <c r="G257" s="4" t="s">
        <v>53</v>
      </c>
      <c r="H257" s="4" t="s">
        <v>54</v>
      </c>
      <c r="I257" s="4"/>
      <c r="J257" s="4"/>
      <c r="K257" s="4">
        <v>222</v>
      </c>
      <c r="L257" s="4">
        <v>3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1</v>
      </c>
      <c r="E258" s="4">
        <v>225</v>
      </c>
      <c r="F258" s="4">
        <f>ROUND(Source!AV253,O258)</f>
        <v>76704.28</v>
      </c>
      <c r="G258" s="4" t="s">
        <v>55</v>
      </c>
      <c r="H258" s="4" t="s">
        <v>56</v>
      </c>
      <c r="I258" s="4"/>
      <c r="J258" s="4"/>
      <c r="K258" s="4">
        <v>225</v>
      </c>
      <c r="L258" s="4">
        <v>4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1</v>
      </c>
      <c r="E259" s="4">
        <v>226</v>
      </c>
      <c r="F259" s="4">
        <f>ROUND(Source!AW253,O259)</f>
        <v>76704.28</v>
      </c>
      <c r="G259" s="4" t="s">
        <v>57</v>
      </c>
      <c r="H259" s="4" t="s">
        <v>58</v>
      </c>
      <c r="I259" s="4"/>
      <c r="J259" s="4"/>
      <c r="K259" s="4">
        <v>226</v>
      </c>
      <c r="L259" s="4">
        <v>5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1</v>
      </c>
      <c r="E260" s="4">
        <v>227</v>
      </c>
      <c r="F260" s="4">
        <f>ROUND(Source!AX253,O260)</f>
        <v>0</v>
      </c>
      <c r="G260" s="4" t="s">
        <v>59</v>
      </c>
      <c r="H260" s="4" t="s">
        <v>60</v>
      </c>
      <c r="I260" s="4"/>
      <c r="J260" s="4"/>
      <c r="K260" s="4">
        <v>227</v>
      </c>
      <c r="L260" s="4">
        <v>6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0</v>
      </c>
      <c r="C261" s="4">
        <v>0</v>
      </c>
      <c r="D261" s="4">
        <v>1</v>
      </c>
      <c r="E261" s="4">
        <v>228</v>
      </c>
      <c r="F261" s="4">
        <f>ROUND(Source!AY253,O261)</f>
        <v>76704.28</v>
      </c>
      <c r="G261" s="4" t="s">
        <v>61</v>
      </c>
      <c r="H261" s="4" t="s">
        <v>62</v>
      </c>
      <c r="I261" s="4"/>
      <c r="J261" s="4"/>
      <c r="K261" s="4">
        <v>228</v>
      </c>
      <c r="L261" s="4">
        <v>7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0</v>
      </c>
      <c r="C262" s="4">
        <v>0</v>
      </c>
      <c r="D262" s="4">
        <v>1</v>
      </c>
      <c r="E262" s="4">
        <v>216</v>
      </c>
      <c r="F262" s="4">
        <f>ROUND(Source!AP253,O262)</f>
        <v>0</v>
      </c>
      <c r="G262" s="4" t="s">
        <v>63</v>
      </c>
      <c r="H262" s="4" t="s">
        <v>64</v>
      </c>
      <c r="I262" s="4"/>
      <c r="J262" s="4"/>
      <c r="K262" s="4">
        <v>216</v>
      </c>
      <c r="L262" s="4">
        <v>8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>
      <c r="A263" s="4">
        <v>50</v>
      </c>
      <c r="B263" s="4">
        <v>0</v>
      </c>
      <c r="C263" s="4">
        <v>0</v>
      </c>
      <c r="D263" s="4">
        <v>1</v>
      </c>
      <c r="E263" s="4">
        <v>223</v>
      </c>
      <c r="F263" s="4">
        <f>ROUND(Source!AQ253,O263)</f>
        <v>0</v>
      </c>
      <c r="G263" s="4" t="s">
        <v>65</v>
      </c>
      <c r="H263" s="4" t="s">
        <v>66</v>
      </c>
      <c r="I263" s="4"/>
      <c r="J263" s="4"/>
      <c r="K263" s="4">
        <v>223</v>
      </c>
      <c r="L263" s="4">
        <v>9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/>
    </row>
    <row r="264" spans="1:23">
      <c r="A264" s="4">
        <v>50</v>
      </c>
      <c r="B264" s="4">
        <v>0</v>
      </c>
      <c r="C264" s="4">
        <v>0</v>
      </c>
      <c r="D264" s="4">
        <v>1</v>
      </c>
      <c r="E264" s="4">
        <v>229</v>
      </c>
      <c r="F264" s="4">
        <f>ROUND(Source!AZ253,O264)</f>
        <v>0</v>
      </c>
      <c r="G264" s="4" t="s">
        <v>67</v>
      </c>
      <c r="H264" s="4" t="s">
        <v>68</v>
      </c>
      <c r="I264" s="4"/>
      <c r="J264" s="4"/>
      <c r="K264" s="4">
        <v>229</v>
      </c>
      <c r="L264" s="4">
        <v>10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/>
    </row>
    <row r="265" spans="1:23">
      <c r="A265" s="4">
        <v>50</v>
      </c>
      <c r="B265" s="4">
        <v>0</v>
      </c>
      <c r="C265" s="4">
        <v>0</v>
      </c>
      <c r="D265" s="4">
        <v>1</v>
      </c>
      <c r="E265" s="4">
        <v>203</v>
      </c>
      <c r="F265" s="4">
        <f>ROUND(Source!Q253,O265)</f>
        <v>7148.81</v>
      </c>
      <c r="G265" s="4" t="s">
        <v>69</v>
      </c>
      <c r="H265" s="4" t="s">
        <v>70</v>
      </c>
      <c r="I265" s="4"/>
      <c r="J265" s="4"/>
      <c r="K265" s="4">
        <v>203</v>
      </c>
      <c r="L265" s="4">
        <v>11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/>
    </row>
    <row r="266" spans="1:23">
      <c r="A266" s="4">
        <v>50</v>
      </c>
      <c r="B266" s="4">
        <v>0</v>
      </c>
      <c r="C266" s="4">
        <v>0</v>
      </c>
      <c r="D266" s="4">
        <v>1</v>
      </c>
      <c r="E266" s="4">
        <v>231</v>
      </c>
      <c r="F266" s="4">
        <f>ROUND(Source!BB253,O266)</f>
        <v>0</v>
      </c>
      <c r="G266" s="4" t="s">
        <v>71</v>
      </c>
      <c r="H266" s="4" t="s">
        <v>72</v>
      </c>
      <c r="I266" s="4"/>
      <c r="J266" s="4"/>
      <c r="K266" s="4">
        <v>231</v>
      </c>
      <c r="L266" s="4">
        <v>12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/>
    </row>
    <row r="267" spans="1:23">
      <c r="A267" s="4">
        <v>50</v>
      </c>
      <c r="B267" s="4">
        <v>0</v>
      </c>
      <c r="C267" s="4">
        <v>0</v>
      </c>
      <c r="D267" s="4">
        <v>1</v>
      </c>
      <c r="E267" s="4">
        <v>204</v>
      </c>
      <c r="F267" s="4">
        <f>ROUND(Source!R253,O267)</f>
        <v>3619.76</v>
      </c>
      <c r="G267" s="4" t="s">
        <v>73</v>
      </c>
      <c r="H267" s="4" t="s">
        <v>74</v>
      </c>
      <c r="I267" s="4"/>
      <c r="J267" s="4"/>
      <c r="K267" s="4">
        <v>204</v>
      </c>
      <c r="L267" s="4">
        <v>13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/>
    </row>
    <row r="268" spans="1:23">
      <c r="A268" s="4">
        <v>50</v>
      </c>
      <c r="B268" s="4">
        <v>0</v>
      </c>
      <c r="C268" s="4">
        <v>0</v>
      </c>
      <c r="D268" s="4">
        <v>1</v>
      </c>
      <c r="E268" s="4">
        <v>205</v>
      </c>
      <c r="F268" s="4">
        <f>ROUND(Source!S253,O268)</f>
        <v>154230.99</v>
      </c>
      <c r="G268" s="4" t="s">
        <v>75</v>
      </c>
      <c r="H268" s="4" t="s">
        <v>76</v>
      </c>
      <c r="I268" s="4"/>
      <c r="J268" s="4"/>
      <c r="K268" s="4">
        <v>205</v>
      </c>
      <c r="L268" s="4">
        <v>14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/>
    </row>
    <row r="269" spans="1:23">
      <c r="A269" s="4">
        <v>50</v>
      </c>
      <c r="B269" s="4">
        <v>0</v>
      </c>
      <c r="C269" s="4">
        <v>0</v>
      </c>
      <c r="D269" s="4">
        <v>1</v>
      </c>
      <c r="E269" s="4">
        <v>232</v>
      </c>
      <c r="F269" s="4">
        <f>ROUND(Source!BC253,O269)</f>
        <v>0</v>
      </c>
      <c r="G269" s="4" t="s">
        <v>77</v>
      </c>
      <c r="H269" s="4" t="s">
        <v>78</v>
      </c>
      <c r="I269" s="4"/>
      <c r="J269" s="4"/>
      <c r="K269" s="4">
        <v>232</v>
      </c>
      <c r="L269" s="4">
        <v>15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/>
    </row>
    <row r="270" spans="1:23">
      <c r="A270" s="4">
        <v>50</v>
      </c>
      <c r="B270" s="4">
        <v>0</v>
      </c>
      <c r="C270" s="4">
        <v>0</v>
      </c>
      <c r="D270" s="4">
        <v>1</v>
      </c>
      <c r="E270" s="4">
        <v>214</v>
      </c>
      <c r="F270" s="4">
        <f>ROUND(Source!AS253,O270)</f>
        <v>459870.38</v>
      </c>
      <c r="G270" s="4" t="s">
        <v>79</v>
      </c>
      <c r="H270" s="4" t="s">
        <v>80</v>
      </c>
      <c r="I270" s="4"/>
      <c r="J270" s="4"/>
      <c r="K270" s="4">
        <v>214</v>
      </c>
      <c r="L270" s="4">
        <v>16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/>
    </row>
    <row r="271" spans="1:23">
      <c r="A271" s="4">
        <v>50</v>
      </c>
      <c r="B271" s="4">
        <v>0</v>
      </c>
      <c r="C271" s="4">
        <v>0</v>
      </c>
      <c r="D271" s="4">
        <v>1</v>
      </c>
      <c r="E271" s="4">
        <v>215</v>
      </c>
      <c r="F271" s="4">
        <f>ROUND(Source!AT253,O271)</f>
        <v>8838.43</v>
      </c>
      <c r="G271" s="4" t="s">
        <v>81</v>
      </c>
      <c r="H271" s="4" t="s">
        <v>82</v>
      </c>
      <c r="I271" s="4"/>
      <c r="J271" s="4"/>
      <c r="K271" s="4">
        <v>215</v>
      </c>
      <c r="L271" s="4">
        <v>17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/>
    </row>
    <row r="272" spans="1:23">
      <c r="A272" s="4">
        <v>50</v>
      </c>
      <c r="B272" s="4">
        <v>0</v>
      </c>
      <c r="C272" s="4">
        <v>0</v>
      </c>
      <c r="D272" s="4">
        <v>1</v>
      </c>
      <c r="E272" s="4">
        <v>217</v>
      </c>
      <c r="F272" s="4">
        <f>ROUND(Source!AU253,O272)</f>
        <v>0</v>
      </c>
      <c r="G272" s="4" t="s">
        <v>83</v>
      </c>
      <c r="H272" s="4" t="s">
        <v>84</v>
      </c>
      <c r="I272" s="4"/>
      <c r="J272" s="4"/>
      <c r="K272" s="4">
        <v>217</v>
      </c>
      <c r="L272" s="4">
        <v>18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/>
    </row>
    <row r="273" spans="1:23">
      <c r="A273" s="4">
        <v>50</v>
      </c>
      <c r="B273" s="4">
        <v>0</v>
      </c>
      <c r="C273" s="4">
        <v>0</v>
      </c>
      <c r="D273" s="4">
        <v>1</v>
      </c>
      <c r="E273" s="4">
        <v>230</v>
      </c>
      <c r="F273" s="4">
        <f>ROUND(Source!BA253,O273)</f>
        <v>0</v>
      </c>
      <c r="G273" s="4" t="s">
        <v>85</v>
      </c>
      <c r="H273" s="4" t="s">
        <v>86</v>
      </c>
      <c r="I273" s="4"/>
      <c r="J273" s="4"/>
      <c r="K273" s="4">
        <v>230</v>
      </c>
      <c r="L273" s="4">
        <v>19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/>
    </row>
    <row r="274" spans="1:23">
      <c r="A274" s="4">
        <v>50</v>
      </c>
      <c r="B274" s="4">
        <v>0</v>
      </c>
      <c r="C274" s="4">
        <v>0</v>
      </c>
      <c r="D274" s="4">
        <v>1</v>
      </c>
      <c r="E274" s="4">
        <v>206</v>
      </c>
      <c r="F274" s="4">
        <f>ROUND(Source!T253,O274)</f>
        <v>0</v>
      </c>
      <c r="G274" s="4" t="s">
        <v>87</v>
      </c>
      <c r="H274" s="4" t="s">
        <v>88</v>
      </c>
      <c r="I274" s="4"/>
      <c r="J274" s="4"/>
      <c r="K274" s="4">
        <v>206</v>
      </c>
      <c r="L274" s="4">
        <v>20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/>
    </row>
    <row r="275" spans="1:23">
      <c r="A275" s="4">
        <v>50</v>
      </c>
      <c r="B275" s="4">
        <v>0</v>
      </c>
      <c r="C275" s="4">
        <v>0</v>
      </c>
      <c r="D275" s="4">
        <v>1</v>
      </c>
      <c r="E275" s="4">
        <v>207</v>
      </c>
      <c r="F275" s="4">
        <f>Source!U253</f>
        <v>496.07817849999998</v>
      </c>
      <c r="G275" s="4" t="s">
        <v>89</v>
      </c>
      <c r="H275" s="4" t="s">
        <v>90</v>
      </c>
      <c r="I275" s="4"/>
      <c r="J275" s="4"/>
      <c r="K275" s="4">
        <v>207</v>
      </c>
      <c r="L275" s="4">
        <v>21</v>
      </c>
      <c r="M275" s="4">
        <v>3</v>
      </c>
      <c r="N275" s="4" t="s">
        <v>3</v>
      </c>
      <c r="O275" s="4">
        <v>-1</v>
      </c>
      <c r="P275" s="4"/>
      <c r="Q275" s="4"/>
      <c r="R275" s="4"/>
      <c r="S275" s="4"/>
      <c r="T275" s="4"/>
      <c r="U275" s="4"/>
      <c r="V275" s="4"/>
      <c r="W275" s="4"/>
    </row>
    <row r="276" spans="1:23">
      <c r="A276" s="4">
        <v>50</v>
      </c>
      <c r="B276" s="4">
        <v>0</v>
      </c>
      <c r="C276" s="4">
        <v>0</v>
      </c>
      <c r="D276" s="4">
        <v>1</v>
      </c>
      <c r="E276" s="4">
        <v>208</v>
      </c>
      <c r="F276" s="4">
        <f>Source!V253</f>
        <v>11.065225</v>
      </c>
      <c r="G276" s="4" t="s">
        <v>91</v>
      </c>
      <c r="H276" s="4" t="s">
        <v>92</v>
      </c>
      <c r="I276" s="4"/>
      <c r="J276" s="4"/>
      <c r="K276" s="4">
        <v>208</v>
      </c>
      <c r="L276" s="4">
        <v>22</v>
      </c>
      <c r="M276" s="4">
        <v>3</v>
      </c>
      <c r="N276" s="4" t="s">
        <v>3</v>
      </c>
      <c r="O276" s="4">
        <v>-1</v>
      </c>
      <c r="P276" s="4"/>
      <c r="Q276" s="4"/>
      <c r="R276" s="4"/>
      <c r="S276" s="4"/>
      <c r="T276" s="4"/>
      <c r="U276" s="4"/>
      <c r="V276" s="4"/>
      <c r="W276" s="4"/>
    </row>
    <row r="277" spans="1:23">
      <c r="A277" s="4">
        <v>50</v>
      </c>
      <c r="B277" s="4">
        <v>0</v>
      </c>
      <c r="C277" s="4">
        <v>0</v>
      </c>
      <c r="D277" s="4">
        <v>1</v>
      </c>
      <c r="E277" s="4">
        <v>209</v>
      </c>
      <c r="F277" s="4">
        <f>ROUND(Source!W253,O277)</f>
        <v>119.85</v>
      </c>
      <c r="G277" s="4" t="s">
        <v>93</v>
      </c>
      <c r="H277" s="4" t="s">
        <v>94</v>
      </c>
      <c r="I277" s="4"/>
      <c r="J277" s="4"/>
      <c r="K277" s="4">
        <v>209</v>
      </c>
      <c r="L277" s="4">
        <v>23</v>
      </c>
      <c r="M277" s="4">
        <v>3</v>
      </c>
      <c r="N277" s="4" t="s">
        <v>3</v>
      </c>
      <c r="O277" s="4">
        <v>2</v>
      </c>
      <c r="P277" s="4"/>
      <c r="Q277" s="4"/>
      <c r="R277" s="4"/>
      <c r="S277" s="4"/>
      <c r="T277" s="4"/>
      <c r="U277" s="4"/>
      <c r="V277" s="4"/>
      <c r="W277" s="4"/>
    </row>
    <row r="278" spans="1:23">
      <c r="A278" s="4">
        <v>50</v>
      </c>
      <c r="B278" s="4">
        <v>0</v>
      </c>
      <c r="C278" s="4">
        <v>0</v>
      </c>
      <c r="D278" s="4">
        <v>1</v>
      </c>
      <c r="E278" s="4">
        <v>233</v>
      </c>
      <c r="F278" s="4">
        <f>ROUND(Source!BD253,O278)</f>
        <v>248.1</v>
      </c>
      <c r="G278" s="4" t="s">
        <v>95</v>
      </c>
      <c r="H278" s="4" t="s">
        <v>96</v>
      </c>
      <c r="I278" s="4"/>
      <c r="J278" s="4"/>
      <c r="K278" s="4">
        <v>233</v>
      </c>
      <c r="L278" s="4">
        <v>24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/>
    </row>
    <row r="279" spans="1:23">
      <c r="A279" s="4">
        <v>50</v>
      </c>
      <c r="B279" s="4">
        <v>0</v>
      </c>
      <c r="C279" s="4">
        <v>0</v>
      </c>
      <c r="D279" s="4">
        <v>1</v>
      </c>
      <c r="E279" s="4">
        <v>210</v>
      </c>
      <c r="F279" s="4">
        <f>ROUND(Source!X253,O279)</f>
        <v>151158</v>
      </c>
      <c r="G279" s="4" t="s">
        <v>97</v>
      </c>
      <c r="H279" s="4" t="s">
        <v>98</v>
      </c>
      <c r="I279" s="4"/>
      <c r="J279" s="4"/>
      <c r="K279" s="4">
        <v>210</v>
      </c>
      <c r="L279" s="4">
        <v>25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0" spans="1:23">
      <c r="A280" s="4">
        <v>50</v>
      </c>
      <c r="B280" s="4">
        <v>0</v>
      </c>
      <c r="C280" s="4">
        <v>0</v>
      </c>
      <c r="D280" s="4">
        <v>1</v>
      </c>
      <c r="E280" s="4">
        <v>211</v>
      </c>
      <c r="F280" s="4">
        <f>ROUND(Source!Y253,O280)</f>
        <v>79466.73</v>
      </c>
      <c r="G280" s="4" t="s">
        <v>99</v>
      </c>
      <c r="H280" s="4" t="s">
        <v>100</v>
      </c>
      <c r="I280" s="4"/>
      <c r="J280" s="4"/>
      <c r="K280" s="4">
        <v>211</v>
      </c>
      <c r="L280" s="4">
        <v>26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/>
    </row>
    <row r="281" spans="1:23">
      <c r="A281" s="4">
        <v>50</v>
      </c>
      <c r="B281" s="4">
        <v>0</v>
      </c>
      <c r="C281" s="4">
        <v>0</v>
      </c>
      <c r="D281" s="4">
        <v>1</v>
      </c>
      <c r="E281" s="4">
        <v>224</v>
      </c>
      <c r="F281" s="4">
        <f>ROUND(Source!AR253,O281)</f>
        <v>468708.81</v>
      </c>
      <c r="G281" s="4" t="s">
        <v>101</v>
      </c>
      <c r="H281" s="4" t="s">
        <v>102</v>
      </c>
      <c r="I281" s="4"/>
      <c r="J281" s="4"/>
      <c r="K281" s="4">
        <v>224</v>
      </c>
      <c r="L281" s="4">
        <v>27</v>
      </c>
      <c r="M281" s="4">
        <v>3</v>
      </c>
      <c r="N281" s="4" t="s">
        <v>3</v>
      </c>
      <c r="O281" s="4">
        <v>2</v>
      </c>
      <c r="P281" s="4"/>
      <c r="Q281" s="4"/>
      <c r="R281" s="4"/>
      <c r="S281" s="4"/>
      <c r="T281" s="4"/>
      <c r="U281" s="4"/>
      <c r="V281" s="4"/>
      <c r="W281" s="4"/>
    </row>
    <row r="282" spans="1:23">
      <c r="A282" s="4">
        <v>50</v>
      </c>
      <c r="B282" s="4">
        <v>1</v>
      </c>
      <c r="C282" s="4">
        <v>0</v>
      </c>
      <c r="D282" s="4">
        <v>2</v>
      </c>
      <c r="E282" s="4">
        <v>0</v>
      </c>
      <c r="F282" s="4">
        <f>ROUND(F281*0.2,O282)</f>
        <v>93741.8</v>
      </c>
      <c r="G282" s="4" t="s">
        <v>211</v>
      </c>
      <c r="H282" s="4" t="s">
        <v>212</v>
      </c>
      <c r="I282" s="4"/>
      <c r="J282" s="4"/>
      <c r="K282" s="4">
        <v>212</v>
      </c>
      <c r="L282" s="4">
        <v>28</v>
      </c>
      <c r="M282" s="4">
        <v>0</v>
      </c>
      <c r="N282" s="4" t="s">
        <v>3</v>
      </c>
      <c r="O282" s="4">
        <v>1</v>
      </c>
      <c r="P282" s="4"/>
      <c r="Q282" s="4"/>
      <c r="R282" s="4"/>
      <c r="S282" s="4"/>
      <c r="T282" s="4"/>
      <c r="U282" s="4"/>
      <c r="V282" s="4"/>
      <c r="W282" s="4"/>
    </row>
    <row r="283" spans="1:23">
      <c r="A283" s="4">
        <v>50</v>
      </c>
      <c r="B283" s="4">
        <v>1</v>
      </c>
      <c r="C283" s="4">
        <v>0</v>
      </c>
      <c r="D283" s="4">
        <v>2</v>
      </c>
      <c r="E283" s="4">
        <v>213</v>
      </c>
      <c r="F283" s="4">
        <f>ROUND(F281*1.2,O283)</f>
        <v>562450.6</v>
      </c>
      <c r="G283" s="4" t="s">
        <v>213</v>
      </c>
      <c r="H283" s="4" t="s">
        <v>214</v>
      </c>
      <c r="I283" s="4"/>
      <c r="J283" s="4"/>
      <c r="K283" s="4">
        <v>212</v>
      </c>
      <c r="L283" s="4">
        <v>29</v>
      </c>
      <c r="M283" s="4">
        <v>0</v>
      </c>
      <c r="N283" s="4" t="s">
        <v>3</v>
      </c>
      <c r="O283" s="4">
        <v>1</v>
      </c>
      <c r="P283" s="4"/>
      <c r="Q283" s="4"/>
      <c r="R283" s="4"/>
      <c r="S283" s="4"/>
      <c r="T283" s="4"/>
      <c r="U283" s="4"/>
      <c r="V283" s="4"/>
      <c r="W283" s="4"/>
    </row>
    <row r="286" spans="1:23">
      <c r="A286">
        <v>70</v>
      </c>
      <c r="B286">
        <v>1</v>
      </c>
      <c r="D286">
        <v>1</v>
      </c>
      <c r="E286" t="s">
        <v>215</v>
      </c>
      <c r="F286" t="s">
        <v>216</v>
      </c>
      <c r="G286">
        <v>0</v>
      </c>
      <c r="H286">
        <v>0</v>
      </c>
      <c r="I286" t="s">
        <v>3</v>
      </c>
      <c r="J286">
        <v>1</v>
      </c>
      <c r="K286">
        <v>0</v>
      </c>
      <c r="L286" t="s">
        <v>3</v>
      </c>
      <c r="M286" t="s">
        <v>3</v>
      </c>
      <c r="N286">
        <v>0</v>
      </c>
      <c r="P286" t="s">
        <v>217</v>
      </c>
    </row>
    <row r="287" spans="1:23">
      <c r="A287">
        <v>70</v>
      </c>
      <c r="B287">
        <v>1</v>
      </c>
      <c r="D287">
        <v>2</v>
      </c>
      <c r="E287" t="s">
        <v>218</v>
      </c>
      <c r="F287" t="s">
        <v>219</v>
      </c>
      <c r="G287">
        <v>1</v>
      </c>
      <c r="H287">
        <v>0</v>
      </c>
      <c r="I287" t="s">
        <v>3</v>
      </c>
      <c r="J287">
        <v>1</v>
      </c>
      <c r="K287">
        <v>0</v>
      </c>
      <c r="L287" t="s">
        <v>3</v>
      </c>
      <c r="M287" t="s">
        <v>3</v>
      </c>
      <c r="N287">
        <v>0</v>
      </c>
      <c r="P287" t="s">
        <v>220</v>
      </c>
    </row>
    <row r="288" spans="1:23">
      <c r="A288">
        <v>70</v>
      </c>
      <c r="B288">
        <v>1</v>
      </c>
      <c r="D288">
        <v>3</v>
      </c>
      <c r="E288" t="s">
        <v>221</v>
      </c>
      <c r="F288" t="s">
        <v>222</v>
      </c>
      <c r="G288">
        <v>0</v>
      </c>
      <c r="H288">
        <v>0</v>
      </c>
      <c r="I288" t="s">
        <v>3</v>
      </c>
      <c r="J288">
        <v>1</v>
      </c>
      <c r="K288">
        <v>0</v>
      </c>
      <c r="L288" t="s">
        <v>3</v>
      </c>
      <c r="M288" t="s">
        <v>3</v>
      </c>
      <c r="N288">
        <v>0</v>
      </c>
      <c r="P288" t="s">
        <v>223</v>
      </c>
    </row>
    <row r="289" spans="1:16">
      <c r="A289">
        <v>70</v>
      </c>
      <c r="B289">
        <v>1</v>
      </c>
      <c r="D289">
        <v>4</v>
      </c>
      <c r="E289" t="s">
        <v>224</v>
      </c>
      <c r="F289" t="s">
        <v>225</v>
      </c>
      <c r="G289">
        <v>0</v>
      </c>
      <c r="H289">
        <v>0</v>
      </c>
      <c r="I289" t="s">
        <v>226</v>
      </c>
      <c r="J289">
        <v>0</v>
      </c>
      <c r="K289">
        <v>0</v>
      </c>
      <c r="L289" t="s">
        <v>3</v>
      </c>
      <c r="M289" t="s">
        <v>3</v>
      </c>
      <c r="N289">
        <v>0</v>
      </c>
      <c r="P289" t="s">
        <v>227</v>
      </c>
    </row>
    <row r="290" spans="1:16">
      <c r="A290">
        <v>70</v>
      </c>
      <c r="B290">
        <v>1</v>
      </c>
      <c r="D290">
        <v>5</v>
      </c>
      <c r="E290" t="s">
        <v>228</v>
      </c>
      <c r="F290" t="s">
        <v>229</v>
      </c>
      <c r="G290">
        <v>0</v>
      </c>
      <c r="H290">
        <v>0</v>
      </c>
      <c r="I290" t="s">
        <v>230</v>
      </c>
      <c r="J290">
        <v>0</v>
      </c>
      <c r="K290">
        <v>0</v>
      </c>
      <c r="L290" t="s">
        <v>3</v>
      </c>
      <c r="M290" t="s">
        <v>3</v>
      </c>
      <c r="N290">
        <v>0</v>
      </c>
      <c r="P290" t="s">
        <v>231</v>
      </c>
    </row>
    <row r="291" spans="1:16">
      <c r="A291">
        <v>70</v>
      </c>
      <c r="B291">
        <v>1</v>
      </c>
      <c r="D291">
        <v>6</v>
      </c>
      <c r="E291" t="s">
        <v>232</v>
      </c>
      <c r="F291" t="s">
        <v>233</v>
      </c>
      <c r="G291">
        <v>0</v>
      </c>
      <c r="H291">
        <v>0</v>
      </c>
      <c r="I291" t="s">
        <v>234</v>
      </c>
      <c r="J291">
        <v>0</v>
      </c>
      <c r="K291">
        <v>0</v>
      </c>
      <c r="L291" t="s">
        <v>3</v>
      </c>
      <c r="M291" t="s">
        <v>3</v>
      </c>
      <c r="N291">
        <v>0</v>
      </c>
      <c r="P291" t="s">
        <v>235</v>
      </c>
    </row>
    <row r="292" spans="1:16">
      <c r="A292">
        <v>70</v>
      </c>
      <c r="B292">
        <v>1</v>
      </c>
      <c r="D292">
        <v>7</v>
      </c>
      <c r="E292" t="s">
        <v>236</v>
      </c>
      <c r="F292" t="s">
        <v>237</v>
      </c>
      <c r="G292">
        <v>1</v>
      </c>
      <c r="H292">
        <v>0</v>
      </c>
      <c r="I292" t="s">
        <v>3</v>
      </c>
      <c r="J292">
        <v>0</v>
      </c>
      <c r="K292">
        <v>0</v>
      </c>
      <c r="L292" t="s">
        <v>3</v>
      </c>
      <c r="M292" t="s">
        <v>3</v>
      </c>
      <c r="N292">
        <v>0</v>
      </c>
      <c r="P292" t="s">
        <v>238</v>
      </c>
    </row>
    <row r="293" spans="1:16">
      <c r="A293">
        <v>70</v>
      </c>
      <c r="B293">
        <v>1</v>
      </c>
      <c r="D293">
        <v>8</v>
      </c>
      <c r="E293" t="s">
        <v>239</v>
      </c>
      <c r="F293" t="s">
        <v>240</v>
      </c>
      <c r="G293">
        <v>0</v>
      </c>
      <c r="H293">
        <v>0</v>
      </c>
      <c r="I293" t="s">
        <v>241</v>
      </c>
      <c r="J293">
        <v>0</v>
      </c>
      <c r="K293">
        <v>0</v>
      </c>
      <c r="L293" t="s">
        <v>3</v>
      </c>
      <c r="M293" t="s">
        <v>3</v>
      </c>
      <c r="N293">
        <v>0</v>
      </c>
      <c r="P293" t="s">
        <v>242</v>
      </c>
    </row>
    <row r="294" spans="1:16">
      <c r="A294">
        <v>70</v>
      </c>
      <c r="B294">
        <v>1</v>
      </c>
      <c r="D294">
        <v>9</v>
      </c>
      <c r="E294" t="s">
        <v>243</v>
      </c>
      <c r="F294" t="s">
        <v>244</v>
      </c>
      <c r="G294">
        <v>0</v>
      </c>
      <c r="H294">
        <v>0</v>
      </c>
      <c r="I294" t="s">
        <v>245</v>
      </c>
      <c r="J294">
        <v>0</v>
      </c>
      <c r="K294">
        <v>0</v>
      </c>
      <c r="L294" t="s">
        <v>3</v>
      </c>
      <c r="M294" t="s">
        <v>3</v>
      </c>
      <c r="N294">
        <v>0</v>
      </c>
      <c r="P294" t="s">
        <v>246</v>
      </c>
    </row>
    <row r="295" spans="1:16">
      <c r="A295">
        <v>70</v>
      </c>
      <c r="B295">
        <v>1</v>
      </c>
      <c r="D295">
        <v>10</v>
      </c>
      <c r="E295" t="s">
        <v>247</v>
      </c>
      <c r="F295" t="s">
        <v>248</v>
      </c>
      <c r="G295">
        <v>0</v>
      </c>
      <c r="H295">
        <v>0</v>
      </c>
      <c r="I295" t="s">
        <v>249</v>
      </c>
      <c r="J295">
        <v>0</v>
      </c>
      <c r="K295">
        <v>0</v>
      </c>
      <c r="L295" t="s">
        <v>3</v>
      </c>
      <c r="M295" t="s">
        <v>3</v>
      </c>
      <c r="N295">
        <v>0</v>
      </c>
      <c r="P295" t="s">
        <v>250</v>
      </c>
    </row>
    <row r="296" spans="1:16">
      <c r="A296">
        <v>70</v>
      </c>
      <c r="B296">
        <v>1</v>
      </c>
      <c r="D296">
        <v>11</v>
      </c>
      <c r="E296" t="s">
        <v>251</v>
      </c>
      <c r="F296" t="s">
        <v>252</v>
      </c>
      <c r="G296">
        <v>0</v>
      </c>
      <c r="H296">
        <v>0</v>
      </c>
      <c r="I296" t="s">
        <v>253</v>
      </c>
      <c r="J296">
        <v>0</v>
      </c>
      <c r="K296">
        <v>0</v>
      </c>
      <c r="L296" t="s">
        <v>3</v>
      </c>
      <c r="M296" t="s">
        <v>3</v>
      </c>
      <c r="N296">
        <v>0</v>
      </c>
      <c r="P296" t="s">
        <v>254</v>
      </c>
    </row>
    <row r="297" spans="1:16">
      <c r="A297">
        <v>70</v>
      </c>
      <c r="B297">
        <v>1</v>
      </c>
      <c r="D297">
        <v>12</v>
      </c>
      <c r="E297" t="s">
        <v>255</v>
      </c>
      <c r="F297" t="s">
        <v>256</v>
      </c>
      <c r="G297">
        <v>0</v>
      </c>
      <c r="H297">
        <v>0</v>
      </c>
      <c r="I297" t="s">
        <v>3</v>
      </c>
      <c r="J297">
        <v>0</v>
      </c>
      <c r="K297">
        <v>0</v>
      </c>
      <c r="L297" t="s">
        <v>3</v>
      </c>
      <c r="M297" t="s">
        <v>3</v>
      </c>
      <c r="N297">
        <v>0</v>
      </c>
      <c r="P297" t="s">
        <v>3</v>
      </c>
    </row>
    <row r="298" spans="1:16">
      <c r="A298">
        <v>70</v>
      </c>
      <c r="B298">
        <v>1</v>
      </c>
      <c r="D298">
        <v>1</v>
      </c>
      <c r="E298" t="s">
        <v>257</v>
      </c>
      <c r="F298" t="s">
        <v>258</v>
      </c>
      <c r="G298">
        <v>0.9</v>
      </c>
      <c r="H298">
        <v>1</v>
      </c>
      <c r="I298" t="s">
        <v>259</v>
      </c>
      <c r="J298">
        <v>0</v>
      </c>
      <c r="K298">
        <v>0</v>
      </c>
      <c r="L298" t="s">
        <v>3</v>
      </c>
      <c r="M298" t="s">
        <v>3</v>
      </c>
      <c r="N298">
        <v>0</v>
      </c>
      <c r="P298" t="s">
        <v>3</v>
      </c>
    </row>
    <row r="299" spans="1:16">
      <c r="A299">
        <v>70</v>
      </c>
      <c r="B299">
        <v>1</v>
      </c>
      <c r="D299">
        <v>2</v>
      </c>
      <c r="E299" t="s">
        <v>260</v>
      </c>
      <c r="F299" t="s">
        <v>261</v>
      </c>
      <c r="G299">
        <v>0.85</v>
      </c>
      <c r="H299">
        <v>1</v>
      </c>
      <c r="I299" t="s">
        <v>262</v>
      </c>
      <c r="J299">
        <v>0</v>
      </c>
      <c r="K299">
        <v>0</v>
      </c>
      <c r="L299" t="s">
        <v>3</v>
      </c>
      <c r="M299" t="s">
        <v>3</v>
      </c>
      <c r="N299">
        <v>0</v>
      </c>
      <c r="P299" t="s">
        <v>3</v>
      </c>
    </row>
    <row r="300" spans="1:16">
      <c r="A300">
        <v>70</v>
      </c>
      <c r="B300">
        <v>1</v>
      </c>
      <c r="D300">
        <v>3</v>
      </c>
      <c r="E300" t="s">
        <v>263</v>
      </c>
      <c r="F300" t="s">
        <v>264</v>
      </c>
      <c r="G300">
        <v>1</v>
      </c>
      <c r="H300">
        <v>0.85</v>
      </c>
      <c r="I300" t="s">
        <v>265</v>
      </c>
      <c r="J300">
        <v>0</v>
      </c>
      <c r="K300">
        <v>0</v>
      </c>
      <c r="L300" t="s">
        <v>3</v>
      </c>
      <c r="M300" t="s">
        <v>3</v>
      </c>
      <c r="N300">
        <v>0</v>
      </c>
      <c r="P300" t="s">
        <v>3</v>
      </c>
    </row>
    <row r="301" spans="1:16">
      <c r="A301">
        <v>70</v>
      </c>
      <c r="B301">
        <v>1</v>
      </c>
      <c r="D301">
        <v>4</v>
      </c>
      <c r="E301" t="s">
        <v>266</v>
      </c>
      <c r="F301" t="s">
        <v>267</v>
      </c>
      <c r="G301">
        <v>1</v>
      </c>
      <c r="H301">
        <v>0</v>
      </c>
      <c r="I301" t="s">
        <v>3</v>
      </c>
      <c r="J301">
        <v>0</v>
      </c>
      <c r="K301">
        <v>0</v>
      </c>
      <c r="L301" t="s">
        <v>3</v>
      </c>
      <c r="M301" t="s">
        <v>3</v>
      </c>
      <c r="N301">
        <v>0</v>
      </c>
      <c r="P301" t="s">
        <v>3</v>
      </c>
    </row>
    <row r="302" spans="1:16">
      <c r="A302">
        <v>70</v>
      </c>
      <c r="B302">
        <v>1</v>
      </c>
      <c r="D302">
        <v>5</v>
      </c>
      <c r="E302" t="s">
        <v>268</v>
      </c>
      <c r="F302" t="s">
        <v>269</v>
      </c>
      <c r="G302">
        <v>1</v>
      </c>
      <c r="H302">
        <v>0.8</v>
      </c>
      <c r="I302" t="s">
        <v>270</v>
      </c>
      <c r="J302">
        <v>0</v>
      </c>
      <c r="K302">
        <v>0</v>
      </c>
      <c r="L302" t="s">
        <v>3</v>
      </c>
      <c r="M302" t="s">
        <v>3</v>
      </c>
      <c r="N302">
        <v>0</v>
      </c>
      <c r="P302" t="s">
        <v>3</v>
      </c>
    </row>
    <row r="303" spans="1:16">
      <c r="A303">
        <v>70</v>
      </c>
      <c r="B303">
        <v>1</v>
      </c>
      <c r="D303">
        <v>6</v>
      </c>
      <c r="E303" t="s">
        <v>271</v>
      </c>
      <c r="F303" t="s">
        <v>272</v>
      </c>
      <c r="G303">
        <v>0.85</v>
      </c>
      <c r="H303">
        <v>0</v>
      </c>
      <c r="I303" t="s">
        <v>3</v>
      </c>
      <c r="J303">
        <v>0</v>
      </c>
      <c r="K303">
        <v>0</v>
      </c>
      <c r="L303" t="s">
        <v>3</v>
      </c>
      <c r="M303" t="s">
        <v>3</v>
      </c>
      <c r="N303">
        <v>0</v>
      </c>
      <c r="P303" t="s">
        <v>3</v>
      </c>
    </row>
    <row r="304" spans="1:16">
      <c r="A304">
        <v>70</v>
      </c>
      <c r="B304">
        <v>1</v>
      </c>
      <c r="D304">
        <v>7</v>
      </c>
      <c r="E304" t="s">
        <v>273</v>
      </c>
      <c r="F304" t="s">
        <v>274</v>
      </c>
      <c r="G304">
        <v>0.8</v>
      </c>
      <c r="H304">
        <v>0</v>
      </c>
      <c r="I304" t="s">
        <v>3</v>
      </c>
      <c r="J304">
        <v>0</v>
      </c>
      <c r="K304">
        <v>0</v>
      </c>
      <c r="L304" t="s">
        <v>3</v>
      </c>
      <c r="M304" t="s">
        <v>3</v>
      </c>
      <c r="N304">
        <v>0</v>
      </c>
      <c r="P304" t="s">
        <v>3</v>
      </c>
    </row>
    <row r="305" spans="1:40">
      <c r="A305">
        <v>70</v>
      </c>
      <c r="B305">
        <v>1</v>
      </c>
      <c r="D305">
        <v>8</v>
      </c>
      <c r="E305" t="s">
        <v>275</v>
      </c>
      <c r="F305" t="s">
        <v>276</v>
      </c>
      <c r="G305">
        <v>0.7</v>
      </c>
      <c r="H305">
        <v>0</v>
      </c>
      <c r="I305" t="s">
        <v>3</v>
      </c>
      <c r="J305">
        <v>0</v>
      </c>
      <c r="K305">
        <v>0</v>
      </c>
      <c r="L305" t="s">
        <v>3</v>
      </c>
      <c r="M305" t="s">
        <v>3</v>
      </c>
      <c r="N305">
        <v>0</v>
      </c>
      <c r="P305" t="s">
        <v>3</v>
      </c>
    </row>
    <row r="306" spans="1:40">
      <c r="A306">
        <v>70</v>
      </c>
      <c r="B306">
        <v>1</v>
      </c>
      <c r="D306">
        <v>9</v>
      </c>
      <c r="E306" t="s">
        <v>277</v>
      </c>
      <c r="F306" t="s">
        <v>278</v>
      </c>
      <c r="G306">
        <v>0.9</v>
      </c>
      <c r="H306">
        <v>0</v>
      </c>
      <c r="I306" t="s">
        <v>3</v>
      </c>
      <c r="J306">
        <v>0</v>
      </c>
      <c r="K306">
        <v>0</v>
      </c>
      <c r="L306" t="s">
        <v>3</v>
      </c>
      <c r="M306" t="s">
        <v>3</v>
      </c>
      <c r="N306">
        <v>0</v>
      </c>
      <c r="P306" t="s">
        <v>3</v>
      </c>
    </row>
    <row r="307" spans="1:40">
      <c r="A307">
        <v>70</v>
      </c>
      <c r="B307">
        <v>1</v>
      </c>
      <c r="D307">
        <v>10</v>
      </c>
      <c r="E307" t="s">
        <v>279</v>
      </c>
      <c r="F307" t="s">
        <v>280</v>
      </c>
      <c r="G307">
        <v>0.6</v>
      </c>
      <c r="H307">
        <v>0</v>
      </c>
      <c r="I307" t="s">
        <v>3</v>
      </c>
      <c r="J307">
        <v>0</v>
      </c>
      <c r="K307">
        <v>0</v>
      </c>
      <c r="L307" t="s">
        <v>3</v>
      </c>
      <c r="M307" t="s">
        <v>3</v>
      </c>
      <c r="N307">
        <v>0</v>
      </c>
      <c r="P307" t="s">
        <v>3</v>
      </c>
    </row>
    <row r="308" spans="1:40">
      <c r="A308">
        <v>70</v>
      </c>
      <c r="B308">
        <v>1</v>
      </c>
      <c r="D308">
        <v>11</v>
      </c>
      <c r="E308" t="s">
        <v>281</v>
      </c>
      <c r="F308" t="s">
        <v>282</v>
      </c>
      <c r="G308">
        <v>1.2</v>
      </c>
      <c r="H308">
        <v>0</v>
      </c>
      <c r="I308" t="s">
        <v>3</v>
      </c>
      <c r="J308">
        <v>0</v>
      </c>
      <c r="K308">
        <v>0</v>
      </c>
      <c r="L308" t="s">
        <v>3</v>
      </c>
      <c r="M308" t="s">
        <v>3</v>
      </c>
      <c r="N308">
        <v>0</v>
      </c>
      <c r="P308" t="s">
        <v>3</v>
      </c>
    </row>
    <row r="309" spans="1:40">
      <c r="A309">
        <v>70</v>
      </c>
      <c r="B309">
        <v>1</v>
      </c>
      <c r="D309">
        <v>12</v>
      </c>
      <c r="E309" t="s">
        <v>283</v>
      </c>
      <c r="F309" t="s">
        <v>284</v>
      </c>
      <c r="G309">
        <v>0</v>
      </c>
      <c r="H309">
        <v>0</v>
      </c>
      <c r="I309" t="s">
        <v>3</v>
      </c>
      <c r="J309">
        <v>0</v>
      </c>
      <c r="K309">
        <v>0</v>
      </c>
      <c r="L309" t="s">
        <v>3</v>
      </c>
      <c r="M309" t="s">
        <v>3</v>
      </c>
      <c r="N309">
        <v>0</v>
      </c>
      <c r="P309" t="s">
        <v>3</v>
      </c>
    </row>
    <row r="310" spans="1:40">
      <c r="A310">
        <v>70</v>
      </c>
      <c r="B310">
        <v>1</v>
      </c>
      <c r="D310">
        <v>13</v>
      </c>
      <c r="E310" t="s">
        <v>285</v>
      </c>
      <c r="F310" t="s">
        <v>286</v>
      </c>
      <c r="G310">
        <v>1</v>
      </c>
      <c r="H310">
        <v>0</v>
      </c>
      <c r="I310" t="s">
        <v>3</v>
      </c>
      <c r="J310">
        <v>0</v>
      </c>
      <c r="K310">
        <v>0</v>
      </c>
      <c r="L310" t="s">
        <v>3</v>
      </c>
      <c r="M310" t="s">
        <v>3</v>
      </c>
      <c r="N310">
        <v>0</v>
      </c>
      <c r="P310" t="s">
        <v>3</v>
      </c>
    </row>
    <row r="312" spans="1:40">
      <c r="A312">
        <v>-1</v>
      </c>
    </row>
    <row r="314" spans="1:40">
      <c r="A314" s="3">
        <v>75</v>
      </c>
      <c r="B314" s="3" t="s">
        <v>287</v>
      </c>
      <c r="C314" s="3">
        <v>2021</v>
      </c>
      <c r="D314" s="3">
        <v>0</v>
      </c>
      <c r="E314" s="3">
        <v>2</v>
      </c>
      <c r="F314" s="3"/>
      <c r="G314" s="3">
        <v>0</v>
      </c>
      <c r="H314" s="3">
        <v>1</v>
      </c>
      <c r="I314" s="3">
        <v>0</v>
      </c>
      <c r="J314" s="3">
        <v>3</v>
      </c>
      <c r="K314" s="3">
        <v>0</v>
      </c>
      <c r="L314" s="3">
        <v>0</v>
      </c>
      <c r="M314" s="3">
        <v>0</v>
      </c>
      <c r="N314" s="3">
        <v>35822480</v>
      </c>
      <c r="O314" s="3">
        <v>1</v>
      </c>
    </row>
    <row r="315" spans="1:40">
      <c r="A315" s="5">
        <v>1</v>
      </c>
      <c r="B315" s="5" t="s">
        <v>288</v>
      </c>
      <c r="C315" s="5" t="s">
        <v>289</v>
      </c>
      <c r="D315" s="5">
        <v>2021</v>
      </c>
      <c r="E315" s="5">
        <v>2</v>
      </c>
      <c r="F315" s="5">
        <v>1</v>
      </c>
      <c r="G315" s="5">
        <v>1</v>
      </c>
      <c r="H315" s="5">
        <v>0</v>
      </c>
      <c r="I315" s="5">
        <v>2</v>
      </c>
      <c r="J315" s="5">
        <v>1</v>
      </c>
      <c r="K315" s="5">
        <v>1</v>
      </c>
      <c r="L315" s="5">
        <v>1</v>
      </c>
      <c r="M315" s="5">
        <v>1</v>
      </c>
      <c r="N315" s="5">
        <v>1</v>
      </c>
      <c r="O315" s="5">
        <v>1</v>
      </c>
      <c r="P315" s="5">
        <v>1</v>
      </c>
      <c r="Q315" s="5">
        <v>1</v>
      </c>
      <c r="R315" s="5" t="s">
        <v>3</v>
      </c>
      <c r="S315" s="5" t="s">
        <v>3</v>
      </c>
      <c r="T315" s="5" t="s">
        <v>3</v>
      </c>
      <c r="U315" s="5" t="s">
        <v>3</v>
      </c>
      <c r="V315" s="5" t="s">
        <v>3</v>
      </c>
      <c r="W315" s="5" t="s">
        <v>3</v>
      </c>
      <c r="X315" s="5" t="s">
        <v>3</v>
      </c>
      <c r="Y315" s="5" t="s">
        <v>3</v>
      </c>
      <c r="Z315" s="5" t="s">
        <v>3</v>
      </c>
      <c r="AA315" s="5" t="s">
        <v>3</v>
      </c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>
        <v>35822481</v>
      </c>
    </row>
    <row r="316" spans="1:40">
      <c r="A316" s="5">
        <v>2</v>
      </c>
      <c r="B316" s="5" t="s">
        <v>290</v>
      </c>
      <c r="C316" s="5" t="s">
        <v>291</v>
      </c>
      <c r="D316" s="5">
        <v>0</v>
      </c>
      <c r="E316" s="5">
        <v>0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>
        <v>35822482</v>
      </c>
    </row>
    <row r="320" spans="1:40">
      <c r="A320">
        <v>65</v>
      </c>
      <c r="C320">
        <v>1</v>
      </c>
      <c r="D320">
        <v>0</v>
      </c>
      <c r="E32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292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35822480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(Source!F240)/1000</f>
        <v>459.87038000000001</v>
      </c>
      <c r="F16" s="7">
        <f>(Source!F241)/1000</f>
        <v>8.8384300000000007</v>
      </c>
      <c r="G16" s="7">
        <f>(Source!F232)/1000</f>
        <v>0</v>
      </c>
      <c r="H16" s="7">
        <f>(Source!F242)/1000+(Source!F243)/1000</f>
        <v>0</v>
      </c>
      <c r="I16" s="7">
        <f>E16+F16+G16+H16</f>
        <v>468.70881000000003</v>
      </c>
      <c r="J16" s="7">
        <f>(Source!F238)/1000</f>
        <v>154.23098999999999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238084.08</v>
      </c>
      <c r="AU16" s="7">
        <v>76704.28</v>
      </c>
      <c r="AV16" s="7">
        <v>0</v>
      </c>
      <c r="AW16" s="7">
        <v>0</v>
      </c>
      <c r="AX16" s="7">
        <v>0</v>
      </c>
      <c r="AY16" s="7">
        <v>7148.81</v>
      </c>
      <c r="AZ16" s="7">
        <v>3619.76</v>
      </c>
      <c r="BA16" s="7">
        <v>154230.99</v>
      </c>
      <c r="BB16" s="7">
        <v>459870.38</v>
      </c>
      <c r="BC16" s="7">
        <v>8838.43</v>
      </c>
      <c r="BD16" s="7">
        <v>0</v>
      </c>
      <c r="BE16" s="7">
        <v>0</v>
      </c>
      <c r="BF16" s="7">
        <v>496.07817850000004</v>
      </c>
      <c r="BG16" s="7">
        <v>11.065225000000002</v>
      </c>
      <c r="BH16" s="7">
        <v>119.85</v>
      </c>
      <c r="BI16" s="7">
        <v>151158</v>
      </c>
      <c r="BJ16" s="7">
        <v>79466.73</v>
      </c>
      <c r="BK16" s="7">
        <v>468708.81</v>
      </c>
    </row>
    <row r="18" spans="1:19">
      <c r="A18">
        <v>51</v>
      </c>
      <c r="E18" s="8">
        <f>SUMIF(A16:A17,3,E16:E17)</f>
        <v>459.87038000000001</v>
      </c>
      <c r="F18" s="8">
        <f>SUMIF(A16:A17,3,F16:F17)</f>
        <v>8.8384300000000007</v>
      </c>
      <c r="G18" s="8">
        <f>SUMIF(A16:A17,3,G16:G17)</f>
        <v>0</v>
      </c>
      <c r="H18" s="8">
        <f>SUMIF(A16:A17,3,H16:H17)</f>
        <v>0</v>
      </c>
      <c r="I18" s="8">
        <f>SUMIF(A16:A17,3,I16:I17)</f>
        <v>468.70881000000003</v>
      </c>
      <c r="J18" s="8">
        <f>SUMIF(A16:A17,3,J16:J17)</f>
        <v>154.23098999999999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238084.08</v>
      </c>
      <c r="G20" s="4" t="s">
        <v>49</v>
      </c>
      <c r="H20" s="4" t="s">
        <v>50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76704.28</v>
      </c>
      <c r="G21" s="4" t="s">
        <v>51</v>
      </c>
      <c r="H21" s="4" t="s">
        <v>52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53</v>
      </c>
      <c r="H22" s="4" t="s">
        <v>54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76704.28</v>
      </c>
      <c r="G23" s="4" t="s">
        <v>55</v>
      </c>
      <c r="H23" s="4" t="s">
        <v>56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76704.28</v>
      </c>
      <c r="G24" s="4" t="s">
        <v>57</v>
      </c>
      <c r="H24" s="4" t="s">
        <v>58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59</v>
      </c>
      <c r="H25" s="4" t="s">
        <v>60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76704.28</v>
      </c>
      <c r="G26" s="4" t="s">
        <v>61</v>
      </c>
      <c r="H26" s="4" t="s">
        <v>62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63</v>
      </c>
      <c r="H27" s="4" t="s">
        <v>64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65</v>
      </c>
      <c r="H28" s="4" t="s">
        <v>66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67</v>
      </c>
      <c r="H29" s="4" t="s">
        <v>68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7148.81</v>
      </c>
      <c r="G30" s="4" t="s">
        <v>69</v>
      </c>
      <c r="H30" s="4" t="s">
        <v>70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71</v>
      </c>
      <c r="H31" s="4" t="s">
        <v>72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3619.76</v>
      </c>
      <c r="G32" s="4" t="s">
        <v>73</v>
      </c>
      <c r="H32" s="4" t="s">
        <v>74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154230.99</v>
      </c>
      <c r="G33" s="4" t="s">
        <v>75</v>
      </c>
      <c r="H33" s="4" t="s">
        <v>76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77</v>
      </c>
      <c r="H34" s="4" t="s">
        <v>78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459870.38</v>
      </c>
      <c r="G35" s="4" t="s">
        <v>79</v>
      </c>
      <c r="H35" s="4" t="s">
        <v>80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8838.43</v>
      </c>
      <c r="G36" s="4" t="s">
        <v>81</v>
      </c>
      <c r="H36" s="4" t="s">
        <v>82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83</v>
      </c>
      <c r="H37" s="4" t="s">
        <v>84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85</v>
      </c>
      <c r="H38" s="4" t="s">
        <v>86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87</v>
      </c>
      <c r="H39" s="4" t="s">
        <v>88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496.07817850000004</v>
      </c>
      <c r="G40" s="4" t="s">
        <v>89</v>
      </c>
      <c r="H40" s="4" t="s">
        <v>90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11.065225000000002</v>
      </c>
      <c r="G41" s="4" t="s">
        <v>91</v>
      </c>
      <c r="H41" s="4" t="s">
        <v>92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119.85</v>
      </c>
      <c r="G42" s="4" t="s">
        <v>93</v>
      </c>
      <c r="H42" s="4" t="s">
        <v>94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248.1</v>
      </c>
      <c r="G43" s="4" t="s">
        <v>95</v>
      </c>
      <c r="H43" s="4" t="s">
        <v>96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151158</v>
      </c>
      <c r="G44" s="4" t="s">
        <v>97</v>
      </c>
      <c r="H44" s="4" t="s">
        <v>98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79466.73</v>
      </c>
      <c r="G45" s="4" t="s">
        <v>99</v>
      </c>
      <c r="H45" s="4" t="s">
        <v>100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468708.81</v>
      </c>
      <c r="G46" s="4" t="s">
        <v>101</v>
      </c>
      <c r="H46" s="4" t="s">
        <v>102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93741.8</v>
      </c>
      <c r="G47" s="4" t="s">
        <v>211</v>
      </c>
      <c r="H47" s="4" t="s">
        <v>212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562450.6</v>
      </c>
      <c r="G48" s="4" t="s">
        <v>213</v>
      </c>
      <c r="H48" s="4" t="s">
        <v>214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287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35822480</v>
      </c>
      <c r="O53" s="3">
        <v>1</v>
      </c>
    </row>
    <row r="54" spans="1:40">
      <c r="A54" s="5">
        <v>1</v>
      </c>
      <c r="B54" s="5" t="s">
        <v>288</v>
      </c>
      <c r="C54" s="5" t="s">
        <v>289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35822481</v>
      </c>
    </row>
    <row r="55" spans="1:40">
      <c r="A55" s="5">
        <v>2</v>
      </c>
      <c r="B55" s="5" t="s">
        <v>290</v>
      </c>
      <c r="C55" s="5" t="s">
        <v>291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35822482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99"/>
  <sheetViews>
    <sheetView workbookViewId="0">
      <selection activeCell="H33" sqref="H33"/>
    </sheetView>
  </sheetViews>
  <sheetFormatPr defaultColWidth="9.140625" defaultRowHeight="12.75"/>
  <cols>
    <col min="1" max="256" width="9.140625" customWidth="1"/>
  </cols>
  <sheetData>
    <row r="1" spans="1:107">
      <c r="A1">
        <f>ROW(Source!A32)</f>
        <v>32</v>
      </c>
      <c r="B1">
        <v>35822480</v>
      </c>
      <c r="C1">
        <v>35822733</v>
      </c>
      <c r="D1">
        <v>18407150</v>
      </c>
      <c r="E1">
        <v>1</v>
      </c>
      <c r="F1">
        <v>1</v>
      </c>
      <c r="G1">
        <v>1</v>
      </c>
      <c r="H1">
        <v>1</v>
      </c>
      <c r="I1" t="s">
        <v>293</v>
      </c>
      <c r="J1" t="s">
        <v>3</v>
      </c>
      <c r="K1" t="s">
        <v>294</v>
      </c>
      <c r="L1">
        <v>1369</v>
      </c>
      <c r="N1">
        <v>1013</v>
      </c>
      <c r="O1" t="s">
        <v>295</v>
      </c>
      <c r="P1" t="s">
        <v>295</v>
      </c>
      <c r="Q1">
        <v>1</v>
      </c>
      <c r="W1">
        <v>0</v>
      </c>
      <c r="X1">
        <v>-931037793</v>
      </c>
      <c r="Y1">
        <v>69.87</v>
      </c>
      <c r="AA1">
        <v>0</v>
      </c>
      <c r="AB1">
        <v>0</v>
      </c>
      <c r="AC1">
        <v>0</v>
      </c>
      <c r="AD1">
        <v>278.5</v>
      </c>
      <c r="AE1">
        <v>0</v>
      </c>
      <c r="AF1">
        <v>0</v>
      </c>
      <c r="AG1">
        <v>0</v>
      </c>
      <c r="AH1">
        <v>278.5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69.87</v>
      </c>
      <c r="AU1" t="s">
        <v>3</v>
      </c>
      <c r="AV1">
        <v>1</v>
      </c>
      <c r="AW1">
        <v>2</v>
      </c>
      <c r="AX1">
        <v>35822734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Y1*Source!I32</f>
        <v>17.467500000000001</v>
      </c>
      <c r="CY1">
        <f>AD1</f>
        <v>278.5</v>
      </c>
      <c r="CZ1">
        <f>AH1</f>
        <v>278.5</v>
      </c>
      <c r="DA1">
        <f>AL1</f>
        <v>1</v>
      </c>
      <c r="DB1">
        <f t="shared" ref="DB1:DB19" si="0">ROUND(ROUND(AT1*CZ1,2),6)</f>
        <v>19458.8</v>
      </c>
      <c r="DC1">
        <f t="shared" ref="DC1:DC19" si="1">ROUND(ROUND(AT1*AG1,2),6)</f>
        <v>0</v>
      </c>
    </row>
    <row r="2" spans="1:107">
      <c r="A2">
        <f>ROW(Source!A32)</f>
        <v>32</v>
      </c>
      <c r="B2">
        <v>35822480</v>
      </c>
      <c r="C2">
        <v>35822733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296</v>
      </c>
      <c r="J2" t="s">
        <v>3</v>
      </c>
      <c r="K2" t="s">
        <v>297</v>
      </c>
      <c r="L2">
        <v>608254</v>
      </c>
      <c r="N2">
        <v>1013</v>
      </c>
      <c r="O2" t="s">
        <v>298</v>
      </c>
      <c r="P2" t="s">
        <v>298</v>
      </c>
      <c r="Q2">
        <v>1</v>
      </c>
      <c r="W2">
        <v>0</v>
      </c>
      <c r="X2">
        <v>-185737400</v>
      </c>
      <c r="Y2">
        <v>1.44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1.44</v>
      </c>
      <c r="AU2" t="s">
        <v>3</v>
      </c>
      <c r="AV2">
        <v>2</v>
      </c>
      <c r="AW2">
        <v>2</v>
      </c>
      <c r="AX2">
        <v>35822735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Y2*Source!I32</f>
        <v>0.36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ROW(Source!A32)</f>
        <v>32</v>
      </c>
      <c r="B3">
        <v>35822480</v>
      </c>
      <c r="C3">
        <v>35822733</v>
      </c>
      <c r="D3">
        <v>29172556</v>
      </c>
      <c r="E3">
        <v>1</v>
      </c>
      <c r="F3">
        <v>1</v>
      </c>
      <c r="G3">
        <v>1</v>
      </c>
      <c r="H3">
        <v>2</v>
      </c>
      <c r="I3" t="s">
        <v>299</v>
      </c>
      <c r="J3" t="s">
        <v>300</v>
      </c>
      <c r="K3" t="s">
        <v>301</v>
      </c>
      <c r="L3">
        <v>1368</v>
      </c>
      <c r="N3">
        <v>1011</v>
      </c>
      <c r="O3" t="s">
        <v>302</v>
      </c>
      <c r="P3" t="s">
        <v>302</v>
      </c>
      <c r="Q3">
        <v>1</v>
      </c>
      <c r="W3">
        <v>0</v>
      </c>
      <c r="X3">
        <v>-1302720870</v>
      </c>
      <c r="Y3">
        <v>1.44</v>
      </c>
      <c r="AA3">
        <v>0</v>
      </c>
      <c r="AB3">
        <v>466.71</v>
      </c>
      <c r="AC3">
        <v>446.18</v>
      </c>
      <c r="AD3">
        <v>0</v>
      </c>
      <c r="AE3">
        <v>0</v>
      </c>
      <c r="AF3">
        <v>31.26</v>
      </c>
      <c r="AG3">
        <v>13.5</v>
      </c>
      <c r="AH3">
        <v>0</v>
      </c>
      <c r="AI3">
        <v>1</v>
      </c>
      <c r="AJ3">
        <v>14.93</v>
      </c>
      <c r="AK3">
        <v>33.049999999999997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1.44</v>
      </c>
      <c r="AU3" t="s">
        <v>3</v>
      </c>
      <c r="AV3">
        <v>0</v>
      </c>
      <c r="AW3">
        <v>2</v>
      </c>
      <c r="AX3">
        <v>35822736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Y3*Source!I32</f>
        <v>0.36</v>
      </c>
      <c r="CY3">
        <f>AB3</f>
        <v>466.71</v>
      </c>
      <c r="CZ3">
        <f>AF3</f>
        <v>31.26</v>
      </c>
      <c r="DA3">
        <f>AJ3</f>
        <v>14.93</v>
      </c>
      <c r="DB3">
        <f t="shared" si="0"/>
        <v>45.01</v>
      </c>
      <c r="DC3">
        <f t="shared" si="1"/>
        <v>19.440000000000001</v>
      </c>
    </row>
    <row r="4" spans="1:107">
      <c r="A4">
        <f>ROW(Source!A32)</f>
        <v>32</v>
      </c>
      <c r="B4">
        <v>35822480</v>
      </c>
      <c r="C4">
        <v>35822733</v>
      </c>
      <c r="D4">
        <v>29164349</v>
      </c>
      <c r="E4">
        <v>1</v>
      </c>
      <c r="F4">
        <v>1</v>
      </c>
      <c r="G4">
        <v>1</v>
      </c>
      <c r="H4">
        <v>3</v>
      </c>
      <c r="I4" t="s">
        <v>26</v>
      </c>
      <c r="J4" t="s">
        <v>29</v>
      </c>
      <c r="K4" t="s">
        <v>27</v>
      </c>
      <c r="L4">
        <v>1348</v>
      </c>
      <c r="N4">
        <v>1009</v>
      </c>
      <c r="O4" t="s">
        <v>28</v>
      </c>
      <c r="P4" t="s">
        <v>28</v>
      </c>
      <c r="Q4">
        <v>1000</v>
      </c>
      <c r="W4">
        <v>0</v>
      </c>
      <c r="X4">
        <v>-304821490</v>
      </c>
      <c r="Y4">
        <v>5.2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5.2</v>
      </c>
      <c r="AU4" t="s">
        <v>3</v>
      </c>
      <c r="AV4">
        <v>0</v>
      </c>
      <c r="AW4">
        <v>2</v>
      </c>
      <c r="AX4">
        <v>35822737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Y4*Source!I32</f>
        <v>1.3</v>
      </c>
      <c r="CY4">
        <f>AA4</f>
        <v>0</v>
      </c>
      <c r="CZ4">
        <f>AE4</f>
        <v>0</v>
      </c>
      <c r="DA4">
        <f>AI4</f>
        <v>1</v>
      </c>
      <c r="DB4">
        <f t="shared" si="0"/>
        <v>0</v>
      </c>
      <c r="DC4">
        <f t="shared" si="1"/>
        <v>0</v>
      </c>
    </row>
    <row r="5" spans="1:107">
      <c r="A5">
        <f>ROW(Source!A34)</f>
        <v>34</v>
      </c>
      <c r="B5">
        <v>35822480</v>
      </c>
      <c r="C5">
        <v>35822792</v>
      </c>
      <c r="D5">
        <v>18411771</v>
      </c>
      <c r="E5">
        <v>1</v>
      </c>
      <c r="F5">
        <v>1</v>
      </c>
      <c r="G5">
        <v>1</v>
      </c>
      <c r="H5">
        <v>1</v>
      </c>
      <c r="I5" t="s">
        <v>303</v>
      </c>
      <c r="J5" t="s">
        <v>3</v>
      </c>
      <c r="K5" t="s">
        <v>304</v>
      </c>
      <c r="L5">
        <v>1369</v>
      </c>
      <c r="N5">
        <v>1013</v>
      </c>
      <c r="O5" t="s">
        <v>295</v>
      </c>
      <c r="P5" t="s">
        <v>295</v>
      </c>
      <c r="Q5">
        <v>1</v>
      </c>
      <c r="W5">
        <v>0</v>
      </c>
      <c r="X5">
        <v>922534627</v>
      </c>
      <c r="Y5">
        <v>47.3</v>
      </c>
      <c r="AA5">
        <v>0</v>
      </c>
      <c r="AB5">
        <v>0</v>
      </c>
      <c r="AC5">
        <v>0</v>
      </c>
      <c r="AD5">
        <v>259.24</v>
      </c>
      <c r="AE5">
        <v>0</v>
      </c>
      <c r="AF5">
        <v>0</v>
      </c>
      <c r="AG5">
        <v>0</v>
      </c>
      <c r="AH5">
        <v>259.24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47.3</v>
      </c>
      <c r="AU5" t="s">
        <v>3</v>
      </c>
      <c r="AV5">
        <v>1</v>
      </c>
      <c r="AW5">
        <v>2</v>
      </c>
      <c r="AX5">
        <v>35822793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Y5*Source!I34</f>
        <v>10.405999999999999</v>
      </c>
      <c r="CY5">
        <f>AD5</f>
        <v>259.24</v>
      </c>
      <c r="CZ5">
        <f>AH5</f>
        <v>259.24</v>
      </c>
      <c r="DA5">
        <f>AL5</f>
        <v>1</v>
      </c>
      <c r="DB5">
        <f t="shared" si="0"/>
        <v>12262.05</v>
      </c>
      <c r="DC5">
        <f t="shared" si="1"/>
        <v>0</v>
      </c>
    </row>
    <row r="6" spans="1:107">
      <c r="A6">
        <f>ROW(Source!A34)</f>
        <v>34</v>
      </c>
      <c r="B6">
        <v>35822480</v>
      </c>
      <c r="C6">
        <v>35822792</v>
      </c>
      <c r="D6">
        <v>29172659</v>
      </c>
      <c r="E6">
        <v>1</v>
      </c>
      <c r="F6">
        <v>1</v>
      </c>
      <c r="G6">
        <v>1</v>
      </c>
      <c r="H6">
        <v>2</v>
      </c>
      <c r="I6" t="s">
        <v>305</v>
      </c>
      <c r="J6" t="s">
        <v>306</v>
      </c>
      <c r="K6" t="s">
        <v>307</v>
      </c>
      <c r="L6">
        <v>1368</v>
      </c>
      <c r="N6">
        <v>1011</v>
      </c>
      <c r="O6" t="s">
        <v>302</v>
      </c>
      <c r="P6" t="s">
        <v>302</v>
      </c>
      <c r="Q6">
        <v>1</v>
      </c>
      <c r="W6">
        <v>0</v>
      </c>
      <c r="X6">
        <v>-664376910</v>
      </c>
      <c r="Y6">
        <v>4.7</v>
      </c>
      <c r="AA6">
        <v>0</v>
      </c>
      <c r="AB6">
        <v>8.5399999999999991</v>
      </c>
      <c r="AC6">
        <v>0</v>
      </c>
      <c r="AD6">
        <v>0</v>
      </c>
      <c r="AE6">
        <v>0</v>
      </c>
      <c r="AF6">
        <v>1.2</v>
      </c>
      <c r="AG6">
        <v>0</v>
      </c>
      <c r="AH6">
        <v>0</v>
      </c>
      <c r="AI6">
        <v>1</v>
      </c>
      <c r="AJ6">
        <v>7.12</v>
      </c>
      <c r="AK6">
        <v>33.049999999999997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4.7</v>
      </c>
      <c r="AU6" t="s">
        <v>3</v>
      </c>
      <c r="AV6">
        <v>0</v>
      </c>
      <c r="AW6">
        <v>2</v>
      </c>
      <c r="AX6">
        <v>35822794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Y6*Source!I34</f>
        <v>1.034</v>
      </c>
      <c r="CY6">
        <f>AB6</f>
        <v>8.5399999999999991</v>
      </c>
      <c r="CZ6">
        <f>AF6</f>
        <v>1.2</v>
      </c>
      <c r="DA6">
        <f>AJ6</f>
        <v>7.12</v>
      </c>
      <c r="DB6">
        <f t="shared" si="0"/>
        <v>5.64</v>
      </c>
      <c r="DC6">
        <f t="shared" si="1"/>
        <v>0</v>
      </c>
    </row>
    <row r="7" spans="1:107">
      <c r="A7">
        <f>ROW(Source!A34)</f>
        <v>34</v>
      </c>
      <c r="B7">
        <v>35822480</v>
      </c>
      <c r="C7">
        <v>35822792</v>
      </c>
      <c r="D7">
        <v>29107441</v>
      </c>
      <c r="E7">
        <v>1</v>
      </c>
      <c r="F7">
        <v>1</v>
      </c>
      <c r="G7">
        <v>1</v>
      </c>
      <c r="H7">
        <v>3</v>
      </c>
      <c r="I7" t="s">
        <v>308</v>
      </c>
      <c r="J7" t="s">
        <v>309</v>
      </c>
      <c r="K7" t="s">
        <v>310</v>
      </c>
      <c r="L7">
        <v>1339</v>
      </c>
      <c r="N7">
        <v>1007</v>
      </c>
      <c r="O7" t="s">
        <v>311</v>
      </c>
      <c r="P7" t="s">
        <v>311</v>
      </c>
      <c r="Q7">
        <v>1</v>
      </c>
      <c r="W7">
        <v>0</v>
      </c>
      <c r="X7">
        <v>1086220539</v>
      </c>
      <c r="Y7">
        <v>3.9</v>
      </c>
      <c r="AA7">
        <v>75.069999999999993</v>
      </c>
      <c r="AB7">
        <v>0</v>
      </c>
      <c r="AC7">
        <v>0</v>
      </c>
      <c r="AD7">
        <v>0</v>
      </c>
      <c r="AE7">
        <v>6.23</v>
      </c>
      <c r="AF7">
        <v>0</v>
      </c>
      <c r="AG7">
        <v>0</v>
      </c>
      <c r="AH7">
        <v>0</v>
      </c>
      <c r="AI7">
        <v>12.05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3.9</v>
      </c>
      <c r="AU7" t="s">
        <v>3</v>
      </c>
      <c r="AV7">
        <v>0</v>
      </c>
      <c r="AW7">
        <v>2</v>
      </c>
      <c r="AX7">
        <v>35822795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Y7*Source!I34</f>
        <v>0.85799999999999998</v>
      </c>
      <c r="CY7">
        <f>AA7</f>
        <v>75.069999999999993</v>
      </c>
      <c r="CZ7">
        <f>AE7</f>
        <v>6.23</v>
      </c>
      <c r="DA7">
        <f>AI7</f>
        <v>12.05</v>
      </c>
      <c r="DB7">
        <f t="shared" si="0"/>
        <v>24.3</v>
      </c>
      <c r="DC7">
        <f t="shared" si="1"/>
        <v>0</v>
      </c>
    </row>
    <row r="8" spans="1:107">
      <c r="A8">
        <f>ROW(Source!A34)</f>
        <v>34</v>
      </c>
      <c r="B8">
        <v>35822480</v>
      </c>
      <c r="C8">
        <v>35822792</v>
      </c>
      <c r="D8">
        <v>29107430</v>
      </c>
      <c r="E8">
        <v>1</v>
      </c>
      <c r="F8">
        <v>1</v>
      </c>
      <c r="G8">
        <v>1</v>
      </c>
      <c r="H8">
        <v>3</v>
      </c>
      <c r="I8" t="s">
        <v>312</v>
      </c>
      <c r="J8" t="s">
        <v>313</v>
      </c>
      <c r="K8" t="s">
        <v>314</v>
      </c>
      <c r="L8">
        <v>1339</v>
      </c>
      <c r="N8">
        <v>1007</v>
      </c>
      <c r="O8" t="s">
        <v>311</v>
      </c>
      <c r="P8" t="s">
        <v>311</v>
      </c>
      <c r="Q8">
        <v>1</v>
      </c>
      <c r="W8">
        <v>0</v>
      </c>
      <c r="X8">
        <v>-1343210809</v>
      </c>
      <c r="Y8">
        <v>0.6</v>
      </c>
      <c r="AA8">
        <v>401.45</v>
      </c>
      <c r="AB8">
        <v>0</v>
      </c>
      <c r="AC8">
        <v>0</v>
      </c>
      <c r="AD8">
        <v>0</v>
      </c>
      <c r="AE8">
        <v>38.49</v>
      </c>
      <c r="AF8">
        <v>0</v>
      </c>
      <c r="AG8">
        <v>0</v>
      </c>
      <c r="AH8">
        <v>0</v>
      </c>
      <c r="AI8">
        <v>10.43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0.6</v>
      </c>
      <c r="AU8" t="s">
        <v>3</v>
      </c>
      <c r="AV8">
        <v>0</v>
      </c>
      <c r="AW8">
        <v>2</v>
      </c>
      <c r="AX8">
        <v>35822796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Y8*Source!I34</f>
        <v>0.13200000000000001</v>
      </c>
      <c r="CY8">
        <f>AA8</f>
        <v>401.45</v>
      </c>
      <c r="CZ8">
        <f>AE8</f>
        <v>38.49</v>
      </c>
      <c r="DA8">
        <f>AI8</f>
        <v>10.43</v>
      </c>
      <c r="DB8">
        <f t="shared" si="0"/>
        <v>23.09</v>
      </c>
      <c r="DC8">
        <f t="shared" si="1"/>
        <v>0</v>
      </c>
    </row>
    <row r="9" spans="1:107">
      <c r="A9">
        <f>ROW(Source!A34)</f>
        <v>34</v>
      </c>
      <c r="B9">
        <v>35822480</v>
      </c>
      <c r="C9">
        <v>35822792</v>
      </c>
      <c r="D9">
        <v>29164349</v>
      </c>
      <c r="E9">
        <v>1</v>
      </c>
      <c r="F9">
        <v>1</v>
      </c>
      <c r="G9">
        <v>1</v>
      </c>
      <c r="H9">
        <v>3</v>
      </c>
      <c r="I9" t="s">
        <v>26</v>
      </c>
      <c r="J9" t="s">
        <v>29</v>
      </c>
      <c r="K9" t="s">
        <v>27</v>
      </c>
      <c r="L9">
        <v>1348</v>
      </c>
      <c r="N9">
        <v>1009</v>
      </c>
      <c r="O9" t="s">
        <v>28</v>
      </c>
      <c r="P9" t="s">
        <v>28</v>
      </c>
      <c r="Q9">
        <v>1000</v>
      </c>
      <c r="W9">
        <v>0</v>
      </c>
      <c r="X9">
        <v>-304821490</v>
      </c>
      <c r="Y9">
        <v>2.5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3</v>
      </c>
      <c r="AT9">
        <v>2.5</v>
      </c>
      <c r="AU9" t="s">
        <v>3</v>
      </c>
      <c r="AV9">
        <v>0</v>
      </c>
      <c r="AW9">
        <v>2</v>
      </c>
      <c r="AX9">
        <v>35822797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Y9*Source!I34</f>
        <v>0.55000000000000004</v>
      </c>
      <c r="CY9">
        <f>AA9</f>
        <v>0</v>
      </c>
      <c r="CZ9">
        <f>AE9</f>
        <v>0</v>
      </c>
      <c r="DA9">
        <f>AI9</f>
        <v>1</v>
      </c>
      <c r="DB9">
        <f t="shared" si="0"/>
        <v>0</v>
      </c>
      <c r="DC9">
        <f t="shared" si="1"/>
        <v>0</v>
      </c>
    </row>
    <row r="10" spans="1:107">
      <c r="A10">
        <f>ROW(Source!A36)</f>
        <v>36</v>
      </c>
      <c r="B10">
        <v>35822480</v>
      </c>
      <c r="C10">
        <v>35822799</v>
      </c>
      <c r="D10">
        <v>18408066</v>
      </c>
      <c r="E10">
        <v>1</v>
      </c>
      <c r="F10">
        <v>1</v>
      </c>
      <c r="G10">
        <v>1</v>
      </c>
      <c r="H10">
        <v>1</v>
      </c>
      <c r="I10" t="s">
        <v>315</v>
      </c>
      <c r="J10" t="s">
        <v>3</v>
      </c>
      <c r="K10" t="s">
        <v>316</v>
      </c>
      <c r="L10">
        <v>1369</v>
      </c>
      <c r="N10">
        <v>1013</v>
      </c>
      <c r="O10" t="s">
        <v>295</v>
      </c>
      <c r="P10" t="s">
        <v>295</v>
      </c>
      <c r="Q10">
        <v>1</v>
      </c>
      <c r="W10">
        <v>0</v>
      </c>
      <c r="X10">
        <v>-886480961</v>
      </c>
      <c r="Y10">
        <v>17.89</v>
      </c>
      <c r="AA10">
        <v>0</v>
      </c>
      <c r="AB10">
        <v>0</v>
      </c>
      <c r="AC10">
        <v>0</v>
      </c>
      <c r="AD10">
        <v>261.85000000000002</v>
      </c>
      <c r="AE10">
        <v>0</v>
      </c>
      <c r="AF10">
        <v>0</v>
      </c>
      <c r="AG10">
        <v>0</v>
      </c>
      <c r="AH10">
        <v>261.85000000000002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17.89</v>
      </c>
      <c r="AU10" t="s">
        <v>3</v>
      </c>
      <c r="AV10">
        <v>1</v>
      </c>
      <c r="AW10">
        <v>2</v>
      </c>
      <c r="AX10">
        <v>35822800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Y10*Source!I36</f>
        <v>0.35780000000000001</v>
      </c>
      <c r="CY10">
        <f>AD10</f>
        <v>261.85000000000002</v>
      </c>
      <c r="CZ10">
        <f>AH10</f>
        <v>261.85000000000002</v>
      </c>
      <c r="DA10">
        <f>AL10</f>
        <v>1</v>
      </c>
      <c r="DB10">
        <f t="shared" si="0"/>
        <v>4684.5</v>
      </c>
      <c r="DC10">
        <f t="shared" si="1"/>
        <v>0</v>
      </c>
    </row>
    <row r="11" spans="1:107">
      <c r="A11">
        <f>ROW(Source!A36)</f>
        <v>36</v>
      </c>
      <c r="B11">
        <v>35822480</v>
      </c>
      <c r="C11">
        <v>35822799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296</v>
      </c>
      <c r="J11" t="s">
        <v>3</v>
      </c>
      <c r="K11" t="s">
        <v>297</v>
      </c>
      <c r="L11">
        <v>608254</v>
      </c>
      <c r="N11">
        <v>1013</v>
      </c>
      <c r="O11" t="s">
        <v>298</v>
      </c>
      <c r="P11" t="s">
        <v>298</v>
      </c>
      <c r="Q11">
        <v>1</v>
      </c>
      <c r="W11">
        <v>0</v>
      </c>
      <c r="X11">
        <v>-185737400</v>
      </c>
      <c r="Y11">
        <v>0.08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0.08</v>
      </c>
      <c r="AU11" t="s">
        <v>3</v>
      </c>
      <c r="AV11">
        <v>2</v>
      </c>
      <c r="AW11">
        <v>2</v>
      </c>
      <c r="AX11">
        <v>35822801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Y11*Source!I36</f>
        <v>1.6000000000000001E-3</v>
      </c>
      <c r="CY11">
        <f>AD11</f>
        <v>0</v>
      </c>
      <c r="CZ11">
        <f>AH11</f>
        <v>0</v>
      </c>
      <c r="DA11">
        <f>AL11</f>
        <v>1</v>
      </c>
      <c r="DB11">
        <f t="shared" si="0"/>
        <v>0</v>
      </c>
      <c r="DC11">
        <f t="shared" si="1"/>
        <v>0</v>
      </c>
    </row>
    <row r="12" spans="1:107">
      <c r="A12">
        <f>ROW(Source!A36)</f>
        <v>36</v>
      </c>
      <c r="B12">
        <v>35822480</v>
      </c>
      <c r="C12">
        <v>35822799</v>
      </c>
      <c r="D12">
        <v>29172556</v>
      </c>
      <c r="E12">
        <v>1</v>
      </c>
      <c r="F12">
        <v>1</v>
      </c>
      <c r="G12">
        <v>1</v>
      </c>
      <c r="H12">
        <v>2</v>
      </c>
      <c r="I12" t="s">
        <v>299</v>
      </c>
      <c r="J12" t="s">
        <v>300</v>
      </c>
      <c r="K12" t="s">
        <v>301</v>
      </c>
      <c r="L12">
        <v>1368</v>
      </c>
      <c r="N12">
        <v>1011</v>
      </c>
      <c r="O12" t="s">
        <v>302</v>
      </c>
      <c r="P12" t="s">
        <v>302</v>
      </c>
      <c r="Q12">
        <v>1</v>
      </c>
      <c r="W12">
        <v>0</v>
      </c>
      <c r="X12">
        <v>-1302720870</v>
      </c>
      <c r="Y12">
        <v>0.08</v>
      </c>
      <c r="AA12">
        <v>0</v>
      </c>
      <c r="AB12">
        <v>466.71</v>
      </c>
      <c r="AC12">
        <v>446.18</v>
      </c>
      <c r="AD12">
        <v>0</v>
      </c>
      <c r="AE12">
        <v>0</v>
      </c>
      <c r="AF12">
        <v>31.26</v>
      </c>
      <c r="AG12">
        <v>13.5</v>
      </c>
      <c r="AH12">
        <v>0</v>
      </c>
      <c r="AI12">
        <v>1</v>
      </c>
      <c r="AJ12">
        <v>14.93</v>
      </c>
      <c r="AK12">
        <v>33.049999999999997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0.08</v>
      </c>
      <c r="AU12" t="s">
        <v>3</v>
      </c>
      <c r="AV12">
        <v>0</v>
      </c>
      <c r="AW12">
        <v>2</v>
      </c>
      <c r="AX12">
        <v>35822802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Y12*Source!I36</f>
        <v>1.6000000000000001E-3</v>
      </c>
      <c r="CY12">
        <f>AB12</f>
        <v>466.71</v>
      </c>
      <c r="CZ12">
        <f>AF12</f>
        <v>31.26</v>
      </c>
      <c r="DA12">
        <f>AJ12</f>
        <v>14.93</v>
      </c>
      <c r="DB12">
        <f t="shared" si="0"/>
        <v>2.5</v>
      </c>
      <c r="DC12">
        <f t="shared" si="1"/>
        <v>1.08</v>
      </c>
    </row>
    <row r="13" spans="1:107">
      <c r="A13">
        <f>ROW(Source!A37)</f>
        <v>37</v>
      </c>
      <c r="B13">
        <v>35822480</v>
      </c>
      <c r="C13">
        <v>35822803</v>
      </c>
      <c r="D13">
        <v>18406804</v>
      </c>
      <c r="E13">
        <v>1</v>
      </c>
      <c r="F13">
        <v>1</v>
      </c>
      <c r="G13">
        <v>1</v>
      </c>
      <c r="H13">
        <v>1</v>
      </c>
      <c r="I13" t="s">
        <v>317</v>
      </c>
      <c r="J13" t="s">
        <v>3</v>
      </c>
      <c r="K13" t="s">
        <v>318</v>
      </c>
      <c r="L13">
        <v>1369</v>
      </c>
      <c r="N13">
        <v>1013</v>
      </c>
      <c r="O13" t="s">
        <v>295</v>
      </c>
      <c r="P13" t="s">
        <v>295</v>
      </c>
      <c r="Q13">
        <v>1</v>
      </c>
      <c r="W13">
        <v>0</v>
      </c>
      <c r="X13">
        <v>254330056</v>
      </c>
      <c r="Y13">
        <v>5.84</v>
      </c>
      <c r="AA13">
        <v>0</v>
      </c>
      <c r="AB13">
        <v>0</v>
      </c>
      <c r="AC13">
        <v>0</v>
      </c>
      <c r="AD13">
        <v>254.67</v>
      </c>
      <c r="AE13">
        <v>0</v>
      </c>
      <c r="AF13">
        <v>0</v>
      </c>
      <c r="AG13">
        <v>0</v>
      </c>
      <c r="AH13">
        <v>254.67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5.84</v>
      </c>
      <c r="AU13" t="s">
        <v>3</v>
      </c>
      <c r="AV13">
        <v>1</v>
      </c>
      <c r="AW13">
        <v>2</v>
      </c>
      <c r="AX13">
        <v>35822804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Y13*Source!I37</f>
        <v>0.1168</v>
      </c>
      <c r="CY13">
        <f>AD13</f>
        <v>254.67</v>
      </c>
      <c r="CZ13">
        <f>AH13</f>
        <v>254.67</v>
      </c>
      <c r="DA13">
        <f>AL13</f>
        <v>1</v>
      </c>
      <c r="DB13">
        <f t="shared" si="0"/>
        <v>1487.27</v>
      </c>
      <c r="DC13">
        <f t="shared" si="1"/>
        <v>0</v>
      </c>
    </row>
    <row r="14" spans="1:107">
      <c r="A14">
        <f>ROW(Source!A103)</f>
        <v>103</v>
      </c>
      <c r="B14">
        <v>35822480</v>
      </c>
      <c r="C14">
        <v>36144530</v>
      </c>
      <c r="D14">
        <v>18411771</v>
      </c>
      <c r="E14">
        <v>1</v>
      </c>
      <c r="F14">
        <v>1</v>
      </c>
      <c r="G14">
        <v>1</v>
      </c>
      <c r="H14">
        <v>1</v>
      </c>
      <c r="I14" t="s">
        <v>303</v>
      </c>
      <c r="J14" t="s">
        <v>3</v>
      </c>
      <c r="K14" t="s">
        <v>304</v>
      </c>
      <c r="L14">
        <v>1369</v>
      </c>
      <c r="N14">
        <v>1013</v>
      </c>
      <c r="O14" t="s">
        <v>295</v>
      </c>
      <c r="P14" t="s">
        <v>295</v>
      </c>
      <c r="Q14">
        <v>1</v>
      </c>
      <c r="W14">
        <v>0</v>
      </c>
      <c r="X14">
        <v>922534627</v>
      </c>
      <c r="Y14">
        <v>39.51</v>
      </c>
      <c r="AA14">
        <v>0</v>
      </c>
      <c r="AB14">
        <v>0</v>
      </c>
      <c r="AC14">
        <v>0</v>
      </c>
      <c r="AD14">
        <v>259.24</v>
      </c>
      <c r="AE14">
        <v>0</v>
      </c>
      <c r="AF14">
        <v>0</v>
      </c>
      <c r="AG14">
        <v>0</v>
      </c>
      <c r="AH14">
        <v>259.24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39.51</v>
      </c>
      <c r="AU14" t="s">
        <v>3</v>
      </c>
      <c r="AV14">
        <v>1</v>
      </c>
      <c r="AW14">
        <v>2</v>
      </c>
      <c r="AX14">
        <v>36165308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Y14*Source!I103</f>
        <v>9.8774999999999995</v>
      </c>
      <c r="CY14">
        <f>AD14</f>
        <v>259.24</v>
      </c>
      <c r="CZ14">
        <f>AH14</f>
        <v>259.24</v>
      </c>
      <c r="DA14">
        <f>AL14</f>
        <v>1</v>
      </c>
      <c r="DB14">
        <f t="shared" si="0"/>
        <v>10242.57</v>
      </c>
      <c r="DC14">
        <f t="shared" si="1"/>
        <v>0</v>
      </c>
    </row>
    <row r="15" spans="1:107">
      <c r="A15">
        <f>ROW(Source!A103)</f>
        <v>103</v>
      </c>
      <c r="B15">
        <v>35822480</v>
      </c>
      <c r="C15">
        <v>36144530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296</v>
      </c>
      <c r="J15" t="s">
        <v>3</v>
      </c>
      <c r="K15" t="s">
        <v>297</v>
      </c>
      <c r="L15">
        <v>608254</v>
      </c>
      <c r="N15">
        <v>1013</v>
      </c>
      <c r="O15" t="s">
        <v>298</v>
      </c>
      <c r="P15" t="s">
        <v>298</v>
      </c>
      <c r="Q15">
        <v>1</v>
      </c>
      <c r="W15">
        <v>0</v>
      </c>
      <c r="X15">
        <v>-185737400</v>
      </c>
      <c r="Y15">
        <v>1.27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1.27</v>
      </c>
      <c r="AU15" t="s">
        <v>3</v>
      </c>
      <c r="AV15">
        <v>2</v>
      </c>
      <c r="AW15">
        <v>2</v>
      </c>
      <c r="AX15">
        <v>36165309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Y15*Source!I103</f>
        <v>0.3175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>
      <c r="A16">
        <f>ROW(Source!A103)</f>
        <v>103</v>
      </c>
      <c r="B16">
        <v>35822480</v>
      </c>
      <c r="C16">
        <v>36144530</v>
      </c>
      <c r="D16">
        <v>29172556</v>
      </c>
      <c r="E16">
        <v>1</v>
      </c>
      <c r="F16">
        <v>1</v>
      </c>
      <c r="G16">
        <v>1</v>
      </c>
      <c r="H16">
        <v>2</v>
      </c>
      <c r="I16" t="s">
        <v>299</v>
      </c>
      <c r="J16" t="s">
        <v>300</v>
      </c>
      <c r="K16" t="s">
        <v>301</v>
      </c>
      <c r="L16">
        <v>1368</v>
      </c>
      <c r="N16">
        <v>1011</v>
      </c>
      <c r="O16" t="s">
        <v>302</v>
      </c>
      <c r="P16" t="s">
        <v>302</v>
      </c>
      <c r="Q16">
        <v>1</v>
      </c>
      <c r="W16">
        <v>0</v>
      </c>
      <c r="X16">
        <v>-1302720870</v>
      </c>
      <c r="Y16">
        <v>1.27</v>
      </c>
      <c r="AA16">
        <v>0</v>
      </c>
      <c r="AB16">
        <v>466.71</v>
      </c>
      <c r="AC16">
        <v>446.18</v>
      </c>
      <c r="AD16">
        <v>0</v>
      </c>
      <c r="AE16">
        <v>0</v>
      </c>
      <c r="AF16">
        <v>31.26</v>
      </c>
      <c r="AG16">
        <v>13.5</v>
      </c>
      <c r="AH16">
        <v>0</v>
      </c>
      <c r="AI16">
        <v>1</v>
      </c>
      <c r="AJ16">
        <v>14.93</v>
      </c>
      <c r="AK16">
        <v>33.049999999999997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1.27</v>
      </c>
      <c r="AU16" t="s">
        <v>3</v>
      </c>
      <c r="AV16">
        <v>0</v>
      </c>
      <c r="AW16">
        <v>2</v>
      </c>
      <c r="AX16">
        <v>36165310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Y16*Source!I103</f>
        <v>0.3175</v>
      </c>
      <c r="CY16">
        <f>AB16</f>
        <v>466.71</v>
      </c>
      <c r="CZ16">
        <f>AF16</f>
        <v>31.26</v>
      </c>
      <c r="DA16">
        <f>AJ16</f>
        <v>14.93</v>
      </c>
      <c r="DB16">
        <f t="shared" si="0"/>
        <v>39.700000000000003</v>
      </c>
      <c r="DC16">
        <f t="shared" si="1"/>
        <v>17.149999999999999</v>
      </c>
    </row>
    <row r="17" spans="1:107">
      <c r="A17">
        <f>ROW(Source!A103)</f>
        <v>103</v>
      </c>
      <c r="B17">
        <v>35822480</v>
      </c>
      <c r="C17">
        <v>36144530</v>
      </c>
      <c r="D17">
        <v>29173152</v>
      </c>
      <c r="E17">
        <v>1</v>
      </c>
      <c r="F17">
        <v>1</v>
      </c>
      <c r="G17">
        <v>1</v>
      </c>
      <c r="H17">
        <v>2</v>
      </c>
      <c r="I17" t="s">
        <v>319</v>
      </c>
      <c r="J17" t="s">
        <v>320</v>
      </c>
      <c r="K17" t="s">
        <v>321</v>
      </c>
      <c r="L17">
        <v>1368</v>
      </c>
      <c r="N17">
        <v>1011</v>
      </c>
      <c r="O17" t="s">
        <v>302</v>
      </c>
      <c r="P17" t="s">
        <v>302</v>
      </c>
      <c r="Q17">
        <v>1</v>
      </c>
      <c r="W17">
        <v>0</v>
      </c>
      <c r="X17">
        <v>1729392141</v>
      </c>
      <c r="Y17">
        <v>9.07</v>
      </c>
      <c r="AA17">
        <v>0</v>
      </c>
      <c r="AB17">
        <v>4.1100000000000003</v>
      </c>
      <c r="AC17">
        <v>0</v>
      </c>
      <c r="AD17">
        <v>0</v>
      </c>
      <c r="AE17">
        <v>0</v>
      </c>
      <c r="AF17">
        <v>0.5</v>
      </c>
      <c r="AG17">
        <v>0</v>
      </c>
      <c r="AH17">
        <v>0</v>
      </c>
      <c r="AI17">
        <v>1</v>
      </c>
      <c r="AJ17">
        <v>8.2200000000000006</v>
      </c>
      <c r="AK17">
        <v>33.049999999999997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9.07</v>
      </c>
      <c r="AU17" t="s">
        <v>3</v>
      </c>
      <c r="AV17">
        <v>0</v>
      </c>
      <c r="AW17">
        <v>2</v>
      </c>
      <c r="AX17">
        <v>36165311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Y17*Source!I103</f>
        <v>2.2675000000000001</v>
      </c>
      <c r="CY17">
        <f>AB17</f>
        <v>4.1100000000000003</v>
      </c>
      <c r="CZ17">
        <f>AF17</f>
        <v>0.5</v>
      </c>
      <c r="DA17">
        <f>AJ17</f>
        <v>8.2200000000000006</v>
      </c>
      <c r="DB17">
        <f t="shared" si="0"/>
        <v>4.54</v>
      </c>
      <c r="DC17">
        <f t="shared" si="1"/>
        <v>0</v>
      </c>
    </row>
    <row r="18" spans="1:107">
      <c r="A18">
        <f>ROW(Source!A103)</f>
        <v>103</v>
      </c>
      <c r="B18">
        <v>35822480</v>
      </c>
      <c r="C18">
        <v>36144530</v>
      </c>
      <c r="D18">
        <v>29145158</v>
      </c>
      <c r="E18">
        <v>1</v>
      </c>
      <c r="F18">
        <v>1</v>
      </c>
      <c r="G18">
        <v>1</v>
      </c>
      <c r="H18">
        <v>3</v>
      </c>
      <c r="I18" t="s">
        <v>322</v>
      </c>
      <c r="J18" t="s">
        <v>323</v>
      </c>
      <c r="K18" t="s">
        <v>324</v>
      </c>
      <c r="L18">
        <v>1339</v>
      </c>
      <c r="N18">
        <v>1007</v>
      </c>
      <c r="O18" t="s">
        <v>311</v>
      </c>
      <c r="P18" t="s">
        <v>311</v>
      </c>
      <c r="Q18">
        <v>1</v>
      </c>
      <c r="W18">
        <v>0</v>
      </c>
      <c r="X18">
        <v>-1225348186</v>
      </c>
      <c r="Y18">
        <v>2.04</v>
      </c>
      <c r="AA18">
        <v>3399.46</v>
      </c>
      <c r="AB18">
        <v>0</v>
      </c>
      <c r="AC18">
        <v>0</v>
      </c>
      <c r="AD18">
        <v>0</v>
      </c>
      <c r="AE18">
        <v>548.29999999999995</v>
      </c>
      <c r="AF18">
        <v>0</v>
      </c>
      <c r="AG18">
        <v>0</v>
      </c>
      <c r="AH18">
        <v>0</v>
      </c>
      <c r="AI18">
        <v>6.2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2.04</v>
      </c>
      <c r="AU18" t="s">
        <v>3</v>
      </c>
      <c r="AV18">
        <v>0</v>
      </c>
      <c r="AW18">
        <v>2</v>
      </c>
      <c r="AX18">
        <v>36165312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Y18*Source!I103</f>
        <v>0.51</v>
      </c>
      <c r="CY18">
        <f>AA18</f>
        <v>3399.46</v>
      </c>
      <c r="CZ18">
        <f>AE18</f>
        <v>548.29999999999995</v>
      </c>
      <c r="DA18">
        <f>AI18</f>
        <v>6.2</v>
      </c>
      <c r="DB18">
        <f t="shared" si="0"/>
        <v>1118.53</v>
      </c>
      <c r="DC18">
        <f t="shared" si="1"/>
        <v>0</v>
      </c>
    </row>
    <row r="19" spans="1:107">
      <c r="A19">
        <f>ROW(Source!A103)</f>
        <v>103</v>
      </c>
      <c r="B19">
        <v>35822480</v>
      </c>
      <c r="C19">
        <v>36144530</v>
      </c>
      <c r="D19">
        <v>29150040</v>
      </c>
      <c r="E19">
        <v>1</v>
      </c>
      <c r="F19">
        <v>1</v>
      </c>
      <c r="G19">
        <v>1</v>
      </c>
      <c r="H19">
        <v>3</v>
      </c>
      <c r="I19" t="s">
        <v>325</v>
      </c>
      <c r="J19" t="s">
        <v>326</v>
      </c>
      <c r="K19" t="s">
        <v>327</v>
      </c>
      <c r="L19">
        <v>1339</v>
      </c>
      <c r="N19">
        <v>1007</v>
      </c>
      <c r="O19" t="s">
        <v>311</v>
      </c>
      <c r="P19" t="s">
        <v>311</v>
      </c>
      <c r="Q19">
        <v>1</v>
      </c>
      <c r="W19">
        <v>0</v>
      </c>
      <c r="X19">
        <v>693153122</v>
      </c>
      <c r="Y19">
        <v>3.5</v>
      </c>
      <c r="AA19">
        <v>22.2</v>
      </c>
      <c r="AB19">
        <v>0</v>
      </c>
      <c r="AC19">
        <v>0</v>
      </c>
      <c r="AD19">
        <v>0</v>
      </c>
      <c r="AE19">
        <v>2.44</v>
      </c>
      <c r="AF19">
        <v>0</v>
      </c>
      <c r="AG19">
        <v>0</v>
      </c>
      <c r="AH19">
        <v>0</v>
      </c>
      <c r="AI19">
        <v>9.1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3.5</v>
      </c>
      <c r="AU19" t="s">
        <v>3</v>
      </c>
      <c r="AV19">
        <v>0</v>
      </c>
      <c r="AW19">
        <v>2</v>
      </c>
      <c r="AX19">
        <v>36165313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Y19*Source!I103</f>
        <v>0.875</v>
      </c>
      <c r="CY19">
        <f>AA19</f>
        <v>22.2</v>
      </c>
      <c r="CZ19">
        <f>AE19</f>
        <v>2.44</v>
      </c>
      <c r="DA19">
        <f>AI19</f>
        <v>9.1</v>
      </c>
      <c r="DB19">
        <f t="shared" si="0"/>
        <v>8.5399999999999991</v>
      </c>
      <c r="DC19">
        <f t="shared" si="1"/>
        <v>0</v>
      </c>
    </row>
    <row r="20" spans="1:107">
      <c r="A20">
        <f>ROW(Source!A104)</f>
        <v>104</v>
      </c>
      <c r="B20">
        <v>35822480</v>
      </c>
      <c r="C20">
        <v>35822874</v>
      </c>
      <c r="D20">
        <v>18413230</v>
      </c>
      <c r="E20">
        <v>1</v>
      </c>
      <c r="F20">
        <v>1</v>
      </c>
      <c r="G20">
        <v>1</v>
      </c>
      <c r="H20">
        <v>1</v>
      </c>
      <c r="I20" t="s">
        <v>328</v>
      </c>
      <c r="J20" t="s">
        <v>3</v>
      </c>
      <c r="K20" t="s">
        <v>329</v>
      </c>
      <c r="L20">
        <v>1369</v>
      </c>
      <c r="N20">
        <v>1013</v>
      </c>
      <c r="O20" t="s">
        <v>295</v>
      </c>
      <c r="P20" t="s">
        <v>295</v>
      </c>
      <c r="Q20">
        <v>1</v>
      </c>
      <c r="W20">
        <v>0</v>
      </c>
      <c r="X20">
        <v>355262106</v>
      </c>
      <c r="Y20">
        <v>434.89549999999997</v>
      </c>
      <c r="AA20">
        <v>0</v>
      </c>
      <c r="AB20">
        <v>0</v>
      </c>
      <c r="AC20">
        <v>0</v>
      </c>
      <c r="AD20">
        <v>299.72000000000003</v>
      </c>
      <c r="AE20">
        <v>0</v>
      </c>
      <c r="AF20">
        <v>0</v>
      </c>
      <c r="AG20">
        <v>0</v>
      </c>
      <c r="AH20">
        <v>299.72000000000003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378.17</v>
      </c>
      <c r="AU20" t="s">
        <v>118</v>
      </c>
      <c r="AV20">
        <v>1</v>
      </c>
      <c r="AW20">
        <v>2</v>
      </c>
      <c r="AX20">
        <v>36165342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Y20*Source!I104</f>
        <v>108.72387499999999</v>
      </c>
      <c r="CY20">
        <f>AD20</f>
        <v>299.72000000000003</v>
      </c>
      <c r="CZ20">
        <f>AH20</f>
        <v>299.72000000000003</v>
      </c>
      <c r="DA20">
        <f>AL20</f>
        <v>1</v>
      </c>
      <c r="DB20">
        <f>ROUND((ROUND(AT20*CZ20,2)*1.15),6)</f>
        <v>130346.8765</v>
      </c>
      <c r="DC20">
        <f>ROUND((ROUND(AT20*AG20,2)*1.15),6)</f>
        <v>0</v>
      </c>
    </row>
    <row r="21" spans="1:107">
      <c r="A21">
        <f>ROW(Source!A104)</f>
        <v>104</v>
      </c>
      <c r="B21">
        <v>35822480</v>
      </c>
      <c r="C21">
        <v>35822874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296</v>
      </c>
      <c r="J21" t="s">
        <v>3</v>
      </c>
      <c r="K21" t="s">
        <v>297</v>
      </c>
      <c r="L21">
        <v>608254</v>
      </c>
      <c r="N21">
        <v>1013</v>
      </c>
      <c r="O21" t="s">
        <v>298</v>
      </c>
      <c r="P21" t="s">
        <v>298</v>
      </c>
      <c r="Q21">
        <v>1</v>
      </c>
      <c r="W21">
        <v>0</v>
      </c>
      <c r="X21">
        <v>-185737400</v>
      </c>
      <c r="Y21">
        <v>2.7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2.16</v>
      </c>
      <c r="AU21" t="s">
        <v>117</v>
      </c>
      <c r="AV21">
        <v>2</v>
      </c>
      <c r="AW21">
        <v>2</v>
      </c>
      <c r="AX21">
        <v>36165343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Y21*Source!I104</f>
        <v>0.67500000000000004</v>
      </c>
      <c r="CY21">
        <f>AD21</f>
        <v>0</v>
      </c>
      <c r="CZ21">
        <f>AH21</f>
        <v>0</v>
      </c>
      <c r="DA21">
        <f>AL21</f>
        <v>1</v>
      </c>
      <c r="DB21">
        <f t="shared" ref="DB21:DB26" si="2">ROUND((ROUND(AT21*CZ21,2)*1.25),6)</f>
        <v>0</v>
      </c>
      <c r="DC21">
        <f t="shared" ref="DC21:DC26" si="3">ROUND((ROUND(AT21*AG21,2)*1.25),6)</f>
        <v>0</v>
      </c>
    </row>
    <row r="22" spans="1:107">
      <c r="A22">
        <f>ROW(Source!A104)</f>
        <v>104</v>
      </c>
      <c r="B22">
        <v>35822480</v>
      </c>
      <c r="C22">
        <v>35822874</v>
      </c>
      <c r="D22">
        <v>29172267</v>
      </c>
      <c r="E22">
        <v>1</v>
      </c>
      <c r="F22">
        <v>1</v>
      </c>
      <c r="G22">
        <v>1</v>
      </c>
      <c r="H22">
        <v>2</v>
      </c>
      <c r="I22" t="s">
        <v>330</v>
      </c>
      <c r="J22" t="s">
        <v>331</v>
      </c>
      <c r="K22" t="s">
        <v>332</v>
      </c>
      <c r="L22">
        <v>1368</v>
      </c>
      <c r="N22">
        <v>1011</v>
      </c>
      <c r="O22" t="s">
        <v>302</v>
      </c>
      <c r="P22" t="s">
        <v>302</v>
      </c>
      <c r="Q22">
        <v>1</v>
      </c>
      <c r="W22">
        <v>0</v>
      </c>
      <c r="X22">
        <v>892994112</v>
      </c>
      <c r="Y22">
        <v>0.42500000000000004</v>
      </c>
      <c r="AA22">
        <v>0</v>
      </c>
      <c r="AB22">
        <v>848.48</v>
      </c>
      <c r="AC22">
        <v>446.18</v>
      </c>
      <c r="AD22">
        <v>0</v>
      </c>
      <c r="AE22">
        <v>0</v>
      </c>
      <c r="AF22">
        <v>83.43</v>
      </c>
      <c r="AG22">
        <v>13.5</v>
      </c>
      <c r="AH22">
        <v>0</v>
      </c>
      <c r="AI22">
        <v>1</v>
      </c>
      <c r="AJ22">
        <v>10.17</v>
      </c>
      <c r="AK22">
        <v>33.049999999999997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0.34</v>
      </c>
      <c r="AU22" t="s">
        <v>117</v>
      </c>
      <c r="AV22">
        <v>0</v>
      </c>
      <c r="AW22">
        <v>2</v>
      </c>
      <c r="AX22">
        <v>36165344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Y22*Source!I104</f>
        <v>0.10625000000000001</v>
      </c>
      <c r="CY22">
        <f>AB22</f>
        <v>848.48</v>
      </c>
      <c r="CZ22">
        <f>AF22</f>
        <v>83.43</v>
      </c>
      <c r="DA22">
        <f>AJ22</f>
        <v>10.17</v>
      </c>
      <c r="DB22">
        <f t="shared" si="2"/>
        <v>35.462499999999999</v>
      </c>
      <c r="DC22">
        <f t="shared" si="3"/>
        <v>5.7374999999999998</v>
      </c>
    </row>
    <row r="23" spans="1:107">
      <c r="A23">
        <f>ROW(Source!A104)</f>
        <v>104</v>
      </c>
      <c r="B23">
        <v>35822480</v>
      </c>
      <c r="C23">
        <v>35822874</v>
      </c>
      <c r="D23">
        <v>29172378</v>
      </c>
      <c r="E23">
        <v>1</v>
      </c>
      <c r="F23">
        <v>1</v>
      </c>
      <c r="G23">
        <v>1</v>
      </c>
      <c r="H23">
        <v>2</v>
      </c>
      <c r="I23" t="s">
        <v>333</v>
      </c>
      <c r="J23" t="s">
        <v>334</v>
      </c>
      <c r="K23" t="s">
        <v>335</v>
      </c>
      <c r="L23">
        <v>1368</v>
      </c>
      <c r="N23">
        <v>1011</v>
      </c>
      <c r="O23" t="s">
        <v>302</v>
      </c>
      <c r="P23" t="s">
        <v>302</v>
      </c>
      <c r="Q23">
        <v>1</v>
      </c>
      <c r="W23">
        <v>0</v>
      </c>
      <c r="X23">
        <v>912204425</v>
      </c>
      <c r="Y23">
        <v>0.16250000000000001</v>
      </c>
      <c r="AA23">
        <v>0</v>
      </c>
      <c r="AB23">
        <v>955.79</v>
      </c>
      <c r="AC23">
        <v>383.38</v>
      </c>
      <c r="AD23">
        <v>0</v>
      </c>
      <c r="AE23">
        <v>0</v>
      </c>
      <c r="AF23">
        <v>88.01</v>
      </c>
      <c r="AG23">
        <v>11.6</v>
      </c>
      <c r="AH23">
        <v>0</v>
      </c>
      <c r="AI23">
        <v>1</v>
      </c>
      <c r="AJ23">
        <v>10.86</v>
      </c>
      <c r="AK23">
        <v>33.049999999999997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0.13</v>
      </c>
      <c r="AU23" t="s">
        <v>117</v>
      </c>
      <c r="AV23">
        <v>0</v>
      </c>
      <c r="AW23">
        <v>2</v>
      </c>
      <c r="AX23">
        <v>36165345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Y23*Source!I104</f>
        <v>4.0625000000000001E-2</v>
      </c>
      <c r="CY23">
        <f>AB23</f>
        <v>955.79</v>
      </c>
      <c r="CZ23">
        <f>AF23</f>
        <v>88.01</v>
      </c>
      <c r="DA23">
        <f>AJ23</f>
        <v>10.86</v>
      </c>
      <c r="DB23">
        <f t="shared" si="2"/>
        <v>14.3</v>
      </c>
      <c r="DC23">
        <f t="shared" si="3"/>
        <v>1.8875</v>
      </c>
    </row>
    <row r="24" spans="1:107">
      <c r="A24">
        <f>ROW(Source!A104)</f>
        <v>104</v>
      </c>
      <c r="B24">
        <v>35822480</v>
      </c>
      <c r="C24">
        <v>35822874</v>
      </c>
      <c r="D24">
        <v>29173141</v>
      </c>
      <c r="E24">
        <v>1</v>
      </c>
      <c r="F24">
        <v>1</v>
      </c>
      <c r="G24">
        <v>1</v>
      </c>
      <c r="H24">
        <v>2</v>
      </c>
      <c r="I24" t="s">
        <v>336</v>
      </c>
      <c r="J24" t="s">
        <v>337</v>
      </c>
      <c r="K24" t="s">
        <v>338</v>
      </c>
      <c r="L24">
        <v>1368</v>
      </c>
      <c r="N24">
        <v>1011</v>
      </c>
      <c r="O24" t="s">
        <v>302</v>
      </c>
      <c r="P24" t="s">
        <v>302</v>
      </c>
      <c r="Q24">
        <v>1</v>
      </c>
      <c r="W24">
        <v>0</v>
      </c>
      <c r="X24">
        <v>1314032473</v>
      </c>
      <c r="Y24">
        <v>2.1124999999999998</v>
      </c>
      <c r="AA24">
        <v>0</v>
      </c>
      <c r="AB24">
        <v>364.68</v>
      </c>
      <c r="AC24">
        <v>332.48</v>
      </c>
      <c r="AD24">
        <v>0</v>
      </c>
      <c r="AE24">
        <v>0</v>
      </c>
      <c r="AF24">
        <v>12.4</v>
      </c>
      <c r="AG24">
        <v>10.06</v>
      </c>
      <c r="AH24">
        <v>0</v>
      </c>
      <c r="AI24">
        <v>1</v>
      </c>
      <c r="AJ24">
        <v>29.41</v>
      </c>
      <c r="AK24">
        <v>33.049999999999997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1.69</v>
      </c>
      <c r="AU24" t="s">
        <v>117</v>
      </c>
      <c r="AV24">
        <v>0</v>
      </c>
      <c r="AW24">
        <v>2</v>
      </c>
      <c r="AX24">
        <v>36165346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Y24*Source!I104</f>
        <v>0.52812499999999996</v>
      </c>
      <c r="CY24">
        <f>AB24</f>
        <v>364.68</v>
      </c>
      <c r="CZ24">
        <f>AF24</f>
        <v>12.4</v>
      </c>
      <c r="DA24">
        <f>AJ24</f>
        <v>29.41</v>
      </c>
      <c r="DB24">
        <f t="shared" si="2"/>
        <v>26.2</v>
      </c>
      <c r="DC24">
        <f t="shared" si="3"/>
        <v>21.25</v>
      </c>
    </row>
    <row r="25" spans="1:107">
      <c r="A25">
        <f>ROW(Source!A104)</f>
        <v>104</v>
      </c>
      <c r="B25">
        <v>35822480</v>
      </c>
      <c r="C25">
        <v>35822874</v>
      </c>
      <c r="D25">
        <v>29174638</v>
      </c>
      <c r="E25">
        <v>1</v>
      </c>
      <c r="F25">
        <v>1</v>
      </c>
      <c r="G25">
        <v>1</v>
      </c>
      <c r="H25">
        <v>2</v>
      </c>
      <c r="I25" t="s">
        <v>339</v>
      </c>
      <c r="J25" t="s">
        <v>340</v>
      </c>
      <c r="K25" t="s">
        <v>341</v>
      </c>
      <c r="L25">
        <v>1368</v>
      </c>
      <c r="N25">
        <v>1011</v>
      </c>
      <c r="O25" t="s">
        <v>302</v>
      </c>
      <c r="P25" t="s">
        <v>302</v>
      </c>
      <c r="Q25">
        <v>1</v>
      </c>
      <c r="W25">
        <v>0</v>
      </c>
      <c r="X25">
        <v>-2119287708</v>
      </c>
      <c r="Y25">
        <v>0.11249999999999999</v>
      </c>
      <c r="AA25">
        <v>0</v>
      </c>
      <c r="AB25">
        <v>17.45</v>
      </c>
      <c r="AC25">
        <v>0</v>
      </c>
      <c r="AD25">
        <v>0</v>
      </c>
      <c r="AE25">
        <v>0</v>
      </c>
      <c r="AF25">
        <v>9.9700000000000006</v>
      </c>
      <c r="AG25">
        <v>0</v>
      </c>
      <c r="AH25">
        <v>0</v>
      </c>
      <c r="AI25">
        <v>1</v>
      </c>
      <c r="AJ25">
        <v>1.75</v>
      </c>
      <c r="AK25">
        <v>33.049999999999997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0.09</v>
      </c>
      <c r="AU25" t="s">
        <v>117</v>
      </c>
      <c r="AV25">
        <v>0</v>
      </c>
      <c r="AW25">
        <v>2</v>
      </c>
      <c r="AX25">
        <v>36165347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Y25*Source!I104</f>
        <v>2.8124999999999997E-2</v>
      </c>
      <c r="CY25">
        <f>AB25</f>
        <v>17.45</v>
      </c>
      <c r="CZ25">
        <f>AF25</f>
        <v>9.9700000000000006</v>
      </c>
      <c r="DA25">
        <f>AJ25</f>
        <v>1.75</v>
      </c>
      <c r="DB25">
        <f t="shared" si="2"/>
        <v>1.125</v>
      </c>
      <c r="DC25">
        <f t="shared" si="3"/>
        <v>0</v>
      </c>
    </row>
    <row r="26" spans="1:107">
      <c r="A26">
        <f>ROW(Source!A104)</f>
        <v>104</v>
      </c>
      <c r="B26">
        <v>35822480</v>
      </c>
      <c r="C26">
        <v>35822874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342</v>
      </c>
      <c r="J26" t="s">
        <v>343</v>
      </c>
      <c r="K26" t="s">
        <v>344</v>
      </c>
      <c r="L26">
        <v>1368</v>
      </c>
      <c r="N26">
        <v>1011</v>
      </c>
      <c r="O26" t="s">
        <v>302</v>
      </c>
      <c r="P26" t="s">
        <v>302</v>
      </c>
      <c r="Q26">
        <v>1</v>
      </c>
      <c r="W26">
        <v>0</v>
      </c>
      <c r="X26">
        <v>458544584</v>
      </c>
      <c r="Y26">
        <v>0.16250000000000001</v>
      </c>
      <c r="AA26">
        <v>0</v>
      </c>
      <c r="AB26">
        <v>932.72</v>
      </c>
      <c r="AC26">
        <v>383.38</v>
      </c>
      <c r="AD26">
        <v>0</v>
      </c>
      <c r="AE26">
        <v>0</v>
      </c>
      <c r="AF26">
        <v>87.17</v>
      </c>
      <c r="AG26">
        <v>11.6</v>
      </c>
      <c r="AH26">
        <v>0</v>
      </c>
      <c r="AI26">
        <v>1</v>
      </c>
      <c r="AJ26">
        <v>10.7</v>
      </c>
      <c r="AK26">
        <v>33.049999999999997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0.13</v>
      </c>
      <c r="AU26" t="s">
        <v>117</v>
      </c>
      <c r="AV26">
        <v>0</v>
      </c>
      <c r="AW26">
        <v>2</v>
      </c>
      <c r="AX26">
        <v>36165348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Y26*Source!I104</f>
        <v>4.0625000000000001E-2</v>
      </c>
      <c r="CY26">
        <f>AB26</f>
        <v>932.72</v>
      </c>
      <c r="CZ26">
        <f>AF26</f>
        <v>87.17</v>
      </c>
      <c r="DA26">
        <f>AJ26</f>
        <v>10.7</v>
      </c>
      <c r="DB26">
        <f t="shared" si="2"/>
        <v>14.1625</v>
      </c>
      <c r="DC26">
        <f t="shared" si="3"/>
        <v>1.8875</v>
      </c>
    </row>
    <row r="27" spans="1:107">
      <c r="A27">
        <f>ROW(Source!A104)</f>
        <v>104</v>
      </c>
      <c r="B27">
        <v>35822480</v>
      </c>
      <c r="C27">
        <v>35822874</v>
      </c>
      <c r="D27">
        <v>29107863</v>
      </c>
      <c r="E27">
        <v>1</v>
      </c>
      <c r="F27">
        <v>1</v>
      </c>
      <c r="G27">
        <v>1</v>
      </c>
      <c r="H27">
        <v>3</v>
      </c>
      <c r="I27" t="s">
        <v>345</v>
      </c>
      <c r="J27" t="s">
        <v>346</v>
      </c>
      <c r="K27" t="s">
        <v>347</v>
      </c>
      <c r="L27">
        <v>1348</v>
      </c>
      <c r="N27">
        <v>1009</v>
      </c>
      <c r="O27" t="s">
        <v>28</v>
      </c>
      <c r="P27" t="s">
        <v>28</v>
      </c>
      <c r="Q27">
        <v>1000</v>
      </c>
      <c r="W27">
        <v>0</v>
      </c>
      <c r="X27">
        <v>362594991</v>
      </c>
      <c r="Y27">
        <v>2.1000000000000001E-2</v>
      </c>
      <c r="AA27">
        <v>38737.9</v>
      </c>
      <c r="AB27">
        <v>0</v>
      </c>
      <c r="AC27">
        <v>0</v>
      </c>
      <c r="AD27">
        <v>0</v>
      </c>
      <c r="AE27">
        <v>6532.53</v>
      </c>
      <c r="AF27">
        <v>0</v>
      </c>
      <c r="AG27">
        <v>0</v>
      </c>
      <c r="AH27">
        <v>0</v>
      </c>
      <c r="AI27">
        <v>5.93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2.1000000000000001E-2</v>
      </c>
      <c r="AU27" t="s">
        <v>3</v>
      </c>
      <c r="AV27">
        <v>0</v>
      </c>
      <c r="AW27">
        <v>2</v>
      </c>
      <c r="AX27">
        <v>36165349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Y27*Source!I104</f>
        <v>5.2500000000000003E-3</v>
      </c>
      <c r="CY27">
        <f>AA27</f>
        <v>38737.9</v>
      </c>
      <c r="CZ27">
        <f>AE27</f>
        <v>6532.53</v>
      </c>
      <c r="DA27">
        <f>AI27</f>
        <v>5.93</v>
      </c>
      <c r="DB27">
        <f>ROUND(ROUND(AT27*CZ27,2),6)</f>
        <v>137.18</v>
      </c>
      <c r="DC27">
        <f>ROUND(ROUND(AT27*AG27,2),6)</f>
        <v>0</v>
      </c>
    </row>
    <row r="28" spans="1:107">
      <c r="A28">
        <f>ROW(Source!A104)</f>
        <v>104</v>
      </c>
      <c r="B28">
        <v>35822480</v>
      </c>
      <c r="C28">
        <v>35822874</v>
      </c>
      <c r="D28">
        <v>29109437</v>
      </c>
      <c r="E28">
        <v>1</v>
      </c>
      <c r="F28">
        <v>1</v>
      </c>
      <c r="G28">
        <v>1</v>
      </c>
      <c r="H28">
        <v>3</v>
      </c>
      <c r="I28" t="s">
        <v>348</v>
      </c>
      <c r="J28" t="s">
        <v>349</v>
      </c>
      <c r="K28" t="s">
        <v>350</v>
      </c>
      <c r="L28">
        <v>1346</v>
      </c>
      <c r="N28">
        <v>1009</v>
      </c>
      <c r="O28" t="s">
        <v>188</v>
      </c>
      <c r="P28" t="s">
        <v>188</v>
      </c>
      <c r="Q28">
        <v>1</v>
      </c>
      <c r="W28">
        <v>0</v>
      </c>
      <c r="X28">
        <v>-1940067584</v>
      </c>
      <c r="Y28">
        <v>1200</v>
      </c>
      <c r="AA28">
        <v>15.98</v>
      </c>
      <c r="AB28">
        <v>0</v>
      </c>
      <c r="AC28">
        <v>0</v>
      </c>
      <c r="AD28">
        <v>0</v>
      </c>
      <c r="AE28">
        <v>3.86</v>
      </c>
      <c r="AF28">
        <v>0</v>
      </c>
      <c r="AG28">
        <v>0</v>
      </c>
      <c r="AH28">
        <v>0</v>
      </c>
      <c r="AI28">
        <v>4.1399999999999997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1200</v>
      </c>
      <c r="AU28" t="s">
        <v>3</v>
      </c>
      <c r="AV28">
        <v>0</v>
      </c>
      <c r="AW28">
        <v>2</v>
      </c>
      <c r="AX28">
        <v>36165350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Y28*Source!I104</f>
        <v>300</v>
      </c>
      <c r="CY28">
        <f>AA28</f>
        <v>15.98</v>
      </c>
      <c r="CZ28">
        <f>AE28</f>
        <v>3.86</v>
      </c>
      <c r="DA28">
        <f>AI28</f>
        <v>4.1399999999999997</v>
      </c>
      <c r="DB28">
        <f>ROUND(ROUND(AT28*CZ28,2),6)</f>
        <v>4632</v>
      </c>
      <c r="DC28">
        <f>ROUND(ROUND(AT28*AG28,2),6)</f>
        <v>0</v>
      </c>
    </row>
    <row r="29" spans="1:107">
      <c r="A29">
        <f>ROW(Source!A104)</f>
        <v>104</v>
      </c>
      <c r="B29">
        <v>35822480</v>
      </c>
      <c r="C29">
        <v>35822874</v>
      </c>
      <c r="D29">
        <v>29109878</v>
      </c>
      <c r="E29">
        <v>1</v>
      </c>
      <c r="F29">
        <v>1</v>
      </c>
      <c r="G29">
        <v>1</v>
      </c>
      <c r="H29">
        <v>3</v>
      </c>
      <c r="I29" t="s">
        <v>351</v>
      </c>
      <c r="J29" t="s">
        <v>352</v>
      </c>
      <c r="K29" t="s">
        <v>353</v>
      </c>
      <c r="L29">
        <v>1327</v>
      </c>
      <c r="N29">
        <v>1005</v>
      </c>
      <c r="O29" t="s">
        <v>354</v>
      </c>
      <c r="P29" t="s">
        <v>354</v>
      </c>
      <c r="Q29">
        <v>1</v>
      </c>
      <c r="W29">
        <v>0</v>
      </c>
      <c r="X29">
        <v>631478248</v>
      </c>
      <c r="Y29">
        <v>102</v>
      </c>
      <c r="AA29">
        <v>437.86</v>
      </c>
      <c r="AB29">
        <v>0</v>
      </c>
      <c r="AC29">
        <v>0</v>
      </c>
      <c r="AD29">
        <v>0</v>
      </c>
      <c r="AE29">
        <v>126.55</v>
      </c>
      <c r="AF29">
        <v>0</v>
      </c>
      <c r="AG29">
        <v>0</v>
      </c>
      <c r="AH29">
        <v>0</v>
      </c>
      <c r="AI29">
        <v>3.46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102</v>
      </c>
      <c r="AU29" t="s">
        <v>3</v>
      </c>
      <c r="AV29">
        <v>0</v>
      </c>
      <c r="AW29">
        <v>2</v>
      </c>
      <c r="AX29">
        <v>36165351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Y29*Source!I104</f>
        <v>25.5</v>
      </c>
      <c r="CY29">
        <f>AA29</f>
        <v>437.86</v>
      </c>
      <c r="CZ29">
        <f>AE29</f>
        <v>126.55</v>
      </c>
      <c r="DA29">
        <f>AI29</f>
        <v>3.46</v>
      </c>
      <c r="DB29">
        <f>ROUND(ROUND(AT29*CZ29,2),6)</f>
        <v>12908.1</v>
      </c>
      <c r="DC29">
        <f>ROUND(ROUND(AT29*AG29,2),6)</f>
        <v>0</v>
      </c>
    </row>
    <row r="30" spans="1:107">
      <c r="A30">
        <f>ROW(Source!A104)</f>
        <v>104</v>
      </c>
      <c r="B30">
        <v>35822480</v>
      </c>
      <c r="C30">
        <v>35822874</v>
      </c>
      <c r="D30">
        <v>29150040</v>
      </c>
      <c r="E30">
        <v>1</v>
      </c>
      <c r="F30">
        <v>1</v>
      </c>
      <c r="G30">
        <v>1</v>
      </c>
      <c r="H30">
        <v>3</v>
      </c>
      <c r="I30" t="s">
        <v>325</v>
      </c>
      <c r="J30" t="s">
        <v>326</v>
      </c>
      <c r="K30" t="s">
        <v>327</v>
      </c>
      <c r="L30">
        <v>1339</v>
      </c>
      <c r="N30">
        <v>1007</v>
      </c>
      <c r="O30" t="s">
        <v>311</v>
      </c>
      <c r="P30" t="s">
        <v>311</v>
      </c>
      <c r="Q30">
        <v>1</v>
      </c>
      <c r="W30">
        <v>0</v>
      </c>
      <c r="X30">
        <v>693153122</v>
      </c>
      <c r="Y30">
        <v>0.45</v>
      </c>
      <c r="AA30">
        <v>22.2</v>
      </c>
      <c r="AB30">
        <v>0</v>
      </c>
      <c r="AC30">
        <v>0</v>
      </c>
      <c r="AD30">
        <v>0</v>
      </c>
      <c r="AE30">
        <v>2.44</v>
      </c>
      <c r="AF30">
        <v>0</v>
      </c>
      <c r="AG30">
        <v>0</v>
      </c>
      <c r="AH30">
        <v>0</v>
      </c>
      <c r="AI30">
        <v>9.1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0.45</v>
      </c>
      <c r="AU30" t="s">
        <v>3</v>
      </c>
      <c r="AV30">
        <v>0</v>
      </c>
      <c r="AW30">
        <v>2</v>
      </c>
      <c r="AX30">
        <v>36165353</v>
      </c>
      <c r="AY30">
        <v>1</v>
      </c>
      <c r="AZ30">
        <v>0</v>
      </c>
      <c r="BA30">
        <v>31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Y30*Source!I104</f>
        <v>0.1125</v>
      </c>
      <c r="CY30">
        <f>AA30</f>
        <v>22.2</v>
      </c>
      <c r="CZ30">
        <f>AE30</f>
        <v>2.44</v>
      </c>
      <c r="DA30">
        <f>AI30</f>
        <v>9.1</v>
      </c>
      <c r="DB30">
        <f>ROUND(ROUND(AT30*CZ30,2),6)</f>
        <v>1.1000000000000001</v>
      </c>
      <c r="DC30">
        <f>ROUND(ROUND(AT30*AG30,2),6)</f>
        <v>0</v>
      </c>
    </row>
    <row r="31" spans="1:107">
      <c r="A31">
        <f>ROW(Source!A105)</f>
        <v>105</v>
      </c>
      <c r="B31">
        <v>35822480</v>
      </c>
      <c r="C31">
        <v>36165280</v>
      </c>
      <c r="D31">
        <v>31427453</v>
      </c>
      <c r="E31">
        <v>1</v>
      </c>
      <c r="F31">
        <v>1</v>
      </c>
      <c r="G31">
        <v>1</v>
      </c>
      <c r="H31">
        <v>1</v>
      </c>
      <c r="I31" t="s">
        <v>355</v>
      </c>
      <c r="J31" t="s">
        <v>3</v>
      </c>
      <c r="K31" t="s">
        <v>356</v>
      </c>
      <c r="L31">
        <v>1369</v>
      </c>
      <c r="N31">
        <v>1013</v>
      </c>
      <c r="O31" t="s">
        <v>295</v>
      </c>
      <c r="P31" t="s">
        <v>295</v>
      </c>
      <c r="Q31">
        <v>1</v>
      </c>
      <c r="W31">
        <v>0</v>
      </c>
      <c r="X31">
        <v>1499813984</v>
      </c>
      <c r="Y31">
        <v>88.124499999999983</v>
      </c>
      <c r="AA31">
        <v>0</v>
      </c>
      <c r="AB31">
        <v>0</v>
      </c>
      <c r="AC31">
        <v>0</v>
      </c>
      <c r="AD31">
        <v>285.36</v>
      </c>
      <c r="AE31">
        <v>0</v>
      </c>
      <c r="AF31">
        <v>0</v>
      </c>
      <c r="AG31">
        <v>0</v>
      </c>
      <c r="AH31">
        <v>285.36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76.63</v>
      </c>
      <c r="AU31" t="s">
        <v>118</v>
      </c>
      <c r="AV31">
        <v>1</v>
      </c>
      <c r="AW31">
        <v>2</v>
      </c>
      <c r="AX31">
        <v>36511567</v>
      </c>
      <c r="AY31">
        <v>1</v>
      </c>
      <c r="AZ31">
        <v>0</v>
      </c>
      <c r="BA31">
        <v>32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Y31*Source!I105</f>
        <v>22.031124999999996</v>
      </c>
      <c r="CY31">
        <f>AD31</f>
        <v>285.36</v>
      </c>
      <c r="CZ31">
        <f>AH31</f>
        <v>285.36</v>
      </c>
      <c r="DA31">
        <f>AL31</f>
        <v>1</v>
      </c>
      <c r="DB31">
        <f>ROUND((ROUND(AT31*CZ31,2)*1.15),6)</f>
        <v>25147.210999999999</v>
      </c>
      <c r="DC31">
        <f>ROUND((ROUND(AT31*AG31,2)*1.15),6)</f>
        <v>0</v>
      </c>
    </row>
    <row r="32" spans="1:107">
      <c r="A32">
        <f>ROW(Source!A105)</f>
        <v>105</v>
      </c>
      <c r="B32">
        <v>35822480</v>
      </c>
      <c r="C32">
        <v>36165280</v>
      </c>
      <c r="D32">
        <v>121548</v>
      </c>
      <c r="E32">
        <v>1</v>
      </c>
      <c r="F32">
        <v>1</v>
      </c>
      <c r="G32">
        <v>1</v>
      </c>
      <c r="H32">
        <v>1</v>
      </c>
      <c r="I32" t="s">
        <v>296</v>
      </c>
      <c r="J32" t="s">
        <v>3</v>
      </c>
      <c r="K32" t="s">
        <v>297</v>
      </c>
      <c r="L32">
        <v>608254</v>
      </c>
      <c r="N32">
        <v>1013</v>
      </c>
      <c r="O32" t="s">
        <v>298</v>
      </c>
      <c r="P32" t="s">
        <v>298</v>
      </c>
      <c r="Q32">
        <v>1</v>
      </c>
      <c r="W32">
        <v>0</v>
      </c>
      <c r="X32">
        <v>-185737400</v>
      </c>
      <c r="Y32">
        <v>4.22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4.22</v>
      </c>
      <c r="AU32" t="s">
        <v>3</v>
      </c>
      <c r="AV32">
        <v>2</v>
      </c>
      <c r="AW32">
        <v>2</v>
      </c>
      <c r="AX32">
        <v>36511568</v>
      </c>
      <c r="AY32">
        <v>1</v>
      </c>
      <c r="AZ32">
        <v>0</v>
      </c>
      <c r="BA32">
        <v>33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Y32*Source!I105</f>
        <v>1.0549999999999999</v>
      </c>
      <c r="CY32">
        <f>AD32</f>
        <v>0</v>
      </c>
      <c r="CZ32">
        <f>AH32</f>
        <v>0</v>
      </c>
      <c r="DA32">
        <f>AL32</f>
        <v>1</v>
      </c>
      <c r="DB32">
        <f t="shared" ref="DB32:DB42" si="4">ROUND(ROUND(AT32*CZ32,2),6)</f>
        <v>0</v>
      </c>
      <c r="DC32">
        <f t="shared" ref="DC32:DC42" si="5">ROUND(ROUND(AT32*AG32,2),6)</f>
        <v>0</v>
      </c>
    </row>
    <row r="33" spans="1:107">
      <c r="A33">
        <f>ROW(Source!A105)</f>
        <v>105</v>
      </c>
      <c r="B33">
        <v>35822480</v>
      </c>
      <c r="C33">
        <v>36165280</v>
      </c>
      <c r="D33">
        <v>35554709</v>
      </c>
      <c r="E33">
        <v>1</v>
      </c>
      <c r="F33">
        <v>1</v>
      </c>
      <c r="G33">
        <v>1</v>
      </c>
      <c r="H33">
        <v>2</v>
      </c>
      <c r="I33" t="s">
        <v>357</v>
      </c>
      <c r="J33" t="s">
        <v>358</v>
      </c>
      <c r="K33" t="s">
        <v>359</v>
      </c>
      <c r="L33">
        <v>1368</v>
      </c>
      <c r="N33">
        <v>1011</v>
      </c>
      <c r="O33" t="s">
        <v>302</v>
      </c>
      <c r="P33" t="s">
        <v>302</v>
      </c>
      <c r="Q33">
        <v>1</v>
      </c>
      <c r="W33">
        <v>0</v>
      </c>
      <c r="X33">
        <v>639682734</v>
      </c>
      <c r="Y33">
        <v>0.36</v>
      </c>
      <c r="AA33">
        <v>0</v>
      </c>
      <c r="AB33">
        <v>901.01</v>
      </c>
      <c r="AC33">
        <v>332.48</v>
      </c>
      <c r="AD33">
        <v>0</v>
      </c>
      <c r="AE33">
        <v>0</v>
      </c>
      <c r="AF33">
        <v>99.89</v>
      </c>
      <c r="AG33">
        <v>10.06</v>
      </c>
      <c r="AH33">
        <v>0</v>
      </c>
      <c r="AI33">
        <v>1</v>
      </c>
      <c r="AJ33">
        <v>9.02</v>
      </c>
      <c r="AK33">
        <v>33.049999999999997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0.36</v>
      </c>
      <c r="AU33" t="s">
        <v>3</v>
      </c>
      <c r="AV33">
        <v>0</v>
      </c>
      <c r="AW33">
        <v>2</v>
      </c>
      <c r="AX33">
        <v>36511569</v>
      </c>
      <c r="AY33">
        <v>1</v>
      </c>
      <c r="AZ33">
        <v>0</v>
      </c>
      <c r="BA33">
        <v>34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Y33*Source!I105</f>
        <v>0.09</v>
      </c>
      <c r="CY33">
        <f>AB33</f>
        <v>901.01</v>
      </c>
      <c r="CZ33">
        <f>AF33</f>
        <v>99.89</v>
      </c>
      <c r="DA33">
        <f>AJ33</f>
        <v>9.02</v>
      </c>
      <c r="DB33">
        <f t="shared" si="4"/>
        <v>35.96</v>
      </c>
      <c r="DC33">
        <f t="shared" si="5"/>
        <v>3.62</v>
      </c>
    </row>
    <row r="34" spans="1:107">
      <c r="A34">
        <f>ROW(Source!A105)</f>
        <v>105</v>
      </c>
      <c r="B34">
        <v>35822480</v>
      </c>
      <c r="C34">
        <v>36165280</v>
      </c>
      <c r="D34">
        <v>35554736</v>
      </c>
      <c r="E34">
        <v>1</v>
      </c>
      <c r="F34">
        <v>1</v>
      </c>
      <c r="G34">
        <v>1</v>
      </c>
      <c r="H34">
        <v>2</v>
      </c>
      <c r="I34" t="s">
        <v>360</v>
      </c>
      <c r="J34" t="s">
        <v>361</v>
      </c>
      <c r="K34" t="s">
        <v>362</v>
      </c>
      <c r="L34">
        <v>1368</v>
      </c>
      <c r="N34">
        <v>1011</v>
      </c>
      <c r="O34" t="s">
        <v>302</v>
      </c>
      <c r="P34" t="s">
        <v>302</v>
      </c>
      <c r="Q34">
        <v>1</v>
      </c>
      <c r="W34">
        <v>0</v>
      </c>
      <c r="X34">
        <v>217933004</v>
      </c>
      <c r="Y34">
        <v>2.2999999999999998</v>
      </c>
      <c r="AA34">
        <v>0</v>
      </c>
      <c r="AB34">
        <v>436.01</v>
      </c>
      <c r="AC34">
        <v>383.38</v>
      </c>
      <c r="AD34">
        <v>0</v>
      </c>
      <c r="AE34">
        <v>0</v>
      </c>
      <c r="AF34">
        <v>29.46</v>
      </c>
      <c r="AG34">
        <v>11.6</v>
      </c>
      <c r="AH34">
        <v>0</v>
      </c>
      <c r="AI34">
        <v>1</v>
      </c>
      <c r="AJ34">
        <v>14.8</v>
      </c>
      <c r="AK34">
        <v>33.049999999999997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2.2999999999999998</v>
      </c>
      <c r="AU34" t="s">
        <v>3</v>
      </c>
      <c r="AV34">
        <v>0</v>
      </c>
      <c r="AW34">
        <v>2</v>
      </c>
      <c r="AX34">
        <v>36511570</v>
      </c>
      <c r="AY34">
        <v>1</v>
      </c>
      <c r="AZ34">
        <v>0</v>
      </c>
      <c r="BA34">
        <v>35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Y34*Source!I105</f>
        <v>0.57499999999999996</v>
      </c>
      <c r="CY34">
        <f>AB34</f>
        <v>436.01</v>
      </c>
      <c r="CZ34">
        <f>AF34</f>
        <v>29.46</v>
      </c>
      <c r="DA34">
        <f>AJ34</f>
        <v>14.8</v>
      </c>
      <c r="DB34">
        <f t="shared" si="4"/>
        <v>67.760000000000005</v>
      </c>
      <c r="DC34">
        <f t="shared" si="5"/>
        <v>26.68</v>
      </c>
    </row>
    <row r="35" spans="1:107">
      <c r="A35">
        <f>ROW(Source!A105)</f>
        <v>105</v>
      </c>
      <c r="B35">
        <v>35822480</v>
      </c>
      <c r="C35">
        <v>36165280</v>
      </c>
      <c r="D35">
        <v>35554830</v>
      </c>
      <c r="E35">
        <v>1</v>
      </c>
      <c r="F35">
        <v>1</v>
      </c>
      <c r="G35">
        <v>1</v>
      </c>
      <c r="H35">
        <v>2</v>
      </c>
      <c r="I35" t="s">
        <v>336</v>
      </c>
      <c r="J35" t="s">
        <v>363</v>
      </c>
      <c r="K35" t="s">
        <v>338</v>
      </c>
      <c r="L35">
        <v>1368</v>
      </c>
      <c r="N35">
        <v>1011</v>
      </c>
      <c r="O35" t="s">
        <v>302</v>
      </c>
      <c r="P35" t="s">
        <v>302</v>
      </c>
      <c r="Q35">
        <v>1</v>
      </c>
      <c r="W35">
        <v>0</v>
      </c>
      <c r="X35">
        <v>490312154</v>
      </c>
      <c r="Y35">
        <v>1.56</v>
      </c>
      <c r="AA35">
        <v>0</v>
      </c>
      <c r="AB35">
        <v>364.68</v>
      </c>
      <c r="AC35">
        <v>332.48</v>
      </c>
      <c r="AD35">
        <v>0</v>
      </c>
      <c r="AE35">
        <v>0</v>
      </c>
      <c r="AF35">
        <v>12.4</v>
      </c>
      <c r="AG35">
        <v>10.06</v>
      </c>
      <c r="AH35">
        <v>0</v>
      </c>
      <c r="AI35">
        <v>1</v>
      </c>
      <c r="AJ35">
        <v>29.41</v>
      </c>
      <c r="AK35">
        <v>33.049999999999997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1.56</v>
      </c>
      <c r="AU35" t="s">
        <v>3</v>
      </c>
      <c r="AV35">
        <v>0</v>
      </c>
      <c r="AW35">
        <v>2</v>
      </c>
      <c r="AX35">
        <v>36511571</v>
      </c>
      <c r="AY35">
        <v>1</v>
      </c>
      <c r="AZ35">
        <v>0</v>
      </c>
      <c r="BA35">
        <v>36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Y35*Source!I105</f>
        <v>0.39</v>
      </c>
      <c r="CY35">
        <f>AB35</f>
        <v>364.68</v>
      </c>
      <c r="CZ35">
        <f>AF35</f>
        <v>12.4</v>
      </c>
      <c r="DA35">
        <f>AJ35</f>
        <v>29.41</v>
      </c>
      <c r="DB35">
        <f t="shared" si="4"/>
        <v>19.34</v>
      </c>
      <c r="DC35">
        <f t="shared" si="5"/>
        <v>15.69</v>
      </c>
    </row>
    <row r="36" spans="1:107">
      <c r="A36">
        <f>ROW(Source!A105)</f>
        <v>105</v>
      </c>
      <c r="B36">
        <v>35822480</v>
      </c>
      <c r="C36">
        <v>36165280</v>
      </c>
      <c r="D36">
        <v>35555043</v>
      </c>
      <c r="E36">
        <v>1</v>
      </c>
      <c r="F36">
        <v>1</v>
      </c>
      <c r="G36">
        <v>1</v>
      </c>
      <c r="H36">
        <v>2</v>
      </c>
      <c r="I36" t="s">
        <v>339</v>
      </c>
      <c r="J36" t="s">
        <v>364</v>
      </c>
      <c r="K36" t="s">
        <v>341</v>
      </c>
      <c r="L36">
        <v>1368</v>
      </c>
      <c r="N36">
        <v>1011</v>
      </c>
      <c r="O36" t="s">
        <v>302</v>
      </c>
      <c r="P36" t="s">
        <v>302</v>
      </c>
      <c r="Q36">
        <v>1</v>
      </c>
      <c r="W36">
        <v>0</v>
      </c>
      <c r="X36">
        <v>1736493163</v>
      </c>
      <c r="Y36">
        <v>0.05</v>
      </c>
      <c r="AA36">
        <v>0</v>
      </c>
      <c r="AB36">
        <v>17.45</v>
      </c>
      <c r="AC36">
        <v>0</v>
      </c>
      <c r="AD36">
        <v>0</v>
      </c>
      <c r="AE36">
        <v>0</v>
      </c>
      <c r="AF36">
        <v>9.9700000000000006</v>
      </c>
      <c r="AG36">
        <v>0</v>
      </c>
      <c r="AH36">
        <v>0</v>
      </c>
      <c r="AI36">
        <v>1</v>
      </c>
      <c r="AJ36">
        <v>1.75</v>
      </c>
      <c r="AK36">
        <v>33.049999999999997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0.05</v>
      </c>
      <c r="AU36" t="s">
        <v>3</v>
      </c>
      <c r="AV36">
        <v>0</v>
      </c>
      <c r="AW36">
        <v>2</v>
      </c>
      <c r="AX36">
        <v>36511572</v>
      </c>
      <c r="AY36">
        <v>1</v>
      </c>
      <c r="AZ36">
        <v>0</v>
      </c>
      <c r="BA36">
        <v>37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Y36*Source!I105</f>
        <v>1.2500000000000001E-2</v>
      </c>
      <c r="CY36">
        <f>AB36</f>
        <v>17.45</v>
      </c>
      <c r="CZ36">
        <f>AF36</f>
        <v>9.9700000000000006</v>
      </c>
      <c r="DA36">
        <f>AJ36</f>
        <v>1.75</v>
      </c>
      <c r="DB36">
        <f t="shared" si="4"/>
        <v>0.5</v>
      </c>
      <c r="DC36">
        <f t="shared" si="5"/>
        <v>0</v>
      </c>
    </row>
    <row r="37" spans="1:107">
      <c r="A37">
        <f>ROW(Source!A105)</f>
        <v>105</v>
      </c>
      <c r="B37">
        <v>35822480</v>
      </c>
      <c r="C37">
        <v>36165280</v>
      </c>
      <c r="D37">
        <v>35555088</v>
      </c>
      <c r="E37">
        <v>1</v>
      </c>
      <c r="F37">
        <v>1</v>
      </c>
      <c r="G37">
        <v>1</v>
      </c>
      <c r="H37">
        <v>2</v>
      </c>
      <c r="I37" t="s">
        <v>342</v>
      </c>
      <c r="J37" t="s">
        <v>365</v>
      </c>
      <c r="K37" t="s">
        <v>344</v>
      </c>
      <c r="L37">
        <v>1368</v>
      </c>
      <c r="N37">
        <v>1011</v>
      </c>
      <c r="O37" t="s">
        <v>302</v>
      </c>
      <c r="P37" t="s">
        <v>302</v>
      </c>
      <c r="Q37">
        <v>1</v>
      </c>
      <c r="W37">
        <v>0</v>
      </c>
      <c r="X37">
        <v>586434904</v>
      </c>
      <c r="Y37">
        <v>0.28000000000000003</v>
      </c>
      <c r="AA37">
        <v>0</v>
      </c>
      <c r="AB37">
        <v>932.72</v>
      </c>
      <c r="AC37">
        <v>383.38</v>
      </c>
      <c r="AD37">
        <v>0</v>
      </c>
      <c r="AE37">
        <v>0</v>
      </c>
      <c r="AF37">
        <v>87.17</v>
      </c>
      <c r="AG37">
        <v>11.6</v>
      </c>
      <c r="AH37">
        <v>0</v>
      </c>
      <c r="AI37">
        <v>1</v>
      </c>
      <c r="AJ37">
        <v>10.7</v>
      </c>
      <c r="AK37">
        <v>33.049999999999997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0.28000000000000003</v>
      </c>
      <c r="AU37" t="s">
        <v>3</v>
      </c>
      <c r="AV37">
        <v>0</v>
      </c>
      <c r="AW37">
        <v>2</v>
      </c>
      <c r="AX37">
        <v>36511573</v>
      </c>
      <c r="AY37">
        <v>1</v>
      </c>
      <c r="AZ37">
        <v>0</v>
      </c>
      <c r="BA37">
        <v>38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Y37*Source!I105</f>
        <v>7.0000000000000007E-2</v>
      </c>
      <c r="CY37">
        <f>AB37</f>
        <v>932.72</v>
      </c>
      <c r="CZ37">
        <f>AF37</f>
        <v>87.17</v>
      </c>
      <c r="DA37">
        <f>AJ37</f>
        <v>10.7</v>
      </c>
      <c r="DB37">
        <f t="shared" si="4"/>
        <v>24.41</v>
      </c>
      <c r="DC37">
        <f t="shared" si="5"/>
        <v>3.25</v>
      </c>
    </row>
    <row r="38" spans="1:107">
      <c r="A38">
        <f>ROW(Source!A105)</f>
        <v>105</v>
      </c>
      <c r="B38">
        <v>35822480</v>
      </c>
      <c r="C38">
        <v>36165280</v>
      </c>
      <c r="D38">
        <v>35552759</v>
      </c>
      <c r="E38">
        <v>1</v>
      </c>
      <c r="F38">
        <v>1</v>
      </c>
      <c r="G38">
        <v>1</v>
      </c>
      <c r="H38">
        <v>3</v>
      </c>
      <c r="I38" t="s">
        <v>366</v>
      </c>
      <c r="J38" t="s">
        <v>367</v>
      </c>
      <c r="K38" t="s">
        <v>368</v>
      </c>
      <c r="L38">
        <v>1346</v>
      </c>
      <c r="N38">
        <v>1009</v>
      </c>
      <c r="O38" t="s">
        <v>188</v>
      </c>
      <c r="P38" t="s">
        <v>188</v>
      </c>
      <c r="Q38">
        <v>1</v>
      </c>
      <c r="W38">
        <v>0</v>
      </c>
      <c r="X38">
        <v>1303768260</v>
      </c>
      <c r="Y38">
        <v>0.5</v>
      </c>
      <c r="AA38">
        <v>46.61</v>
      </c>
      <c r="AB38">
        <v>0</v>
      </c>
      <c r="AC38">
        <v>0</v>
      </c>
      <c r="AD38">
        <v>0</v>
      </c>
      <c r="AE38">
        <v>1.81</v>
      </c>
      <c r="AF38">
        <v>0</v>
      </c>
      <c r="AG38">
        <v>0</v>
      </c>
      <c r="AH38">
        <v>0</v>
      </c>
      <c r="AI38">
        <v>25.75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0.5</v>
      </c>
      <c r="AU38" t="s">
        <v>3</v>
      </c>
      <c r="AV38">
        <v>0</v>
      </c>
      <c r="AW38">
        <v>2</v>
      </c>
      <c r="AX38">
        <v>36511574</v>
      </c>
      <c r="AY38">
        <v>1</v>
      </c>
      <c r="AZ38">
        <v>0</v>
      </c>
      <c r="BA38">
        <v>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Y38*Source!I105</f>
        <v>0.125</v>
      </c>
      <c r="CY38">
        <f>AA38</f>
        <v>46.61</v>
      </c>
      <c r="CZ38">
        <f>AE38</f>
        <v>1.81</v>
      </c>
      <c r="DA38">
        <f>AI38</f>
        <v>25.75</v>
      </c>
      <c r="DB38">
        <f t="shared" si="4"/>
        <v>0.91</v>
      </c>
      <c r="DC38">
        <f t="shared" si="5"/>
        <v>0</v>
      </c>
    </row>
    <row r="39" spans="1:107">
      <c r="A39">
        <f>ROW(Source!A105)</f>
        <v>105</v>
      </c>
      <c r="B39">
        <v>35822480</v>
      </c>
      <c r="C39">
        <v>36165280</v>
      </c>
      <c r="D39">
        <v>35552810</v>
      </c>
      <c r="E39">
        <v>1</v>
      </c>
      <c r="F39">
        <v>1</v>
      </c>
      <c r="G39">
        <v>1</v>
      </c>
      <c r="H39">
        <v>3</v>
      </c>
      <c r="I39" t="s">
        <v>345</v>
      </c>
      <c r="J39" t="s">
        <v>369</v>
      </c>
      <c r="K39" t="s">
        <v>347</v>
      </c>
      <c r="L39">
        <v>1348</v>
      </c>
      <c r="N39">
        <v>1009</v>
      </c>
      <c r="O39" t="s">
        <v>28</v>
      </c>
      <c r="P39" t="s">
        <v>28</v>
      </c>
      <c r="Q39">
        <v>1000</v>
      </c>
      <c r="W39">
        <v>0</v>
      </c>
      <c r="X39">
        <v>688809200</v>
      </c>
      <c r="Y39">
        <v>0.05</v>
      </c>
      <c r="AA39">
        <v>38737.9</v>
      </c>
      <c r="AB39">
        <v>0</v>
      </c>
      <c r="AC39">
        <v>0</v>
      </c>
      <c r="AD39">
        <v>0</v>
      </c>
      <c r="AE39">
        <v>6532.53</v>
      </c>
      <c r="AF39">
        <v>0</v>
      </c>
      <c r="AG39">
        <v>0</v>
      </c>
      <c r="AH39">
        <v>0</v>
      </c>
      <c r="AI39">
        <v>5.93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0.05</v>
      </c>
      <c r="AU39" t="s">
        <v>3</v>
      </c>
      <c r="AV39">
        <v>0</v>
      </c>
      <c r="AW39">
        <v>2</v>
      </c>
      <c r="AX39">
        <v>36511575</v>
      </c>
      <c r="AY39">
        <v>1</v>
      </c>
      <c r="AZ39">
        <v>0</v>
      </c>
      <c r="BA39">
        <v>40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Y39*Source!I105</f>
        <v>1.2500000000000001E-2</v>
      </c>
      <c r="CY39">
        <f>AA39</f>
        <v>38737.9</v>
      </c>
      <c r="CZ39">
        <f>AE39</f>
        <v>6532.53</v>
      </c>
      <c r="DA39">
        <f>AI39</f>
        <v>5.93</v>
      </c>
      <c r="DB39">
        <f t="shared" si="4"/>
        <v>326.63</v>
      </c>
      <c r="DC39">
        <f t="shared" si="5"/>
        <v>0</v>
      </c>
    </row>
    <row r="40" spans="1:107">
      <c r="A40">
        <f>ROW(Source!A105)</f>
        <v>105</v>
      </c>
      <c r="B40">
        <v>35822480</v>
      </c>
      <c r="C40">
        <v>36165280</v>
      </c>
      <c r="D40">
        <v>35552960</v>
      </c>
      <c r="E40">
        <v>1</v>
      </c>
      <c r="F40">
        <v>1</v>
      </c>
      <c r="G40">
        <v>1</v>
      </c>
      <c r="H40">
        <v>3</v>
      </c>
      <c r="I40" t="s">
        <v>348</v>
      </c>
      <c r="J40" t="s">
        <v>370</v>
      </c>
      <c r="K40" t="s">
        <v>350</v>
      </c>
      <c r="L40">
        <v>1346</v>
      </c>
      <c r="N40">
        <v>1009</v>
      </c>
      <c r="O40" t="s">
        <v>188</v>
      </c>
      <c r="P40" t="s">
        <v>188</v>
      </c>
      <c r="Q40">
        <v>1</v>
      </c>
      <c r="W40">
        <v>0</v>
      </c>
      <c r="X40">
        <v>1499488095</v>
      </c>
      <c r="Y40">
        <v>430</v>
      </c>
      <c r="AA40">
        <v>15.98</v>
      </c>
      <c r="AB40">
        <v>0</v>
      </c>
      <c r="AC40">
        <v>0</v>
      </c>
      <c r="AD40">
        <v>0</v>
      </c>
      <c r="AE40">
        <v>3.86</v>
      </c>
      <c r="AF40">
        <v>0</v>
      </c>
      <c r="AG40">
        <v>0</v>
      </c>
      <c r="AH40">
        <v>0</v>
      </c>
      <c r="AI40">
        <v>4.1399999999999997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430</v>
      </c>
      <c r="AU40" t="s">
        <v>3</v>
      </c>
      <c r="AV40">
        <v>0</v>
      </c>
      <c r="AW40">
        <v>2</v>
      </c>
      <c r="AX40">
        <v>36511576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Y40*Source!I105</f>
        <v>107.5</v>
      </c>
      <c r="CY40">
        <f>AA40</f>
        <v>15.98</v>
      </c>
      <c r="CZ40">
        <f>AE40</f>
        <v>3.86</v>
      </c>
      <c r="DA40">
        <f>AI40</f>
        <v>4.1399999999999997</v>
      </c>
      <c r="DB40">
        <f t="shared" si="4"/>
        <v>1659.8</v>
      </c>
      <c r="DC40">
        <f t="shared" si="5"/>
        <v>0</v>
      </c>
    </row>
    <row r="41" spans="1:107">
      <c r="A41">
        <f>ROW(Source!A105)</f>
        <v>105</v>
      </c>
      <c r="B41">
        <v>35822480</v>
      </c>
      <c r="C41">
        <v>36165280</v>
      </c>
      <c r="D41">
        <v>35552967</v>
      </c>
      <c r="E41">
        <v>1</v>
      </c>
      <c r="F41">
        <v>1</v>
      </c>
      <c r="G41">
        <v>1</v>
      </c>
      <c r="H41">
        <v>3</v>
      </c>
      <c r="I41" t="s">
        <v>371</v>
      </c>
      <c r="J41" t="s">
        <v>372</v>
      </c>
      <c r="K41" t="s">
        <v>373</v>
      </c>
      <c r="L41">
        <v>1327</v>
      </c>
      <c r="N41">
        <v>1005</v>
      </c>
      <c r="O41" t="s">
        <v>354</v>
      </c>
      <c r="P41" t="s">
        <v>354</v>
      </c>
      <c r="Q41">
        <v>1</v>
      </c>
      <c r="W41">
        <v>0</v>
      </c>
      <c r="X41">
        <v>1903771897</v>
      </c>
      <c r="Y41">
        <v>102</v>
      </c>
      <c r="AA41">
        <v>321.83</v>
      </c>
      <c r="AB41">
        <v>0</v>
      </c>
      <c r="AC41">
        <v>0</v>
      </c>
      <c r="AD41">
        <v>0</v>
      </c>
      <c r="AE41">
        <v>69.209999999999994</v>
      </c>
      <c r="AF41">
        <v>0</v>
      </c>
      <c r="AG41">
        <v>0</v>
      </c>
      <c r="AH41">
        <v>0</v>
      </c>
      <c r="AI41">
        <v>4.6500000000000004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102</v>
      </c>
      <c r="AU41" t="s">
        <v>3</v>
      </c>
      <c r="AV41">
        <v>0</v>
      </c>
      <c r="AW41">
        <v>2</v>
      </c>
      <c r="AX41">
        <v>36511577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Y41*Source!I105</f>
        <v>25.5</v>
      </c>
      <c r="CY41">
        <f>AA41</f>
        <v>321.83</v>
      </c>
      <c r="CZ41">
        <f>AE41</f>
        <v>69.209999999999994</v>
      </c>
      <c r="DA41">
        <f>AI41</f>
        <v>4.6500000000000004</v>
      </c>
      <c r="DB41">
        <f t="shared" si="4"/>
        <v>7059.42</v>
      </c>
      <c r="DC41">
        <f t="shared" si="5"/>
        <v>0</v>
      </c>
    </row>
    <row r="42" spans="1:107">
      <c r="A42">
        <f>ROW(Source!A105)</f>
        <v>105</v>
      </c>
      <c r="B42">
        <v>35822480</v>
      </c>
      <c r="C42">
        <v>36165280</v>
      </c>
      <c r="D42">
        <v>35554227</v>
      </c>
      <c r="E42">
        <v>1</v>
      </c>
      <c r="F42">
        <v>1</v>
      </c>
      <c r="G42">
        <v>1</v>
      </c>
      <c r="H42">
        <v>3</v>
      </c>
      <c r="I42" t="s">
        <v>325</v>
      </c>
      <c r="J42" t="s">
        <v>374</v>
      </c>
      <c r="K42" t="s">
        <v>327</v>
      </c>
      <c r="L42">
        <v>1339</v>
      </c>
      <c r="N42">
        <v>1007</v>
      </c>
      <c r="O42" t="s">
        <v>311</v>
      </c>
      <c r="P42" t="s">
        <v>311</v>
      </c>
      <c r="Q42">
        <v>1</v>
      </c>
      <c r="W42">
        <v>0</v>
      </c>
      <c r="X42">
        <v>1003927546</v>
      </c>
      <c r="Y42">
        <v>3.5</v>
      </c>
      <c r="AA42">
        <v>22.2</v>
      </c>
      <c r="AB42">
        <v>0</v>
      </c>
      <c r="AC42">
        <v>0</v>
      </c>
      <c r="AD42">
        <v>0</v>
      </c>
      <c r="AE42">
        <v>2.44</v>
      </c>
      <c r="AF42">
        <v>0</v>
      </c>
      <c r="AG42">
        <v>0</v>
      </c>
      <c r="AH42">
        <v>0</v>
      </c>
      <c r="AI42">
        <v>9.1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3.5</v>
      </c>
      <c r="AU42" t="s">
        <v>3</v>
      </c>
      <c r="AV42">
        <v>0</v>
      </c>
      <c r="AW42">
        <v>2</v>
      </c>
      <c r="AX42">
        <v>36511578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Y42*Source!I105</f>
        <v>0.875</v>
      </c>
      <c r="CY42">
        <f>AA42</f>
        <v>22.2</v>
      </c>
      <c r="CZ42">
        <f>AE42</f>
        <v>2.44</v>
      </c>
      <c r="DA42">
        <f>AI42</f>
        <v>9.1</v>
      </c>
      <c r="DB42">
        <f t="shared" si="4"/>
        <v>8.5399999999999991</v>
      </c>
      <c r="DC42">
        <f t="shared" si="5"/>
        <v>0</v>
      </c>
    </row>
    <row r="43" spans="1:107">
      <c r="A43">
        <f>ROW(Source!A106)</f>
        <v>106</v>
      </c>
      <c r="B43">
        <v>35822480</v>
      </c>
      <c r="C43">
        <v>35823169</v>
      </c>
      <c r="D43">
        <v>18406785</v>
      </c>
      <c r="E43">
        <v>1</v>
      </c>
      <c r="F43">
        <v>1</v>
      </c>
      <c r="G43">
        <v>1</v>
      </c>
      <c r="H43">
        <v>1</v>
      </c>
      <c r="I43" t="s">
        <v>375</v>
      </c>
      <c r="J43" t="s">
        <v>3</v>
      </c>
      <c r="K43" t="s">
        <v>376</v>
      </c>
      <c r="L43">
        <v>1369</v>
      </c>
      <c r="N43">
        <v>1013</v>
      </c>
      <c r="O43" t="s">
        <v>295</v>
      </c>
      <c r="P43" t="s">
        <v>295</v>
      </c>
      <c r="Q43">
        <v>1</v>
      </c>
      <c r="W43">
        <v>0</v>
      </c>
      <c r="X43">
        <v>645971194</v>
      </c>
      <c r="Y43">
        <v>33.097000000000001</v>
      </c>
      <c r="AA43">
        <v>0</v>
      </c>
      <c r="AB43">
        <v>0</v>
      </c>
      <c r="AC43">
        <v>0</v>
      </c>
      <c r="AD43">
        <v>289.27999999999997</v>
      </c>
      <c r="AE43">
        <v>0</v>
      </c>
      <c r="AF43">
        <v>0</v>
      </c>
      <c r="AG43">
        <v>0</v>
      </c>
      <c r="AH43">
        <v>289.27999999999997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28.78</v>
      </c>
      <c r="AU43" t="s">
        <v>118</v>
      </c>
      <c r="AV43">
        <v>1</v>
      </c>
      <c r="AW43">
        <v>2</v>
      </c>
      <c r="AX43">
        <v>35823341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Y43*Source!I106</f>
        <v>3.6406700000000001</v>
      </c>
      <c r="CY43">
        <f>AD43</f>
        <v>289.27999999999997</v>
      </c>
      <c r="CZ43">
        <f>AH43</f>
        <v>289.27999999999997</v>
      </c>
      <c r="DA43">
        <f>AL43</f>
        <v>1</v>
      </c>
      <c r="DB43">
        <f>ROUND((ROUND(AT43*CZ43,2)*1.15),6)</f>
        <v>9574.3019999999997</v>
      </c>
      <c r="DC43">
        <f>ROUND((ROUND(AT43*AG43,2)*1.15),6)</f>
        <v>0</v>
      </c>
    </row>
    <row r="44" spans="1:107">
      <c r="A44">
        <f>ROW(Source!A106)</f>
        <v>106</v>
      </c>
      <c r="B44">
        <v>35822480</v>
      </c>
      <c r="C44">
        <v>35823169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296</v>
      </c>
      <c r="J44" t="s">
        <v>3</v>
      </c>
      <c r="K44" t="s">
        <v>297</v>
      </c>
      <c r="L44">
        <v>608254</v>
      </c>
      <c r="N44">
        <v>1013</v>
      </c>
      <c r="O44" t="s">
        <v>298</v>
      </c>
      <c r="P44" t="s">
        <v>298</v>
      </c>
      <c r="Q44">
        <v>1</v>
      </c>
      <c r="W44">
        <v>0</v>
      </c>
      <c r="X44">
        <v>-185737400</v>
      </c>
      <c r="Y44">
        <v>0.58749999999999991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0.47</v>
      </c>
      <c r="AU44" t="s">
        <v>117</v>
      </c>
      <c r="AV44">
        <v>2</v>
      </c>
      <c r="AW44">
        <v>2</v>
      </c>
      <c r="AX44">
        <v>35823342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Y44*Source!I106</f>
        <v>6.4624999999999988E-2</v>
      </c>
      <c r="CY44">
        <f>AD44</f>
        <v>0</v>
      </c>
      <c r="CZ44">
        <f>AH44</f>
        <v>0</v>
      </c>
      <c r="DA44">
        <f>AL44</f>
        <v>1</v>
      </c>
      <c r="DB44">
        <f>ROUND((ROUND(AT44*CZ44,2)*1.25),6)</f>
        <v>0</v>
      </c>
      <c r="DC44">
        <f>ROUND((ROUND(AT44*AG44,2)*1.25),6)</f>
        <v>0</v>
      </c>
    </row>
    <row r="45" spans="1:107">
      <c r="A45">
        <f>ROW(Source!A106)</f>
        <v>106</v>
      </c>
      <c r="B45">
        <v>35822480</v>
      </c>
      <c r="C45">
        <v>35823169</v>
      </c>
      <c r="D45">
        <v>29172379</v>
      </c>
      <c r="E45">
        <v>1</v>
      </c>
      <c r="F45">
        <v>1</v>
      </c>
      <c r="G45">
        <v>1</v>
      </c>
      <c r="H45">
        <v>2</v>
      </c>
      <c r="I45" t="s">
        <v>377</v>
      </c>
      <c r="J45" t="s">
        <v>378</v>
      </c>
      <c r="K45" t="s">
        <v>379</v>
      </c>
      <c r="L45">
        <v>1368</v>
      </c>
      <c r="N45">
        <v>1011</v>
      </c>
      <c r="O45" t="s">
        <v>302</v>
      </c>
      <c r="P45" t="s">
        <v>302</v>
      </c>
      <c r="Q45">
        <v>1</v>
      </c>
      <c r="W45">
        <v>0</v>
      </c>
      <c r="X45">
        <v>-151619853</v>
      </c>
      <c r="Y45">
        <v>0.58749999999999991</v>
      </c>
      <c r="AA45">
        <v>0</v>
      </c>
      <c r="AB45">
        <v>1102.08</v>
      </c>
      <c r="AC45">
        <v>446.18</v>
      </c>
      <c r="AD45">
        <v>0</v>
      </c>
      <c r="AE45">
        <v>0</v>
      </c>
      <c r="AF45">
        <v>112</v>
      </c>
      <c r="AG45">
        <v>13.5</v>
      </c>
      <c r="AH45">
        <v>0</v>
      </c>
      <c r="AI45">
        <v>1</v>
      </c>
      <c r="AJ45">
        <v>9.84</v>
      </c>
      <c r="AK45">
        <v>33.049999999999997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0.47</v>
      </c>
      <c r="AU45" t="s">
        <v>117</v>
      </c>
      <c r="AV45">
        <v>0</v>
      </c>
      <c r="AW45">
        <v>2</v>
      </c>
      <c r="AX45">
        <v>35823343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Y45*Source!I106</f>
        <v>6.4624999999999988E-2</v>
      </c>
      <c r="CY45">
        <f>AB45</f>
        <v>1102.08</v>
      </c>
      <c r="CZ45">
        <f>AF45</f>
        <v>112</v>
      </c>
      <c r="DA45">
        <f>AJ45</f>
        <v>9.84</v>
      </c>
      <c r="DB45">
        <f>ROUND((ROUND(AT45*CZ45,2)*1.25),6)</f>
        <v>65.8</v>
      </c>
      <c r="DC45">
        <f>ROUND((ROUND(AT45*AG45,2)*1.25),6)</f>
        <v>7.9375</v>
      </c>
    </row>
    <row r="46" spans="1:107">
      <c r="A46">
        <f>ROW(Source!A106)</f>
        <v>106</v>
      </c>
      <c r="B46">
        <v>35822480</v>
      </c>
      <c r="C46">
        <v>35823169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342</v>
      </c>
      <c r="J46" t="s">
        <v>343</v>
      </c>
      <c r="K46" t="s">
        <v>344</v>
      </c>
      <c r="L46">
        <v>1368</v>
      </c>
      <c r="N46">
        <v>1011</v>
      </c>
      <c r="O46" t="s">
        <v>302</v>
      </c>
      <c r="P46" t="s">
        <v>302</v>
      </c>
      <c r="Q46">
        <v>1</v>
      </c>
      <c r="W46">
        <v>0</v>
      </c>
      <c r="X46">
        <v>458544584</v>
      </c>
      <c r="Y46">
        <v>0.875</v>
      </c>
      <c r="AA46">
        <v>0</v>
      </c>
      <c r="AB46">
        <v>932.72</v>
      </c>
      <c r="AC46">
        <v>383.38</v>
      </c>
      <c r="AD46">
        <v>0</v>
      </c>
      <c r="AE46">
        <v>0</v>
      </c>
      <c r="AF46">
        <v>87.17</v>
      </c>
      <c r="AG46">
        <v>11.6</v>
      </c>
      <c r="AH46">
        <v>0</v>
      </c>
      <c r="AI46">
        <v>1</v>
      </c>
      <c r="AJ46">
        <v>10.7</v>
      </c>
      <c r="AK46">
        <v>33.049999999999997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0.7</v>
      </c>
      <c r="AU46" t="s">
        <v>117</v>
      </c>
      <c r="AV46">
        <v>0</v>
      </c>
      <c r="AW46">
        <v>2</v>
      </c>
      <c r="AX46">
        <v>35823344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Y46*Source!I106</f>
        <v>9.6250000000000002E-2</v>
      </c>
      <c r="CY46">
        <f>AB46</f>
        <v>932.72</v>
      </c>
      <c r="CZ46">
        <f>AF46</f>
        <v>87.17</v>
      </c>
      <c r="DA46">
        <f>AJ46</f>
        <v>10.7</v>
      </c>
      <c r="DB46">
        <f>ROUND((ROUND(AT46*CZ46,2)*1.25),6)</f>
        <v>76.275000000000006</v>
      </c>
      <c r="DC46">
        <f>ROUND((ROUND(AT46*AG46,2)*1.25),6)</f>
        <v>10.15</v>
      </c>
    </row>
    <row r="47" spans="1:107">
      <c r="A47">
        <f>ROW(Source!A106)</f>
        <v>106</v>
      </c>
      <c r="B47">
        <v>35822480</v>
      </c>
      <c r="C47">
        <v>35823169</v>
      </c>
      <c r="D47">
        <v>29114332</v>
      </c>
      <c r="E47">
        <v>1</v>
      </c>
      <c r="F47">
        <v>1</v>
      </c>
      <c r="G47">
        <v>1</v>
      </c>
      <c r="H47">
        <v>3</v>
      </c>
      <c r="I47" t="s">
        <v>380</v>
      </c>
      <c r="J47" t="s">
        <v>381</v>
      </c>
      <c r="K47" t="s">
        <v>382</v>
      </c>
      <c r="L47">
        <v>1348</v>
      </c>
      <c r="N47">
        <v>1009</v>
      </c>
      <c r="O47" t="s">
        <v>28</v>
      </c>
      <c r="P47" t="s">
        <v>28</v>
      </c>
      <c r="Q47">
        <v>1000</v>
      </c>
      <c r="W47">
        <v>0</v>
      </c>
      <c r="X47">
        <v>233971917</v>
      </c>
      <c r="Y47">
        <v>7.62E-3</v>
      </c>
      <c r="AA47">
        <v>54619.68</v>
      </c>
      <c r="AB47">
        <v>0</v>
      </c>
      <c r="AC47">
        <v>0</v>
      </c>
      <c r="AD47">
        <v>0</v>
      </c>
      <c r="AE47">
        <v>11978</v>
      </c>
      <c r="AF47">
        <v>0</v>
      </c>
      <c r="AG47">
        <v>0</v>
      </c>
      <c r="AH47">
        <v>0</v>
      </c>
      <c r="AI47">
        <v>4.5599999999999996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7.62E-3</v>
      </c>
      <c r="AU47" t="s">
        <v>3</v>
      </c>
      <c r="AV47">
        <v>0</v>
      </c>
      <c r="AW47">
        <v>2</v>
      </c>
      <c r="AX47">
        <v>35823345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Y47*Source!I106</f>
        <v>8.3819999999999999E-4</v>
      </c>
      <c r="CY47">
        <f>AA47</f>
        <v>54619.68</v>
      </c>
      <c r="CZ47">
        <f>AE47</f>
        <v>11978</v>
      </c>
      <c r="DA47">
        <f>AI47</f>
        <v>4.5599999999999996</v>
      </c>
      <c r="DB47">
        <f>ROUND(ROUND(AT47*CZ47,2),6)</f>
        <v>91.27</v>
      </c>
      <c r="DC47">
        <f>ROUND(ROUND(AT47*AG47,2),6)</f>
        <v>0</v>
      </c>
    </row>
    <row r="48" spans="1:107">
      <c r="A48">
        <f>ROW(Source!A108)</f>
        <v>108</v>
      </c>
      <c r="B48">
        <v>35822480</v>
      </c>
      <c r="C48">
        <v>35823275</v>
      </c>
      <c r="D48">
        <v>29364679</v>
      </c>
      <c r="E48">
        <v>1</v>
      </c>
      <c r="F48">
        <v>1</v>
      </c>
      <c r="G48">
        <v>1</v>
      </c>
      <c r="H48">
        <v>1</v>
      </c>
      <c r="I48" t="s">
        <v>383</v>
      </c>
      <c r="J48" t="s">
        <v>3</v>
      </c>
      <c r="K48" t="s">
        <v>384</v>
      </c>
      <c r="L48">
        <v>1369</v>
      </c>
      <c r="N48">
        <v>1013</v>
      </c>
      <c r="O48" t="s">
        <v>295</v>
      </c>
      <c r="P48" t="s">
        <v>295</v>
      </c>
      <c r="Q48">
        <v>1</v>
      </c>
      <c r="W48">
        <v>0</v>
      </c>
      <c r="X48">
        <v>931378261</v>
      </c>
      <c r="Y48">
        <v>81.23599999999999</v>
      </c>
      <c r="AA48">
        <v>0</v>
      </c>
      <c r="AB48">
        <v>0</v>
      </c>
      <c r="AC48">
        <v>0</v>
      </c>
      <c r="AD48">
        <v>323.88</v>
      </c>
      <c r="AE48">
        <v>0</v>
      </c>
      <c r="AF48">
        <v>0</v>
      </c>
      <c r="AG48">
        <v>0</v>
      </c>
      <c r="AH48">
        <v>323.88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70.64</v>
      </c>
      <c r="AU48" t="s">
        <v>118</v>
      </c>
      <c r="AV48">
        <v>1</v>
      </c>
      <c r="AW48">
        <v>2</v>
      </c>
      <c r="AX48">
        <v>35823276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Y48*Source!I108</f>
        <v>9.7483199999999979</v>
      </c>
      <c r="CY48">
        <f>AD48</f>
        <v>323.88</v>
      </c>
      <c r="CZ48">
        <f>AH48</f>
        <v>323.88</v>
      </c>
      <c r="DA48">
        <f>AL48</f>
        <v>1</v>
      </c>
      <c r="DB48">
        <f>ROUND((ROUND(AT48*CZ48,2)*1.15),6)</f>
        <v>26310.712</v>
      </c>
      <c r="DC48">
        <f>ROUND((ROUND(AT48*AG48,2)*1.15),6)</f>
        <v>0</v>
      </c>
    </row>
    <row r="49" spans="1:107">
      <c r="A49">
        <f>ROW(Source!A108)</f>
        <v>108</v>
      </c>
      <c r="B49">
        <v>35822480</v>
      </c>
      <c r="C49">
        <v>35823275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296</v>
      </c>
      <c r="J49" t="s">
        <v>3</v>
      </c>
      <c r="K49" t="s">
        <v>297</v>
      </c>
      <c r="L49">
        <v>608254</v>
      </c>
      <c r="N49">
        <v>1013</v>
      </c>
      <c r="O49" t="s">
        <v>298</v>
      </c>
      <c r="P49" t="s">
        <v>298</v>
      </c>
      <c r="Q49">
        <v>1</v>
      </c>
      <c r="W49">
        <v>0</v>
      </c>
      <c r="X49">
        <v>-185737400</v>
      </c>
      <c r="Y49">
        <v>0.88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0.88</v>
      </c>
      <c r="AU49" t="s">
        <v>3</v>
      </c>
      <c r="AV49">
        <v>2</v>
      </c>
      <c r="AW49">
        <v>2</v>
      </c>
      <c r="AX49">
        <v>35823277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Y49*Source!I108</f>
        <v>0.1056</v>
      </c>
      <c r="CY49">
        <f>AD49</f>
        <v>0</v>
      </c>
      <c r="CZ49">
        <f>AH49</f>
        <v>0</v>
      </c>
      <c r="DA49">
        <f>AL49</f>
        <v>1</v>
      </c>
      <c r="DB49">
        <f t="shared" ref="DB49:DB57" si="6">ROUND(ROUND(AT49*CZ49,2),6)</f>
        <v>0</v>
      </c>
      <c r="DC49">
        <f t="shared" ref="DC49:DC57" si="7">ROUND(ROUND(AT49*AG49,2),6)</f>
        <v>0</v>
      </c>
    </row>
    <row r="50" spans="1:107">
      <c r="A50">
        <f>ROW(Source!A108)</f>
        <v>108</v>
      </c>
      <c r="B50">
        <v>35822480</v>
      </c>
      <c r="C50">
        <v>35823275</v>
      </c>
      <c r="D50">
        <v>29172362</v>
      </c>
      <c r="E50">
        <v>1</v>
      </c>
      <c r="F50">
        <v>1</v>
      </c>
      <c r="G50">
        <v>1</v>
      </c>
      <c r="H50">
        <v>2</v>
      </c>
      <c r="I50" t="s">
        <v>385</v>
      </c>
      <c r="J50" t="s">
        <v>386</v>
      </c>
      <c r="K50" t="s">
        <v>387</v>
      </c>
      <c r="L50">
        <v>1368</v>
      </c>
      <c r="N50">
        <v>1011</v>
      </c>
      <c r="O50" t="s">
        <v>302</v>
      </c>
      <c r="P50" t="s">
        <v>302</v>
      </c>
      <c r="Q50">
        <v>1</v>
      </c>
      <c r="W50">
        <v>0</v>
      </c>
      <c r="X50">
        <v>2071614860</v>
      </c>
      <c r="Y50">
        <v>0.88</v>
      </c>
      <c r="AA50">
        <v>0</v>
      </c>
      <c r="AB50">
        <v>1113.56</v>
      </c>
      <c r="AC50">
        <v>446.18</v>
      </c>
      <c r="AD50">
        <v>0</v>
      </c>
      <c r="AE50">
        <v>0</v>
      </c>
      <c r="AF50">
        <v>134.65</v>
      </c>
      <c r="AG50">
        <v>13.5</v>
      </c>
      <c r="AH50">
        <v>0</v>
      </c>
      <c r="AI50">
        <v>1</v>
      </c>
      <c r="AJ50">
        <v>8.27</v>
      </c>
      <c r="AK50">
        <v>33.049999999999997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0.88</v>
      </c>
      <c r="AU50" t="s">
        <v>3</v>
      </c>
      <c r="AV50">
        <v>0</v>
      </c>
      <c r="AW50">
        <v>2</v>
      </c>
      <c r="AX50">
        <v>35823278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Y50*Source!I108</f>
        <v>0.1056</v>
      </c>
      <c r="CY50">
        <f>AB50</f>
        <v>1113.56</v>
      </c>
      <c r="CZ50">
        <f>AF50</f>
        <v>134.65</v>
      </c>
      <c r="DA50">
        <f>AJ50</f>
        <v>8.27</v>
      </c>
      <c r="DB50">
        <f t="shared" si="6"/>
        <v>118.49</v>
      </c>
      <c r="DC50">
        <f t="shared" si="7"/>
        <v>11.88</v>
      </c>
    </row>
    <row r="51" spans="1:107">
      <c r="A51">
        <f>ROW(Source!A108)</f>
        <v>108</v>
      </c>
      <c r="B51">
        <v>35822480</v>
      </c>
      <c r="C51">
        <v>35823275</v>
      </c>
      <c r="D51">
        <v>29174500</v>
      </c>
      <c r="E51">
        <v>1</v>
      </c>
      <c r="F51">
        <v>1</v>
      </c>
      <c r="G51">
        <v>1</v>
      </c>
      <c r="H51">
        <v>2</v>
      </c>
      <c r="I51" t="s">
        <v>388</v>
      </c>
      <c r="J51" t="s">
        <v>389</v>
      </c>
      <c r="K51" t="s">
        <v>390</v>
      </c>
      <c r="L51">
        <v>1368</v>
      </c>
      <c r="N51">
        <v>1011</v>
      </c>
      <c r="O51" t="s">
        <v>302</v>
      </c>
      <c r="P51" t="s">
        <v>302</v>
      </c>
      <c r="Q51">
        <v>1</v>
      </c>
      <c r="W51">
        <v>0</v>
      </c>
      <c r="X51">
        <v>-239831557</v>
      </c>
      <c r="Y51">
        <v>16.38</v>
      </c>
      <c r="AA51">
        <v>0</v>
      </c>
      <c r="AB51">
        <v>7.33</v>
      </c>
      <c r="AC51">
        <v>0</v>
      </c>
      <c r="AD51">
        <v>0</v>
      </c>
      <c r="AE51">
        <v>0</v>
      </c>
      <c r="AF51">
        <v>1.95</v>
      </c>
      <c r="AG51">
        <v>0</v>
      </c>
      <c r="AH51">
        <v>0</v>
      </c>
      <c r="AI51">
        <v>1</v>
      </c>
      <c r="AJ51">
        <v>3.76</v>
      </c>
      <c r="AK51">
        <v>33.049999999999997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16.38</v>
      </c>
      <c r="AU51" t="s">
        <v>3</v>
      </c>
      <c r="AV51">
        <v>0</v>
      </c>
      <c r="AW51">
        <v>2</v>
      </c>
      <c r="AX51">
        <v>35823279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Y51*Source!I108</f>
        <v>1.9655999999999998</v>
      </c>
      <c r="CY51">
        <f>AB51</f>
        <v>7.33</v>
      </c>
      <c r="CZ51">
        <f>AF51</f>
        <v>1.95</v>
      </c>
      <c r="DA51">
        <f>AJ51</f>
        <v>3.76</v>
      </c>
      <c r="DB51">
        <f t="shared" si="6"/>
        <v>31.94</v>
      </c>
      <c r="DC51">
        <f t="shared" si="7"/>
        <v>0</v>
      </c>
    </row>
    <row r="52" spans="1:107">
      <c r="A52">
        <f>ROW(Source!A108)</f>
        <v>108</v>
      </c>
      <c r="B52">
        <v>35822480</v>
      </c>
      <c r="C52">
        <v>35823275</v>
      </c>
      <c r="D52">
        <v>29174913</v>
      </c>
      <c r="E52">
        <v>1</v>
      </c>
      <c r="F52">
        <v>1</v>
      </c>
      <c r="G52">
        <v>1</v>
      </c>
      <c r="H52">
        <v>2</v>
      </c>
      <c r="I52" t="s">
        <v>342</v>
      </c>
      <c r="J52" t="s">
        <v>343</v>
      </c>
      <c r="K52" t="s">
        <v>344</v>
      </c>
      <c r="L52">
        <v>1368</v>
      </c>
      <c r="N52">
        <v>1011</v>
      </c>
      <c r="O52" t="s">
        <v>302</v>
      </c>
      <c r="P52" t="s">
        <v>302</v>
      </c>
      <c r="Q52">
        <v>1</v>
      </c>
      <c r="W52">
        <v>0</v>
      </c>
      <c r="X52">
        <v>458544584</v>
      </c>
      <c r="Y52">
        <v>0.87</v>
      </c>
      <c r="AA52">
        <v>0</v>
      </c>
      <c r="AB52">
        <v>932.72</v>
      </c>
      <c r="AC52">
        <v>383.38</v>
      </c>
      <c r="AD52">
        <v>0</v>
      </c>
      <c r="AE52">
        <v>0</v>
      </c>
      <c r="AF52">
        <v>87.17</v>
      </c>
      <c r="AG52">
        <v>11.6</v>
      </c>
      <c r="AH52">
        <v>0</v>
      </c>
      <c r="AI52">
        <v>1</v>
      </c>
      <c r="AJ52">
        <v>10.7</v>
      </c>
      <c r="AK52">
        <v>33.049999999999997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0.87</v>
      </c>
      <c r="AU52" t="s">
        <v>3</v>
      </c>
      <c r="AV52">
        <v>0</v>
      </c>
      <c r="AW52">
        <v>2</v>
      </c>
      <c r="AX52">
        <v>35823280</v>
      </c>
      <c r="AY52">
        <v>1</v>
      </c>
      <c r="AZ52">
        <v>0</v>
      </c>
      <c r="BA52">
        <v>53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Y52*Source!I108</f>
        <v>0.10439999999999999</v>
      </c>
      <c r="CY52">
        <f>AB52</f>
        <v>932.72</v>
      </c>
      <c r="CZ52">
        <f>AF52</f>
        <v>87.17</v>
      </c>
      <c r="DA52">
        <f>AJ52</f>
        <v>10.7</v>
      </c>
      <c r="DB52">
        <f t="shared" si="6"/>
        <v>75.84</v>
      </c>
      <c r="DC52">
        <f t="shared" si="7"/>
        <v>10.09</v>
      </c>
    </row>
    <row r="53" spans="1:107">
      <c r="A53">
        <f>ROW(Source!A108)</f>
        <v>108</v>
      </c>
      <c r="B53">
        <v>35822480</v>
      </c>
      <c r="C53">
        <v>35823275</v>
      </c>
      <c r="D53">
        <v>29114269</v>
      </c>
      <c r="E53">
        <v>1</v>
      </c>
      <c r="F53">
        <v>1</v>
      </c>
      <c r="G53">
        <v>1</v>
      </c>
      <c r="H53">
        <v>3</v>
      </c>
      <c r="I53" t="s">
        <v>391</v>
      </c>
      <c r="J53" t="s">
        <v>392</v>
      </c>
      <c r="K53" t="s">
        <v>393</v>
      </c>
      <c r="L53">
        <v>1348</v>
      </c>
      <c r="N53">
        <v>1009</v>
      </c>
      <c r="O53" t="s">
        <v>28</v>
      </c>
      <c r="P53" t="s">
        <v>28</v>
      </c>
      <c r="Q53">
        <v>1000</v>
      </c>
      <c r="W53">
        <v>0</v>
      </c>
      <c r="X53">
        <v>2140487653</v>
      </c>
      <c r="Y53">
        <v>3.0599999999999998E-3</v>
      </c>
      <c r="AA53">
        <v>113610.11</v>
      </c>
      <c r="AB53">
        <v>0</v>
      </c>
      <c r="AC53">
        <v>0</v>
      </c>
      <c r="AD53">
        <v>0</v>
      </c>
      <c r="AE53">
        <v>12429.99</v>
      </c>
      <c r="AF53">
        <v>0</v>
      </c>
      <c r="AG53">
        <v>0</v>
      </c>
      <c r="AH53">
        <v>0</v>
      </c>
      <c r="AI53">
        <v>9.14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3.0599999999999998E-3</v>
      </c>
      <c r="AU53" t="s">
        <v>3</v>
      </c>
      <c r="AV53">
        <v>0</v>
      </c>
      <c r="AW53">
        <v>2</v>
      </c>
      <c r="AX53">
        <v>35823281</v>
      </c>
      <c r="AY53">
        <v>1</v>
      </c>
      <c r="AZ53">
        <v>0</v>
      </c>
      <c r="BA53">
        <v>54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Y53*Source!I108</f>
        <v>3.6719999999999998E-4</v>
      </c>
      <c r="CY53">
        <f>AA53</f>
        <v>113610.11</v>
      </c>
      <c r="CZ53">
        <f>AE53</f>
        <v>12429.99</v>
      </c>
      <c r="DA53">
        <f>AI53</f>
        <v>9.14</v>
      </c>
      <c r="DB53">
        <f t="shared" si="6"/>
        <v>38.04</v>
      </c>
      <c r="DC53">
        <f t="shared" si="7"/>
        <v>0</v>
      </c>
    </row>
    <row r="54" spans="1:107">
      <c r="A54">
        <f>ROW(Source!A108)</f>
        <v>108</v>
      </c>
      <c r="B54">
        <v>35822480</v>
      </c>
      <c r="C54">
        <v>35823275</v>
      </c>
      <c r="D54">
        <v>29110838</v>
      </c>
      <c r="E54">
        <v>1</v>
      </c>
      <c r="F54">
        <v>1</v>
      </c>
      <c r="G54">
        <v>1</v>
      </c>
      <c r="H54">
        <v>3</v>
      </c>
      <c r="I54" t="s">
        <v>394</v>
      </c>
      <c r="J54" t="s">
        <v>395</v>
      </c>
      <c r="K54" t="s">
        <v>396</v>
      </c>
      <c r="L54">
        <v>1346</v>
      </c>
      <c r="N54">
        <v>1009</v>
      </c>
      <c r="O54" t="s">
        <v>188</v>
      </c>
      <c r="P54" t="s">
        <v>188</v>
      </c>
      <c r="Q54">
        <v>1</v>
      </c>
      <c r="W54">
        <v>0</v>
      </c>
      <c r="X54">
        <v>-667794164</v>
      </c>
      <c r="Y54">
        <v>0.31</v>
      </c>
      <c r="AA54">
        <v>100.04</v>
      </c>
      <c r="AB54">
        <v>0</v>
      </c>
      <c r="AC54">
        <v>0</v>
      </c>
      <c r="AD54">
        <v>0</v>
      </c>
      <c r="AE54">
        <v>30.5</v>
      </c>
      <c r="AF54">
        <v>0</v>
      </c>
      <c r="AG54">
        <v>0</v>
      </c>
      <c r="AH54">
        <v>0</v>
      </c>
      <c r="AI54">
        <v>3.28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0.31</v>
      </c>
      <c r="AU54" t="s">
        <v>3</v>
      </c>
      <c r="AV54">
        <v>0</v>
      </c>
      <c r="AW54">
        <v>2</v>
      </c>
      <c r="AX54">
        <v>35823282</v>
      </c>
      <c r="AY54">
        <v>1</v>
      </c>
      <c r="AZ54">
        <v>0</v>
      </c>
      <c r="BA54">
        <v>55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Y54*Source!I108</f>
        <v>3.7199999999999997E-2</v>
      </c>
      <c r="CY54">
        <f>AA54</f>
        <v>100.04</v>
      </c>
      <c r="CZ54">
        <f>AE54</f>
        <v>30.5</v>
      </c>
      <c r="DA54">
        <f>AI54</f>
        <v>3.28</v>
      </c>
      <c r="DB54">
        <f t="shared" si="6"/>
        <v>9.4600000000000009</v>
      </c>
      <c r="DC54">
        <f t="shared" si="7"/>
        <v>0</v>
      </c>
    </row>
    <row r="55" spans="1:107">
      <c r="A55">
        <f>ROW(Source!A108)</f>
        <v>108</v>
      </c>
      <c r="B55">
        <v>35822480</v>
      </c>
      <c r="C55">
        <v>35823275</v>
      </c>
      <c r="D55">
        <v>29114470</v>
      </c>
      <c r="E55">
        <v>1</v>
      </c>
      <c r="F55">
        <v>1</v>
      </c>
      <c r="G55">
        <v>1</v>
      </c>
      <c r="H55">
        <v>3</v>
      </c>
      <c r="I55" t="s">
        <v>397</v>
      </c>
      <c r="J55" t="s">
        <v>398</v>
      </c>
      <c r="K55" t="s">
        <v>399</v>
      </c>
      <c r="L55">
        <v>1355</v>
      </c>
      <c r="N55">
        <v>1010</v>
      </c>
      <c r="O55" t="s">
        <v>41</v>
      </c>
      <c r="P55" t="s">
        <v>41</v>
      </c>
      <c r="Q55">
        <v>100</v>
      </c>
      <c r="W55">
        <v>0</v>
      </c>
      <c r="X55">
        <v>-228248654</v>
      </c>
      <c r="Y55">
        <v>4.08</v>
      </c>
      <c r="AA55">
        <v>55.19</v>
      </c>
      <c r="AB55">
        <v>0</v>
      </c>
      <c r="AC55">
        <v>0</v>
      </c>
      <c r="AD55">
        <v>0</v>
      </c>
      <c r="AE55">
        <v>86.24</v>
      </c>
      <c r="AF55">
        <v>0</v>
      </c>
      <c r="AG55">
        <v>0</v>
      </c>
      <c r="AH55">
        <v>0</v>
      </c>
      <c r="AI55">
        <v>0.64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4.08</v>
      </c>
      <c r="AU55" t="s">
        <v>3</v>
      </c>
      <c r="AV55">
        <v>0</v>
      </c>
      <c r="AW55">
        <v>2</v>
      </c>
      <c r="AX55">
        <v>35823283</v>
      </c>
      <c r="AY55">
        <v>1</v>
      </c>
      <c r="AZ55">
        <v>0</v>
      </c>
      <c r="BA55">
        <v>56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Y55*Source!I108</f>
        <v>0.48959999999999998</v>
      </c>
      <c r="CY55">
        <f>AA55</f>
        <v>55.19</v>
      </c>
      <c r="CZ55">
        <f>AE55</f>
        <v>86.24</v>
      </c>
      <c r="DA55">
        <f>AI55</f>
        <v>0.64</v>
      </c>
      <c r="DB55">
        <f t="shared" si="6"/>
        <v>351.86</v>
      </c>
      <c r="DC55">
        <f t="shared" si="7"/>
        <v>0</v>
      </c>
    </row>
    <row r="56" spans="1:107">
      <c r="A56">
        <f>ROW(Source!A108)</f>
        <v>108</v>
      </c>
      <c r="B56">
        <v>35822480</v>
      </c>
      <c r="C56">
        <v>35823275</v>
      </c>
      <c r="D56">
        <v>29164111</v>
      </c>
      <c r="E56">
        <v>1</v>
      </c>
      <c r="F56">
        <v>1</v>
      </c>
      <c r="G56">
        <v>1</v>
      </c>
      <c r="H56">
        <v>3</v>
      </c>
      <c r="I56" t="s">
        <v>400</v>
      </c>
      <c r="J56" t="s">
        <v>401</v>
      </c>
      <c r="K56" t="s">
        <v>402</v>
      </c>
      <c r="L56">
        <v>1355</v>
      </c>
      <c r="N56">
        <v>1010</v>
      </c>
      <c r="O56" t="s">
        <v>41</v>
      </c>
      <c r="P56" t="s">
        <v>41</v>
      </c>
      <c r="Q56">
        <v>100</v>
      </c>
      <c r="W56">
        <v>0</v>
      </c>
      <c r="X56">
        <v>-1689080274</v>
      </c>
      <c r="Y56">
        <v>1.02</v>
      </c>
      <c r="AA56">
        <v>783</v>
      </c>
      <c r="AB56">
        <v>0</v>
      </c>
      <c r="AC56">
        <v>0</v>
      </c>
      <c r="AD56">
        <v>0</v>
      </c>
      <c r="AE56">
        <v>100</v>
      </c>
      <c r="AF56">
        <v>0</v>
      </c>
      <c r="AG56">
        <v>0</v>
      </c>
      <c r="AH56">
        <v>0</v>
      </c>
      <c r="AI56">
        <v>7.83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1.02</v>
      </c>
      <c r="AU56" t="s">
        <v>3</v>
      </c>
      <c r="AV56">
        <v>0</v>
      </c>
      <c r="AW56">
        <v>2</v>
      </c>
      <c r="AX56">
        <v>35823284</v>
      </c>
      <c r="AY56">
        <v>1</v>
      </c>
      <c r="AZ56">
        <v>0</v>
      </c>
      <c r="BA56">
        <v>57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Y56*Source!I108</f>
        <v>0.12239999999999999</v>
      </c>
      <c r="CY56">
        <f>AA56</f>
        <v>783</v>
      </c>
      <c r="CZ56">
        <f>AE56</f>
        <v>100</v>
      </c>
      <c r="DA56">
        <f>AI56</f>
        <v>7.83</v>
      </c>
      <c r="DB56">
        <f t="shared" si="6"/>
        <v>102</v>
      </c>
      <c r="DC56">
        <f t="shared" si="7"/>
        <v>0</v>
      </c>
    </row>
    <row r="57" spans="1:107">
      <c r="A57">
        <f>ROW(Source!A108)</f>
        <v>108</v>
      </c>
      <c r="B57">
        <v>35822480</v>
      </c>
      <c r="C57">
        <v>35823275</v>
      </c>
      <c r="D57">
        <v>29171808</v>
      </c>
      <c r="E57">
        <v>1</v>
      </c>
      <c r="F57">
        <v>1</v>
      </c>
      <c r="G57">
        <v>1</v>
      </c>
      <c r="H57">
        <v>3</v>
      </c>
      <c r="I57" t="s">
        <v>403</v>
      </c>
      <c r="J57" t="s">
        <v>404</v>
      </c>
      <c r="K57" t="s">
        <v>405</v>
      </c>
      <c r="L57">
        <v>1374</v>
      </c>
      <c r="N57">
        <v>1013</v>
      </c>
      <c r="O57" t="s">
        <v>406</v>
      </c>
      <c r="P57" t="s">
        <v>406</v>
      </c>
      <c r="Q57">
        <v>1</v>
      </c>
      <c r="W57">
        <v>0</v>
      </c>
      <c r="X57">
        <v>-915781824</v>
      </c>
      <c r="Y57">
        <v>14.01</v>
      </c>
      <c r="AA57">
        <v>1</v>
      </c>
      <c r="AB57">
        <v>0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14.01</v>
      </c>
      <c r="AU57" t="s">
        <v>3</v>
      </c>
      <c r="AV57">
        <v>0</v>
      </c>
      <c r="AW57">
        <v>2</v>
      </c>
      <c r="AX57">
        <v>35823285</v>
      </c>
      <c r="AY57">
        <v>1</v>
      </c>
      <c r="AZ57">
        <v>0</v>
      </c>
      <c r="BA57">
        <v>58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Y57*Source!I108</f>
        <v>1.6811999999999998</v>
      </c>
      <c r="CY57">
        <f>AA57</f>
        <v>1</v>
      </c>
      <c r="CZ57">
        <f>AE57</f>
        <v>1</v>
      </c>
      <c r="DA57">
        <f>AI57</f>
        <v>1</v>
      </c>
      <c r="DB57">
        <f t="shared" si="6"/>
        <v>14.01</v>
      </c>
      <c r="DC57">
        <f t="shared" si="7"/>
        <v>0</v>
      </c>
    </row>
    <row r="58" spans="1:107">
      <c r="A58">
        <f>ROW(Source!A109)</f>
        <v>109</v>
      </c>
      <c r="B58">
        <v>35822480</v>
      </c>
      <c r="C58">
        <v>35822905</v>
      </c>
      <c r="D58">
        <v>18410280</v>
      </c>
      <c r="E58">
        <v>1</v>
      </c>
      <c r="F58">
        <v>1</v>
      </c>
      <c r="G58">
        <v>1</v>
      </c>
      <c r="H58">
        <v>1</v>
      </c>
      <c r="I58" t="s">
        <v>407</v>
      </c>
      <c r="J58" t="s">
        <v>3</v>
      </c>
      <c r="K58" t="s">
        <v>408</v>
      </c>
      <c r="L58">
        <v>1369</v>
      </c>
      <c r="N58">
        <v>1013</v>
      </c>
      <c r="O58" t="s">
        <v>295</v>
      </c>
      <c r="P58" t="s">
        <v>295</v>
      </c>
      <c r="Q58">
        <v>1</v>
      </c>
      <c r="W58">
        <v>0</v>
      </c>
      <c r="X58">
        <v>-464685602</v>
      </c>
      <c r="Y58">
        <v>27.14</v>
      </c>
      <c r="AA58">
        <v>0</v>
      </c>
      <c r="AB58">
        <v>0</v>
      </c>
      <c r="AC58">
        <v>0</v>
      </c>
      <c r="AD58">
        <v>310.5</v>
      </c>
      <c r="AE58">
        <v>0</v>
      </c>
      <c r="AF58">
        <v>0</v>
      </c>
      <c r="AG58">
        <v>0</v>
      </c>
      <c r="AH58">
        <v>310.5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23.6</v>
      </c>
      <c r="AU58" t="s">
        <v>118</v>
      </c>
      <c r="AV58">
        <v>1</v>
      </c>
      <c r="AW58">
        <v>2</v>
      </c>
      <c r="AX58">
        <v>35822906</v>
      </c>
      <c r="AY58">
        <v>1</v>
      </c>
      <c r="AZ58">
        <v>0</v>
      </c>
      <c r="BA58">
        <v>59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Y58*Source!I109</f>
        <v>10.3132</v>
      </c>
      <c r="CY58">
        <f>AD58</f>
        <v>310.5</v>
      </c>
      <c r="CZ58">
        <f>AH58</f>
        <v>310.5</v>
      </c>
      <c r="DA58">
        <f>AL58</f>
        <v>1</v>
      </c>
      <c r="DB58">
        <f>ROUND((ROUND(AT58*CZ58,2)*1.15),6)</f>
        <v>8426.9699999999993</v>
      </c>
      <c r="DC58">
        <f>ROUND((ROUND(AT58*AG58,2)*1.15),6)</f>
        <v>0</v>
      </c>
    </row>
    <row r="59" spans="1:107">
      <c r="A59">
        <f>ROW(Source!A109)</f>
        <v>109</v>
      </c>
      <c r="B59">
        <v>35822480</v>
      </c>
      <c r="C59">
        <v>35822905</v>
      </c>
      <c r="D59">
        <v>29174913</v>
      </c>
      <c r="E59">
        <v>1</v>
      </c>
      <c r="F59">
        <v>1</v>
      </c>
      <c r="G59">
        <v>1</v>
      </c>
      <c r="H59">
        <v>2</v>
      </c>
      <c r="I59" t="s">
        <v>342</v>
      </c>
      <c r="J59" t="s">
        <v>343</v>
      </c>
      <c r="K59" t="s">
        <v>344</v>
      </c>
      <c r="L59">
        <v>1368</v>
      </c>
      <c r="N59">
        <v>1011</v>
      </c>
      <c r="O59" t="s">
        <v>302</v>
      </c>
      <c r="P59" t="s">
        <v>302</v>
      </c>
      <c r="Q59">
        <v>1</v>
      </c>
      <c r="W59">
        <v>0</v>
      </c>
      <c r="X59">
        <v>458544584</v>
      </c>
      <c r="Y59">
        <v>7.4999999999999997E-2</v>
      </c>
      <c r="AA59">
        <v>0</v>
      </c>
      <c r="AB59">
        <v>932.72</v>
      </c>
      <c r="AC59">
        <v>383.38</v>
      </c>
      <c r="AD59">
        <v>0</v>
      </c>
      <c r="AE59">
        <v>0</v>
      </c>
      <c r="AF59">
        <v>87.17</v>
      </c>
      <c r="AG59">
        <v>11.6</v>
      </c>
      <c r="AH59">
        <v>0</v>
      </c>
      <c r="AI59">
        <v>1</v>
      </c>
      <c r="AJ59">
        <v>10.7</v>
      </c>
      <c r="AK59">
        <v>33.049999999999997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0.06</v>
      </c>
      <c r="AU59" t="s">
        <v>117</v>
      </c>
      <c r="AV59">
        <v>0</v>
      </c>
      <c r="AW59">
        <v>2</v>
      </c>
      <c r="AX59">
        <v>35822907</v>
      </c>
      <c r="AY59">
        <v>1</v>
      </c>
      <c r="AZ59">
        <v>0</v>
      </c>
      <c r="BA59">
        <v>60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Y59*Source!I109</f>
        <v>2.8499999999999998E-2</v>
      </c>
      <c r="CY59">
        <f>AB59</f>
        <v>932.72</v>
      </c>
      <c r="CZ59">
        <f>AF59</f>
        <v>87.17</v>
      </c>
      <c r="DA59">
        <f>AJ59</f>
        <v>10.7</v>
      </c>
      <c r="DB59">
        <f>ROUND((ROUND(AT59*CZ59,2)*1.25),6)</f>
        <v>6.5374999999999996</v>
      </c>
      <c r="DC59">
        <f>ROUND((ROUND(AT59*AG59,2)*1.25),6)</f>
        <v>0.875</v>
      </c>
    </row>
    <row r="60" spans="1:107">
      <c r="A60">
        <f>ROW(Source!A109)</f>
        <v>109</v>
      </c>
      <c r="B60">
        <v>35822480</v>
      </c>
      <c r="C60">
        <v>35822905</v>
      </c>
      <c r="D60">
        <v>29109888</v>
      </c>
      <c r="E60">
        <v>1</v>
      </c>
      <c r="F60">
        <v>1</v>
      </c>
      <c r="G60">
        <v>1</v>
      </c>
      <c r="H60">
        <v>3</v>
      </c>
      <c r="I60" t="s">
        <v>409</v>
      </c>
      <c r="J60" t="s">
        <v>410</v>
      </c>
      <c r="K60" t="s">
        <v>411</v>
      </c>
      <c r="L60">
        <v>1301</v>
      </c>
      <c r="N60">
        <v>1003</v>
      </c>
      <c r="O60" t="s">
        <v>162</v>
      </c>
      <c r="P60" t="s">
        <v>162</v>
      </c>
      <c r="Q60">
        <v>1</v>
      </c>
      <c r="W60">
        <v>0</v>
      </c>
      <c r="X60">
        <v>1471077615</v>
      </c>
      <c r="Y60">
        <v>101</v>
      </c>
      <c r="AA60">
        <v>347.32</v>
      </c>
      <c r="AB60">
        <v>0</v>
      </c>
      <c r="AC60">
        <v>0</v>
      </c>
      <c r="AD60">
        <v>0</v>
      </c>
      <c r="AE60">
        <v>23.74</v>
      </c>
      <c r="AF60">
        <v>0</v>
      </c>
      <c r="AG60">
        <v>0</v>
      </c>
      <c r="AH60">
        <v>0</v>
      </c>
      <c r="AI60">
        <v>14.63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101</v>
      </c>
      <c r="AU60" t="s">
        <v>3</v>
      </c>
      <c r="AV60">
        <v>0</v>
      </c>
      <c r="AW60">
        <v>2</v>
      </c>
      <c r="AX60">
        <v>35822908</v>
      </c>
      <c r="AY60">
        <v>1</v>
      </c>
      <c r="AZ60">
        <v>0</v>
      </c>
      <c r="BA60">
        <v>61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Y60*Source!I109</f>
        <v>38.380000000000003</v>
      </c>
      <c r="CY60">
        <f>AA60</f>
        <v>347.32</v>
      </c>
      <c r="CZ60">
        <f>AE60</f>
        <v>23.74</v>
      </c>
      <c r="DA60">
        <f>AI60</f>
        <v>14.63</v>
      </c>
      <c r="DB60">
        <f>ROUND(ROUND(AT60*CZ60,2),6)</f>
        <v>2397.7399999999998</v>
      </c>
      <c r="DC60">
        <f>ROUND(ROUND(AT60*AG60,2),6)</f>
        <v>0</v>
      </c>
    </row>
    <row r="61" spans="1:107">
      <c r="A61">
        <f>ROW(Source!A109)</f>
        <v>109</v>
      </c>
      <c r="B61">
        <v>35822480</v>
      </c>
      <c r="C61">
        <v>35822905</v>
      </c>
      <c r="D61">
        <v>29145159</v>
      </c>
      <c r="E61">
        <v>1</v>
      </c>
      <c r="F61">
        <v>1</v>
      </c>
      <c r="G61">
        <v>1</v>
      </c>
      <c r="H61">
        <v>3</v>
      </c>
      <c r="I61" t="s">
        <v>412</v>
      </c>
      <c r="J61" t="s">
        <v>413</v>
      </c>
      <c r="K61" t="s">
        <v>414</v>
      </c>
      <c r="L61">
        <v>1339</v>
      </c>
      <c r="N61">
        <v>1007</v>
      </c>
      <c r="O61" t="s">
        <v>311</v>
      </c>
      <c r="P61" t="s">
        <v>311</v>
      </c>
      <c r="Q61">
        <v>1</v>
      </c>
      <c r="W61">
        <v>0</v>
      </c>
      <c r="X61">
        <v>-372375759</v>
      </c>
      <c r="Y61">
        <v>0.16</v>
      </c>
      <c r="AA61">
        <v>3570</v>
      </c>
      <c r="AB61">
        <v>0</v>
      </c>
      <c r="AC61">
        <v>0</v>
      </c>
      <c r="AD61">
        <v>0</v>
      </c>
      <c r="AE61">
        <v>600</v>
      </c>
      <c r="AF61">
        <v>0</v>
      </c>
      <c r="AG61">
        <v>0</v>
      </c>
      <c r="AH61">
        <v>0</v>
      </c>
      <c r="AI61">
        <v>5.95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0.16</v>
      </c>
      <c r="AU61" t="s">
        <v>3</v>
      </c>
      <c r="AV61">
        <v>0</v>
      </c>
      <c r="AW61">
        <v>2</v>
      </c>
      <c r="AX61">
        <v>35822909</v>
      </c>
      <c r="AY61">
        <v>1</v>
      </c>
      <c r="AZ61">
        <v>0</v>
      </c>
      <c r="BA61">
        <v>62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Y61*Source!I109</f>
        <v>6.08E-2</v>
      </c>
      <c r="CY61">
        <f>AA61</f>
        <v>3570</v>
      </c>
      <c r="CZ61">
        <f>AE61</f>
        <v>600</v>
      </c>
      <c r="DA61">
        <f>AI61</f>
        <v>5.95</v>
      </c>
      <c r="DB61">
        <f>ROUND(ROUND(AT61*CZ61,2),6)</f>
        <v>96</v>
      </c>
      <c r="DC61">
        <f>ROUND(ROUND(AT61*AG61,2),6)</f>
        <v>0</v>
      </c>
    </row>
    <row r="62" spans="1:107">
      <c r="A62">
        <f>ROW(Source!A145)</f>
        <v>145</v>
      </c>
      <c r="B62">
        <v>35822480</v>
      </c>
      <c r="C62">
        <v>35823286</v>
      </c>
      <c r="D62">
        <v>18407150</v>
      </c>
      <c r="E62">
        <v>1</v>
      </c>
      <c r="F62">
        <v>1</v>
      </c>
      <c r="G62">
        <v>1</v>
      </c>
      <c r="H62">
        <v>1</v>
      </c>
      <c r="I62" t="s">
        <v>293</v>
      </c>
      <c r="J62" t="s">
        <v>3</v>
      </c>
      <c r="K62" t="s">
        <v>294</v>
      </c>
      <c r="L62">
        <v>1369</v>
      </c>
      <c r="N62">
        <v>1013</v>
      </c>
      <c r="O62" t="s">
        <v>295</v>
      </c>
      <c r="P62" t="s">
        <v>295</v>
      </c>
      <c r="Q62">
        <v>1</v>
      </c>
      <c r="W62">
        <v>0</v>
      </c>
      <c r="X62">
        <v>-931037793</v>
      </c>
      <c r="Y62">
        <v>24.368500000000001</v>
      </c>
      <c r="AA62">
        <v>0</v>
      </c>
      <c r="AB62">
        <v>0</v>
      </c>
      <c r="AC62">
        <v>0</v>
      </c>
      <c r="AD62">
        <v>278.5</v>
      </c>
      <c r="AE62">
        <v>0</v>
      </c>
      <c r="AF62">
        <v>0</v>
      </c>
      <c r="AG62">
        <v>0</v>
      </c>
      <c r="AH62">
        <v>278.5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21.19</v>
      </c>
      <c r="AU62" t="s">
        <v>118</v>
      </c>
      <c r="AV62">
        <v>1</v>
      </c>
      <c r="AW62">
        <v>2</v>
      </c>
      <c r="AX62">
        <v>35823287</v>
      </c>
      <c r="AY62">
        <v>1</v>
      </c>
      <c r="AZ62">
        <v>0</v>
      </c>
      <c r="BA62">
        <v>63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Y62*Source!I145</f>
        <v>1.120951</v>
      </c>
      <c r="CY62">
        <f>AD62</f>
        <v>278.5</v>
      </c>
      <c r="CZ62">
        <f>AH62</f>
        <v>278.5</v>
      </c>
      <c r="DA62">
        <f>AL62</f>
        <v>1</v>
      </c>
      <c r="DB62">
        <f>ROUND((ROUND(AT62*CZ62,2)*1.15),6)</f>
        <v>6786.6329999999998</v>
      </c>
      <c r="DC62">
        <f>ROUND((ROUND(AT62*AG62,2)*1.15),6)</f>
        <v>0</v>
      </c>
    </row>
    <row r="63" spans="1:107">
      <c r="A63">
        <f>ROW(Source!A145)</f>
        <v>145</v>
      </c>
      <c r="B63">
        <v>35822480</v>
      </c>
      <c r="C63">
        <v>35823286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296</v>
      </c>
      <c r="J63" t="s">
        <v>3</v>
      </c>
      <c r="K63" t="s">
        <v>297</v>
      </c>
      <c r="L63">
        <v>608254</v>
      </c>
      <c r="N63">
        <v>1013</v>
      </c>
      <c r="O63" t="s">
        <v>298</v>
      </c>
      <c r="P63" t="s">
        <v>298</v>
      </c>
      <c r="Q63">
        <v>1</v>
      </c>
      <c r="W63">
        <v>0</v>
      </c>
      <c r="X63">
        <v>-185737400</v>
      </c>
      <c r="Y63">
        <v>0.05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0.04</v>
      </c>
      <c r="AU63" t="s">
        <v>117</v>
      </c>
      <c r="AV63">
        <v>2</v>
      </c>
      <c r="AW63">
        <v>2</v>
      </c>
      <c r="AX63">
        <v>35823288</v>
      </c>
      <c r="AY63">
        <v>1</v>
      </c>
      <c r="AZ63">
        <v>0</v>
      </c>
      <c r="BA63">
        <v>64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Y63*Source!I145</f>
        <v>2.3E-3</v>
      </c>
      <c r="CY63">
        <f>AD63</f>
        <v>0</v>
      </c>
      <c r="CZ63">
        <f>AH63</f>
        <v>0</v>
      </c>
      <c r="DA63">
        <f>AL63</f>
        <v>1</v>
      </c>
      <c r="DB63">
        <f>ROUND((ROUND(AT63*CZ63,2)*1.25),6)</f>
        <v>0</v>
      </c>
      <c r="DC63">
        <f>ROUND((ROUND(AT63*AG63,2)*1.25),6)</f>
        <v>0</v>
      </c>
    </row>
    <row r="64" spans="1:107">
      <c r="A64">
        <f>ROW(Source!A145)</f>
        <v>145</v>
      </c>
      <c r="B64">
        <v>35822480</v>
      </c>
      <c r="C64">
        <v>35823286</v>
      </c>
      <c r="D64">
        <v>29172556</v>
      </c>
      <c r="E64">
        <v>1</v>
      </c>
      <c r="F64">
        <v>1</v>
      </c>
      <c r="G64">
        <v>1</v>
      </c>
      <c r="H64">
        <v>2</v>
      </c>
      <c r="I64" t="s">
        <v>299</v>
      </c>
      <c r="J64" t="s">
        <v>300</v>
      </c>
      <c r="K64" t="s">
        <v>301</v>
      </c>
      <c r="L64">
        <v>1368</v>
      </c>
      <c r="N64">
        <v>1011</v>
      </c>
      <c r="O64" t="s">
        <v>302</v>
      </c>
      <c r="P64" t="s">
        <v>302</v>
      </c>
      <c r="Q64">
        <v>1</v>
      </c>
      <c r="W64">
        <v>0</v>
      </c>
      <c r="X64">
        <v>-1302720870</v>
      </c>
      <c r="Y64">
        <v>0.05</v>
      </c>
      <c r="AA64">
        <v>0</v>
      </c>
      <c r="AB64">
        <v>466.71</v>
      </c>
      <c r="AC64">
        <v>446.18</v>
      </c>
      <c r="AD64">
        <v>0</v>
      </c>
      <c r="AE64">
        <v>0</v>
      </c>
      <c r="AF64">
        <v>31.26</v>
      </c>
      <c r="AG64">
        <v>13.5</v>
      </c>
      <c r="AH64">
        <v>0</v>
      </c>
      <c r="AI64">
        <v>1</v>
      </c>
      <c r="AJ64">
        <v>14.93</v>
      </c>
      <c r="AK64">
        <v>33.049999999999997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0.04</v>
      </c>
      <c r="AU64" t="s">
        <v>117</v>
      </c>
      <c r="AV64">
        <v>0</v>
      </c>
      <c r="AW64">
        <v>2</v>
      </c>
      <c r="AX64">
        <v>35823289</v>
      </c>
      <c r="AY64">
        <v>1</v>
      </c>
      <c r="AZ64">
        <v>0</v>
      </c>
      <c r="BA64">
        <v>65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Y64*Source!I145</f>
        <v>2.3E-3</v>
      </c>
      <c r="CY64">
        <f>AB64</f>
        <v>466.71</v>
      </c>
      <c r="CZ64">
        <f>AF64</f>
        <v>31.26</v>
      </c>
      <c r="DA64">
        <f>AJ64</f>
        <v>14.93</v>
      </c>
      <c r="DB64">
        <f>ROUND((ROUND(AT64*CZ64,2)*1.25),6)</f>
        <v>1.5625</v>
      </c>
      <c r="DC64">
        <f>ROUND((ROUND(AT64*AG64,2)*1.25),6)</f>
        <v>0.67500000000000004</v>
      </c>
    </row>
    <row r="65" spans="1:107">
      <c r="A65">
        <f>ROW(Source!A145)</f>
        <v>145</v>
      </c>
      <c r="B65">
        <v>35822480</v>
      </c>
      <c r="C65">
        <v>35823286</v>
      </c>
      <c r="D65">
        <v>29174913</v>
      </c>
      <c r="E65">
        <v>1</v>
      </c>
      <c r="F65">
        <v>1</v>
      </c>
      <c r="G65">
        <v>1</v>
      </c>
      <c r="H65">
        <v>2</v>
      </c>
      <c r="I65" t="s">
        <v>342</v>
      </c>
      <c r="J65" t="s">
        <v>343</v>
      </c>
      <c r="K65" t="s">
        <v>344</v>
      </c>
      <c r="L65">
        <v>1368</v>
      </c>
      <c r="N65">
        <v>1011</v>
      </c>
      <c r="O65" t="s">
        <v>302</v>
      </c>
      <c r="P65" t="s">
        <v>302</v>
      </c>
      <c r="Q65">
        <v>1</v>
      </c>
      <c r="W65">
        <v>0</v>
      </c>
      <c r="X65">
        <v>458544584</v>
      </c>
      <c r="Y65">
        <v>0.1875</v>
      </c>
      <c r="AA65">
        <v>0</v>
      </c>
      <c r="AB65">
        <v>932.72</v>
      </c>
      <c r="AC65">
        <v>383.38</v>
      </c>
      <c r="AD65">
        <v>0</v>
      </c>
      <c r="AE65">
        <v>0</v>
      </c>
      <c r="AF65">
        <v>87.17</v>
      </c>
      <c r="AG65">
        <v>11.6</v>
      </c>
      <c r="AH65">
        <v>0</v>
      </c>
      <c r="AI65">
        <v>1</v>
      </c>
      <c r="AJ65">
        <v>10.7</v>
      </c>
      <c r="AK65">
        <v>33.049999999999997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0.15</v>
      </c>
      <c r="AU65" t="s">
        <v>117</v>
      </c>
      <c r="AV65">
        <v>0</v>
      </c>
      <c r="AW65">
        <v>2</v>
      </c>
      <c r="AX65">
        <v>35823290</v>
      </c>
      <c r="AY65">
        <v>1</v>
      </c>
      <c r="AZ65">
        <v>0</v>
      </c>
      <c r="BA65">
        <v>66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Y65*Source!I145</f>
        <v>8.6250000000000007E-3</v>
      </c>
      <c r="CY65">
        <f>AB65</f>
        <v>932.72</v>
      </c>
      <c r="CZ65">
        <f>AF65</f>
        <v>87.17</v>
      </c>
      <c r="DA65">
        <f>AJ65</f>
        <v>10.7</v>
      </c>
      <c r="DB65">
        <f>ROUND((ROUND(AT65*CZ65,2)*1.25),6)</f>
        <v>16.350000000000001</v>
      </c>
      <c r="DC65">
        <f>ROUND((ROUND(AT65*AG65,2)*1.25),6)</f>
        <v>2.1749999999999998</v>
      </c>
    </row>
    <row r="66" spans="1:107">
      <c r="A66">
        <f>ROW(Source!A145)</f>
        <v>145</v>
      </c>
      <c r="B66">
        <v>35822480</v>
      </c>
      <c r="C66">
        <v>35823286</v>
      </c>
      <c r="D66">
        <v>29108696</v>
      </c>
      <c r="E66">
        <v>1</v>
      </c>
      <c r="F66">
        <v>1</v>
      </c>
      <c r="G66">
        <v>1</v>
      </c>
      <c r="H66">
        <v>3</v>
      </c>
      <c r="I66" t="s">
        <v>415</v>
      </c>
      <c r="J66" t="s">
        <v>416</v>
      </c>
      <c r="K66" t="s">
        <v>417</v>
      </c>
      <c r="L66">
        <v>1354</v>
      </c>
      <c r="N66">
        <v>1010</v>
      </c>
      <c r="O66" t="s">
        <v>418</v>
      </c>
      <c r="P66" t="s">
        <v>418</v>
      </c>
      <c r="Q66">
        <v>1</v>
      </c>
      <c r="W66">
        <v>0</v>
      </c>
      <c r="X66">
        <v>2109155817</v>
      </c>
      <c r="Y66">
        <v>56.6</v>
      </c>
      <c r="AA66">
        <v>310.51</v>
      </c>
      <c r="AB66">
        <v>0</v>
      </c>
      <c r="AC66">
        <v>0</v>
      </c>
      <c r="AD66">
        <v>0</v>
      </c>
      <c r="AE66">
        <v>67.209999999999994</v>
      </c>
      <c r="AF66">
        <v>0</v>
      </c>
      <c r="AG66">
        <v>0</v>
      </c>
      <c r="AH66">
        <v>0</v>
      </c>
      <c r="AI66">
        <v>4.62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56.6</v>
      </c>
      <c r="AU66" t="s">
        <v>3</v>
      </c>
      <c r="AV66">
        <v>0</v>
      </c>
      <c r="AW66">
        <v>2</v>
      </c>
      <c r="AX66">
        <v>35823291</v>
      </c>
      <c r="AY66">
        <v>1</v>
      </c>
      <c r="AZ66">
        <v>0</v>
      </c>
      <c r="BA66">
        <v>67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Y66*Source!I145</f>
        <v>2.6036000000000001</v>
      </c>
      <c r="CY66">
        <f>AA66</f>
        <v>310.51</v>
      </c>
      <c r="CZ66">
        <f>AE66</f>
        <v>67.209999999999994</v>
      </c>
      <c r="DA66">
        <f>AI66</f>
        <v>4.62</v>
      </c>
      <c r="DB66">
        <f>ROUND(ROUND(AT66*CZ66,2),6)</f>
        <v>3804.09</v>
      </c>
      <c r="DC66">
        <f>ROUND(ROUND(AT66*AG66,2),6)</f>
        <v>0</v>
      </c>
    </row>
    <row r="67" spans="1:107">
      <c r="A67">
        <f>ROW(Source!A145)</f>
        <v>145</v>
      </c>
      <c r="B67">
        <v>35822480</v>
      </c>
      <c r="C67">
        <v>35823286</v>
      </c>
      <c r="D67">
        <v>29109722</v>
      </c>
      <c r="E67">
        <v>1</v>
      </c>
      <c r="F67">
        <v>1</v>
      </c>
      <c r="G67">
        <v>1</v>
      </c>
      <c r="H67">
        <v>3</v>
      </c>
      <c r="I67" t="s">
        <v>160</v>
      </c>
      <c r="J67" t="s">
        <v>163</v>
      </c>
      <c r="K67" t="s">
        <v>161</v>
      </c>
      <c r="L67">
        <v>1301</v>
      </c>
      <c r="N67">
        <v>1003</v>
      </c>
      <c r="O67" t="s">
        <v>162</v>
      </c>
      <c r="P67" t="s">
        <v>162</v>
      </c>
      <c r="Q67">
        <v>1</v>
      </c>
      <c r="W67">
        <v>0</v>
      </c>
      <c r="X67">
        <v>-1224981602</v>
      </c>
      <c r="Y67">
        <v>97.826087000000001</v>
      </c>
      <c r="AA67">
        <v>180.16</v>
      </c>
      <c r="AB67">
        <v>0</v>
      </c>
      <c r="AC67">
        <v>0</v>
      </c>
      <c r="AD67">
        <v>0</v>
      </c>
      <c r="AE67">
        <v>189.64</v>
      </c>
      <c r="AF67">
        <v>0</v>
      </c>
      <c r="AG67">
        <v>0</v>
      </c>
      <c r="AH67">
        <v>0</v>
      </c>
      <c r="AI67">
        <v>0.95</v>
      </c>
      <c r="AJ67">
        <v>1</v>
      </c>
      <c r="AK67">
        <v>1</v>
      </c>
      <c r="AL67">
        <v>1</v>
      </c>
      <c r="AN67">
        <v>0</v>
      </c>
      <c r="AO67">
        <v>0</v>
      </c>
      <c r="AP67">
        <v>0</v>
      </c>
      <c r="AQ67">
        <v>0</v>
      </c>
      <c r="AR67">
        <v>0</v>
      </c>
      <c r="AS67" t="s">
        <v>3</v>
      </c>
      <c r="AT67">
        <v>97.826087000000001</v>
      </c>
      <c r="AU67" t="s">
        <v>3</v>
      </c>
      <c r="AV67">
        <v>0</v>
      </c>
      <c r="AW67">
        <v>1</v>
      </c>
      <c r="AX67">
        <v>-1</v>
      </c>
      <c r="AY67">
        <v>0</v>
      </c>
      <c r="AZ67">
        <v>0</v>
      </c>
      <c r="BA67" t="s">
        <v>3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Y67*Source!I145</f>
        <v>4.5000000020000002</v>
      </c>
      <c r="CY67">
        <f>AA67</f>
        <v>180.16</v>
      </c>
      <c r="CZ67">
        <f>AE67</f>
        <v>189.64</v>
      </c>
      <c r="DA67">
        <f>AI67</f>
        <v>0.95</v>
      </c>
      <c r="DB67">
        <f>ROUND(ROUND(AT67*CZ67,2),6)</f>
        <v>18551.740000000002</v>
      </c>
      <c r="DC67">
        <f>ROUND(ROUND(AT67*AG67,2),6)</f>
        <v>0</v>
      </c>
    </row>
    <row r="68" spans="1:107">
      <c r="A68">
        <f>ROW(Source!A145)</f>
        <v>145</v>
      </c>
      <c r="B68">
        <v>35822480</v>
      </c>
      <c r="C68">
        <v>35823286</v>
      </c>
      <c r="D68">
        <v>29115197</v>
      </c>
      <c r="E68">
        <v>1</v>
      </c>
      <c r="F68">
        <v>1</v>
      </c>
      <c r="G68">
        <v>1</v>
      </c>
      <c r="H68">
        <v>3</v>
      </c>
      <c r="I68" t="s">
        <v>419</v>
      </c>
      <c r="J68" t="s">
        <v>420</v>
      </c>
      <c r="K68" t="s">
        <v>421</v>
      </c>
      <c r="L68">
        <v>1354</v>
      </c>
      <c r="N68">
        <v>1010</v>
      </c>
      <c r="O68" t="s">
        <v>418</v>
      </c>
      <c r="P68" t="s">
        <v>418</v>
      </c>
      <c r="Q68">
        <v>1</v>
      </c>
      <c r="W68">
        <v>0</v>
      </c>
      <c r="X68">
        <v>-1208533646</v>
      </c>
      <c r="Y68">
        <v>400</v>
      </c>
      <c r="AA68">
        <v>3.65</v>
      </c>
      <c r="AB68">
        <v>0</v>
      </c>
      <c r="AC68">
        <v>0</v>
      </c>
      <c r="AD68">
        <v>0</v>
      </c>
      <c r="AE68">
        <v>0.5</v>
      </c>
      <c r="AF68">
        <v>0</v>
      </c>
      <c r="AG68">
        <v>0</v>
      </c>
      <c r="AH68">
        <v>0</v>
      </c>
      <c r="AI68">
        <v>7.29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400</v>
      </c>
      <c r="AU68" t="s">
        <v>3</v>
      </c>
      <c r="AV68">
        <v>0</v>
      </c>
      <c r="AW68">
        <v>2</v>
      </c>
      <c r="AX68">
        <v>35823293</v>
      </c>
      <c r="AY68">
        <v>1</v>
      </c>
      <c r="AZ68">
        <v>0</v>
      </c>
      <c r="BA68">
        <v>69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Y68*Source!I145</f>
        <v>18.399999999999999</v>
      </c>
      <c r="CY68">
        <f>AA68</f>
        <v>3.65</v>
      </c>
      <c r="CZ68">
        <f>AE68</f>
        <v>0.5</v>
      </c>
      <c r="DA68">
        <f>AI68</f>
        <v>7.29</v>
      </c>
      <c r="DB68">
        <f>ROUND(ROUND(AT68*CZ68,2),6)</f>
        <v>200</v>
      </c>
      <c r="DC68">
        <f>ROUND(ROUND(AT68*AG68,2),6)</f>
        <v>0</v>
      </c>
    </row>
    <row r="69" spans="1:107">
      <c r="A69">
        <f>ROW(Source!A147)</f>
        <v>147</v>
      </c>
      <c r="B69">
        <v>35822480</v>
      </c>
      <c r="C69">
        <v>35823295</v>
      </c>
      <c r="D69">
        <v>18413230</v>
      </c>
      <c r="E69">
        <v>1</v>
      </c>
      <c r="F69">
        <v>1</v>
      </c>
      <c r="G69">
        <v>1</v>
      </c>
      <c r="H69">
        <v>1</v>
      </c>
      <c r="I69" t="s">
        <v>328</v>
      </c>
      <c r="J69" t="s">
        <v>3</v>
      </c>
      <c r="K69" t="s">
        <v>329</v>
      </c>
      <c r="L69">
        <v>1369</v>
      </c>
      <c r="N69">
        <v>1013</v>
      </c>
      <c r="O69" t="s">
        <v>295</v>
      </c>
      <c r="P69" t="s">
        <v>295</v>
      </c>
      <c r="Q69">
        <v>1</v>
      </c>
      <c r="W69">
        <v>0</v>
      </c>
      <c r="X69">
        <v>355262106</v>
      </c>
      <c r="Y69">
        <v>191.44049999999999</v>
      </c>
      <c r="AA69">
        <v>0</v>
      </c>
      <c r="AB69">
        <v>0</v>
      </c>
      <c r="AC69">
        <v>0</v>
      </c>
      <c r="AD69">
        <v>299.72000000000003</v>
      </c>
      <c r="AE69">
        <v>0</v>
      </c>
      <c r="AF69">
        <v>0</v>
      </c>
      <c r="AG69">
        <v>0</v>
      </c>
      <c r="AH69">
        <v>299.72000000000003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166.47</v>
      </c>
      <c r="AU69" t="s">
        <v>118</v>
      </c>
      <c r="AV69">
        <v>1</v>
      </c>
      <c r="AW69">
        <v>2</v>
      </c>
      <c r="AX69">
        <v>36511620</v>
      </c>
      <c r="AY69">
        <v>1</v>
      </c>
      <c r="AZ69">
        <v>0</v>
      </c>
      <c r="BA69">
        <v>70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Y69*Source!I147</f>
        <v>6.3175365000000001</v>
      </c>
      <c r="CY69">
        <f>AD69</f>
        <v>299.72000000000003</v>
      </c>
      <c r="CZ69">
        <f>AH69</f>
        <v>299.72000000000003</v>
      </c>
      <c r="DA69">
        <f>AL69</f>
        <v>1</v>
      </c>
      <c r="DB69">
        <f>ROUND((ROUND(AT69*CZ69,2)*1.15),6)</f>
        <v>57378.548499999997</v>
      </c>
      <c r="DC69">
        <f>ROUND((ROUND(AT69*AG69,2)*1.15),6)</f>
        <v>0</v>
      </c>
    </row>
    <row r="70" spans="1:107">
      <c r="A70">
        <f>ROW(Source!A147)</f>
        <v>147</v>
      </c>
      <c r="B70">
        <v>35822480</v>
      </c>
      <c r="C70">
        <v>35823295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296</v>
      </c>
      <c r="J70" t="s">
        <v>3</v>
      </c>
      <c r="K70" t="s">
        <v>297</v>
      </c>
      <c r="L70">
        <v>608254</v>
      </c>
      <c r="N70">
        <v>1013</v>
      </c>
      <c r="O70" t="s">
        <v>298</v>
      </c>
      <c r="P70" t="s">
        <v>298</v>
      </c>
      <c r="Q70">
        <v>1</v>
      </c>
      <c r="W70">
        <v>0</v>
      </c>
      <c r="X70">
        <v>-185737400</v>
      </c>
      <c r="Y70">
        <v>0.1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0.08</v>
      </c>
      <c r="AU70" t="s">
        <v>117</v>
      </c>
      <c r="AV70">
        <v>2</v>
      </c>
      <c r="AW70">
        <v>2</v>
      </c>
      <c r="AX70">
        <v>36511621</v>
      </c>
      <c r="AY70">
        <v>1</v>
      </c>
      <c r="AZ70">
        <v>0</v>
      </c>
      <c r="BA70">
        <v>71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Y70*Source!I147</f>
        <v>3.3000000000000004E-3</v>
      </c>
      <c r="CY70">
        <f>AD70</f>
        <v>0</v>
      </c>
      <c r="CZ70">
        <f>AH70</f>
        <v>0</v>
      </c>
      <c r="DA70">
        <f>AL70</f>
        <v>1</v>
      </c>
      <c r="DB70">
        <f>ROUND((ROUND(AT70*CZ70,2)*1.25),6)</f>
        <v>0</v>
      </c>
      <c r="DC70">
        <f>ROUND((ROUND(AT70*AG70,2)*1.25),6)</f>
        <v>0</v>
      </c>
    </row>
    <row r="71" spans="1:107">
      <c r="A71">
        <f>ROW(Source!A147)</f>
        <v>147</v>
      </c>
      <c r="B71">
        <v>35822480</v>
      </c>
      <c r="C71">
        <v>35823295</v>
      </c>
      <c r="D71">
        <v>29172556</v>
      </c>
      <c r="E71">
        <v>1</v>
      </c>
      <c r="F71">
        <v>1</v>
      </c>
      <c r="G71">
        <v>1</v>
      </c>
      <c r="H71">
        <v>2</v>
      </c>
      <c r="I71" t="s">
        <v>299</v>
      </c>
      <c r="J71" t="s">
        <v>422</v>
      </c>
      <c r="K71" t="s">
        <v>301</v>
      </c>
      <c r="L71">
        <v>1368</v>
      </c>
      <c r="N71">
        <v>1011</v>
      </c>
      <c r="O71" t="s">
        <v>302</v>
      </c>
      <c r="P71" t="s">
        <v>302</v>
      </c>
      <c r="Q71">
        <v>1</v>
      </c>
      <c r="W71">
        <v>0</v>
      </c>
      <c r="X71">
        <v>344519037</v>
      </c>
      <c r="Y71">
        <v>0.1</v>
      </c>
      <c r="AA71">
        <v>0</v>
      </c>
      <c r="AB71">
        <v>466.71</v>
      </c>
      <c r="AC71">
        <v>446.18</v>
      </c>
      <c r="AD71">
        <v>0</v>
      </c>
      <c r="AE71">
        <v>0</v>
      </c>
      <c r="AF71">
        <v>31.26</v>
      </c>
      <c r="AG71">
        <v>13.5</v>
      </c>
      <c r="AH71">
        <v>0</v>
      </c>
      <c r="AI71">
        <v>1</v>
      </c>
      <c r="AJ71">
        <v>14.93</v>
      </c>
      <c r="AK71">
        <v>33.049999999999997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0.08</v>
      </c>
      <c r="AU71" t="s">
        <v>117</v>
      </c>
      <c r="AV71">
        <v>0</v>
      </c>
      <c r="AW71">
        <v>2</v>
      </c>
      <c r="AX71">
        <v>36511622</v>
      </c>
      <c r="AY71">
        <v>1</v>
      </c>
      <c r="AZ71">
        <v>0</v>
      </c>
      <c r="BA71">
        <v>72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Y71*Source!I147</f>
        <v>3.3000000000000004E-3</v>
      </c>
      <c r="CY71">
        <f>AB71</f>
        <v>466.71</v>
      </c>
      <c r="CZ71">
        <f>AF71</f>
        <v>31.26</v>
      </c>
      <c r="DA71">
        <f>AJ71</f>
        <v>14.93</v>
      </c>
      <c r="DB71">
        <f>ROUND((ROUND(AT71*CZ71,2)*1.25),6)</f>
        <v>3.125</v>
      </c>
      <c r="DC71">
        <f>ROUND((ROUND(AT71*AG71,2)*1.25),6)</f>
        <v>1.35</v>
      </c>
    </row>
    <row r="72" spans="1:107">
      <c r="A72">
        <f>ROW(Source!A147)</f>
        <v>147</v>
      </c>
      <c r="B72">
        <v>35822480</v>
      </c>
      <c r="C72">
        <v>35823295</v>
      </c>
      <c r="D72">
        <v>29174591</v>
      </c>
      <c r="E72">
        <v>1</v>
      </c>
      <c r="F72">
        <v>1</v>
      </c>
      <c r="G72">
        <v>1</v>
      </c>
      <c r="H72">
        <v>2</v>
      </c>
      <c r="I72" t="s">
        <v>423</v>
      </c>
      <c r="J72" t="s">
        <v>424</v>
      </c>
      <c r="K72" t="s">
        <v>425</v>
      </c>
      <c r="L72">
        <v>1368</v>
      </c>
      <c r="N72">
        <v>1011</v>
      </c>
      <c r="O72" t="s">
        <v>302</v>
      </c>
      <c r="P72" t="s">
        <v>302</v>
      </c>
      <c r="Q72">
        <v>1</v>
      </c>
      <c r="W72">
        <v>0</v>
      </c>
      <c r="X72">
        <v>1042522176</v>
      </c>
      <c r="Y72">
        <v>0.32500000000000001</v>
      </c>
      <c r="AA72">
        <v>0</v>
      </c>
      <c r="AB72">
        <v>9.4700000000000006</v>
      </c>
      <c r="AC72">
        <v>0</v>
      </c>
      <c r="AD72">
        <v>0</v>
      </c>
      <c r="AE72">
        <v>0</v>
      </c>
      <c r="AF72">
        <v>0.95</v>
      </c>
      <c r="AG72">
        <v>0</v>
      </c>
      <c r="AH72">
        <v>0</v>
      </c>
      <c r="AI72">
        <v>1</v>
      </c>
      <c r="AJ72">
        <v>9.9700000000000006</v>
      </c>
      <c r="AK72">
        <v>33.049999999999997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0.26</v>
      </c>
      <c r="AU72" t="s">
        <v>117</v>
      </c>
      <c r="AV72">
        <v>0</v>
      </c>
      <c r="AW72">
        <v>2</v>
      </c>
      <c r="AX72">
        <v>36511623</v>
      </c>
      <c r="AY72">
        <v>1</v>
      </c>
      <c r="AZ72">
        <v>0</v>
      </c>
      <c r="BA72">
        <v>73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Y72*Source!I147</f>
        <v>1.0725E-2</v>
      </c>
      <c r="CY72">
        <f>AB72</f>
        <v>9.4700000000000006</v>
      </c>
      <c r="CZ72">
        <f>AF72</f>
        <v>0.95</v>
      </c>
      <c r="DA72">
        <f>AJ72</f>
        <v>9.9700000000000006</v>
      </c>
      <c r="DB72">
        <f>ROUND((ROUND(AT72*CZ72,2)*1.25),6)</f>
        <v>0.3125</v>
      </c>
      <c r="DC72">
        <f>ROUND((ROUND(AT72*AG72,2)*1.25),6)</f>
        <v>0</v>
      </c>
    </row>
    <row r="73" spans="1:107">
      <c r="A73">
        <f>ROW(Source!A147)</f>
        <v>147</v>
      </c>
      <c r="B73">
        <v>35822480</v>
      </c>
      <c r="C73">
        <v>35823295</v>
      </c>
      <c r="D73">
        <v>29174913</v>
      </c>
      <c r="E73">
        <v>1</v>
      </c>
      <c r="F73">
        <v>1</v>
      </c>
      <c r="G73">
        <v>1</v>
      </c>
      <c r="H73">
        <v>2</v>
      </c>
      <c r="I73" t="s">
        <v>342</v>
      </c>
      <c r="J73" t="s">
        <v>426</v>
      </c>
      <c r="K73" t="s">
        <v>344</v>
      </c>
      <c r="L73">
        <v>1368</v>
      </c>
      <c r="N73">
        <v>1011</v>
      </c>
      <c r="O73" t="s">
        <v>302</v>
      </c>
      <c r="P73" t="s">
        <v>302</v>
      </c>
      <c r="Q73">
        <v>1</v>
      </c>
      <c r="W73">
        <v>0</v>
      </c>
      <c r="X73">
        <v>1230759911</v>
      </c>
      <c r="Y73">
        <v>0.625</v>
      </c>
      <c r="AA73">
        <v>0</v>
      </c>
      <c r="AB73">
        <v>932.72</v>
      </c>
      <c r="AC73">
        <v>383.38</v>
      </c>
      <c r="AD73">
        <v>0</v>
      </c>
      <c r="AE73">
        <v>0</v>
      </c>
      <c r="AF73">
        <v>87.17</v>
      </c>
      <c r="AG73">
        <v>11.6</v>
      </c>
      <c r="AH73">
        <v>0</v>
      </c>
      <c r="AI73">
        <v>1</v>
      </c>
      <c r="AJ73">
        <v>10.7</v>
      </c>
      <c r="AK73">
        <v>33.049999999999997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0.5</v>
      </c>
      <c r="AU73" t="s">
        <v>117</v>
      </c>
      <c r="AV73">
        <v>0</v>
      </c>
      <c r="AW73">
        <v>2</v>
      </c>
      <c r="AX73">
        <v>36511624</v>
      </c>
      <c r="AY73">
        <v>1</v>
      </c>
      <c r="AZ73">
        <v>0</v>
      </c>
      <c r="BA73">
        <v>74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Y73*Source!I147</f>
        <v>2.0625000000000001E-2</v>
      </c>
      <c r="CY73">
        <f>AB73</f>
        <v>932.72</v>
      </c>
      <c r="CZ73">
        <f>AF73</f>
        <v>87.17</v>
      </c>
      <c r="DA73">
        <f>AJ73</f>
        <v>10.7</v>
      </c>
      <c r="DB73">
        <f>ROUND((ROUND(AT73*CZ73,2)*1.25),6)</f>
        <v>54.487499999999997</v>
      </c>
      <c r="DC73">
        <f>ROUND((ROUND(AT73*AG73,2)*1.25),6)</f>
        <v>7.25</v>
      </c>
    </row>
    <row r="74" spans="1:107">
      <c r="A74">
        <f>ROW(Source!A147)</f>
        <v>147</v>
      </c>
      <c r="B74">
        <v>35822480</v>
      </c>
      <c r="C74">
        <v>35823295</v>
      </c>
      <c r="D74">
        <v>29107800</v>
      </c>
      <c r="E74">
        <v>1</v>
      </c>
      <c r="F74">
        <v>1</v>
      </c>
      <c r="G74">
        <v>1</v>
      </c>
      <c r="H74">
        <v>3</v>
      </c>
      <c r="I74" t="s">
        <v>366</v>
      </c>
      <c r="J74" t="s">
        <v>427</v>
      </c>
      <c r="K74" t="s">
        <v>368</v>
      </c>
      <c r="L74">
        <v>1346</v>
      </c>
      <c r="N74">
        <v>1009</v>
      </c>
      <c r="O74" t="s">
        <v>188</v>
      </c>
      <c r="P74" t="s">
        <v>188</v>
      </c>
      <c r="Q74">
        <v>1</v>
      </c>
      <c r="W74">
        <v>0</v>
      </c>
      <c r="X74">
        <v>644139035</v>
      </c>
      <c r="Y74">
        <v>0.2</v>
      </c>
      <c r="AA74">
        <v>46.61</v>
      </c>
      <c r="AB74">
        <v>0</v>
      </c>
      <c r="AC74">
        <v>0</v>
      </c>
      <c r="AD74">
        <v>0</v>
      </c>
      <c r="AE74">
        <v>1.81</v>
      </c>
      <c r="AF74">
        <v>0</v>
      </c>
      <c r="AG74">
        <v>0</v>
      </c>
      <c r="AH74">
        <v>0</v>
      </c>
      <c r="AI74">
        <v>25.75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0.2</v>
      </c>
      <c r="AU74" t="s">
        <v>3</v>
      </c>
      <c r="AV74">
        <v>0</v>
      </c>
      <c r="AW74">
        <v>2</v>
      </c>
      <c r="AX74">
        <v>36511625</v>
      </c>
      <c r="AY74">
        <v>1</v>
      </c>
      <c r="AZ74">
        <v>0</v>
      </c>
      <c r="BA74">
        <v>75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Y74*Source!I147</f>
        <v>6.6000000000000008E-3</v>
      </c>
      <c r="CY74">
        <f>AA74</f>
        <v>46.61</v>
      </c>
      <c r="CZ74">
        <f>AE74</f>
        <v>1.81</v>
      </c>
      <c r="DA74">
        <f>AI74</f>
        <v>25.75</v>
      </c>
      <c r="DB74">
        <f>ROUND(ROUND(AT74*CZ74,2),6)</f>
        <v>0.36</v>
      </c>
      <c r="DC74">
        <f>ROUND(ROUND(AT74*AG74,2),6)</f>
        <v>0</v>
      </c>
    </row>
    <row r="75" spans="1:107">
      <c r="A75">
        <f>ROW(Source!A147)</f>
        <v>147</v>
      </c>
      <c r="B75">
        <v>35822480</v>
      </c>
      <c r="C75">
        <v>35823295</v>
      </c>
      <c r="D75">
        <v>29109411</v>
      </c>
      <c r="E75">
        <v>1</v>
      </c>
      <c r="F75">
        <v>1</v>
      </c>
      <c r="G75">
        <v>1</v>
      </c>
      <c r="H75">
        <v>3</v>
      </c>
      <c r="I75" t="s">
        <v>428</v>
      </c>
      <c r="J75" t="s">
        <v>429</v>
      </c>
      <c r="K75" t="s">
        <v>430</v>
      </c>
      <c r="L75">
        <v>1346</v>
      </c>
      <c r="N75">
        <v>1009</v>
      </c>
      <c r="O75" t="s">
        <v>188</v>
      </c>
      <c r="P75" t="s">
        <v>188</v>
      </c>
      <c r="Q75">
        <v>1</v>
      </c>
      <c r="W75">
        <v>0</v>
      </c>
      <c r="X75">
        <v>42272800</v>
      </c>
      <c r="Y75">
        <v>30</v>
      </c>
      <c r="AA75">
        <v>53.91</v>
      </c>
      <c r="AB75">
        <v>0</v>
      </c>
      <c r="AC75">
        <v>0</v>
      </c>
      <c r="AD75">
        <v>0</v>
      </c>
      <c r="AE75">
        <v>15.95</v>
      </c>
      <c r="AF75">
        <v>0</v>
      </c>
      <c r="AG75">
        <v>0</v>
      </c>
      <c r="AH75">
        <v>0</v>
      </c>
      <c r="AI75">
        <v>3.38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30</v>
      </c>
      <c r="AU75" t="s">
        <v>3</v>
      </c>
      <c r="AV75">
        <v>0</v>
      </c>
      <c r="AW75">
        <v>2</v>
      </c>
      <c r="AX75">
        <v>36511626</v>
      </c>
      <c r="AY75">
        <v>1</v>
      </c>
      <c r="AZ75">
        <v>0</v>
      </c>
      <c r="BA75">
        <v>76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Y75*Source!I147</f>
        <v>0.99</v>
      </c>
      <c r="CY75">
        <f>AA75</f>
        <v>53.91</v>
      </c>
      <c r="CZ75">
        <f>AE75</f>
        <v>15.95</v>
      </c>
      <c r="DA75">
        <f>AI75</f>
        <v>3.38</v>
      </c>
      <c r="DB75">
        <f>ROUND(ROUND(AT75*CZ75,2),6)</f>
        <v>478.5</v>
      </c>
      <c r="DC75">
        <f>ROUND(ROUND(AT75*AG75,2),6)</f>
        <v>0</v>
      </c>
    </row>
    <row r="76" spans="1:107">
      <c r="A76">
        <f>ROW(Source!A148)</f>
        <v>148</v>
      </c>
      <c r="B76">
        <v>35822480</v>
      </c>
      <c r="C76">
        <v>35839113</v>
      </c>
      <c r="D76">
        <v>18406804</v>
      </c>
      <c r="E76">
        <v>1</v>
      </c>
      <c r="F76">
        <v>1</v>
      </c>
      <c r="G76">
        <v>1</v>
      </c>
      <c r="H76">
        <v>1</v>
      </c>
      <c r="I76" t="s">
        <v>317</v>
      </c>
      <c r="J76" t="s">
        <v>3</v>
      </c>
      <c r="K76" t="s">
        <v>318</v>
      </c>
      <c r="L76">
        <v>1369</v>
      </c>
      <c r="N76">
        <v>1013</v>
      </c>
      <c r="O76" t="s">
        <v>295</v>
      </c>
      <c r="P76" t="s">
        <v>295</v>
      </c>
      <c r="Q76">
        <v>1</v>
      </c>
      <c r="W76">
        <v>0</v>
      </c>
      <c r="X76">
        <v>254330056</v>
      </c>
      <c r="Y76">
        <v>22.82</v>
      </c>
      <c r="AA76">
        <v>0</v>
      </c>
      <c r="AB76">
        <v>0</v>
      </c>
      <c r="AC76">
        <v>0</v>
      </c>
      <c r="AD76">
        <v>254.67</v>
      </c>
      <c r="AE76">
        <v>0</v>
      </c>
      <c r="AF76">
        <v>0</v>
      </c>
      <c r="AG76">
        <v>0</v>
      </c>
      <c r="AH76">
        <v>254.67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22.82</v>
      </c>
      <c r="AU76" t="s">
        <v>3</v>
      </c>
      <c r="AV76">
        <v>1</v>
      </c>
      <c r="AW76">
        <v>2</v>
      </c>
      <c r="AX76">
        <v>35839114</v>
      </c>
      <c r="AY76">
        <v>1</v>
      </c>
      <c r="AZ76">
        <v>0</v>
      </c>
      <c r="BA76">
        <v>79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Y76*Source!I148</f>
        <v>29.437800000000003</v>
      </c>
      <c r="CY76">
        <f>AD76</f>
        <v>254.67</v>
      </c>
      <c r="CZ76">
        <f>AH76</f>
        <v>254.67</v>
      </c>
      <c r="DA76">
        <f>AL76</f>
        <v>1</v>
      </c>
      <c r="DB76">
        <f>ROUND(ROUND(AT76*CZ76,2),6)</f>
        <v>5811.57</v>
      </c>
      <c r="DC76">
        <f>ROUND(ROUND(AT76*AG76,2),6)</f>
        <v>0</v>
      </c>
    </row>
    <row r="77" spans="1:107">
      <c r="A77">
        <f>ROW(Source!A149)</f>
        <v>149</v>
      </c>
      <c r="B77">
        <v>35822480</v>
      </c>
      <c r="C77">
        <v>35822980</v>
      </c>
      <c r="D77">
        <v>18407546</v>
      </c>
      <c r="E77">
        <v>1</v>
      </c>
      <c r="F77">
        <v>1</v>
      </c>
      <c r="G77">
        <v>1</v>
      </c>
      <c r="H77">
        <v>1</v>
      </c>
      <c r="I77" t="s">
        <v>431</v>
      </c>
      <c r="J77" t="s">
        <v>3</v>
      </c>
      <c r="K77" t="s">
        <v>432</v>
      </c>
      <c r="L77">
        <v>1369</v>
      </c>
      <c r="N77">
        <v>1013</v>
      </c>
      <c r="O77" t="s">
        <v>295</v>
      </c>
      <c r="P77" t="s">
        <v>295</v>
      </c>
      <c r="Q77">
        <v>1</v>
      </c>
      <c r="W77">
        <v>0</v>
      </c>
      <c r="X77">
        <v>1709986911</v>
      </c>
      <c r="Y77">
        <v>85.375999999999991</v>
      </c>
      <c r="AA77">
        <v>0</v>
      </c>
      <c r="AB77">
        <v>0</v>
      </c>
      <c r="AC77">
        <v>0</v>
      </c>
      <c r="AD77">
        <v>306.91000000000003</v>
      </c>
      <c r="AE77">
        <v>0</v>
      </c>
      <c r="AF77">
        <v>0</v>
      </c>
      <c r="AG77">
        <v>0</v>
      </c>
      <c r="AH77">
        <v>306.91000000000003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74.239999999999995</v>
      </c>
      <c r="AU77" t="s">
        <v>118</v>
      </c>
      <c r="AV77">
        <v>1</v>
      </c>
      <c r="AW77">
        <v>2</v>
      </c>
      <c r="AX77">
        <v>35822981</v>
      </c>
      <c r="AY77">
        <v>1</v>
      </c>
      <c r="AZ77">
        <v>0</v>
      </c>
      <c r="BA77">
        <v>80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Y77*Source!I149</f>
        <v>110.13503999999999</v>
      </c>
      <c r="CY77">
        <f>AD77</f>
        <v>306.91000000000003</v>
      </c>
      <c r="CZ77">
        <f>AH77</f>
        <v>306.91000000000003</v>
      </c>
      <c r="DA77">
        <f>AL77</f>
        <v>1</v>
      </c>
      <c r="DB77">
        <f>ROUND((ROUND(AT77*CZ77,2)*1.15),6)</f>
        <v>26202.75</v>
      </c>
      <c r="DC77">
        <f>ROUND((ROUND(AT77*AG77,2)*1.15),6)</f>
        <v>0</v>
      </c>
    </row>
    <row r="78" spans="1:107">
      <c r="A78">
        <f>ROW(Source!A149)</f>
        <v>149</v>
      </c>
      <c r="B78">
        <v>35822480</v>
      </c>
      <c r="C78">
        <v>35822980</v>
      </c>
      <c r="D78">
        <v>121548</v>
      </c>
      <c r="E78">
        <v>1</v>
      </c>
      <c r="F78">
        <v>1</v>
      </c>
      <c r="G78">
        <v>1</v>
      </c>
      <c r="H78">
        <v>1</v>
      </c>
      <c r="I78" t="s">
        <v>296</v>
      </c>
      <c r="J78" t="s">
        <v>3</v>
      </c>
      <c r="K78" t="s">
        <v>297</v>
      </c>
      <c r="L78">
        <v>608254</v>
      </c>
      <c r="N78">
        <v>1013</v>
      </c>
      <c r="O78" t="s">
        <v>298</v>
      </c>
      <c r="P78" t="s">
        <v>298</v>
      </c>
      <c r="Q78">
        <v>1</v>
      </c>
      <c r="W78">
        <v>0</v>
      </c>
      <c r="X78">
        <v>-185737400</v>
      </c>
      <c r="Y78">
        <v>6.2749999999999995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5.0199999999999996</v>
      </c>
      <c r="AU78" t="s">
        <v>117</v>
      </c>
      <c r="AV78">
        <v>2</v>
      </c>
      <c r="AW78">
        <v>2</v>
      </c>
      <c r="AX78">
        <v>35822982</v>
      </c>
      <c r="AY78">
        <v>1</v>
      </c>
      <c r="AZ78">
        <v>0</v>
      </c>
      <c r="BA78">
        <v>81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Y78*Source!I149</f>
        <v>8.0947499999999994</v>
      </c>
      <c r="CY78">
        <f>AD78</f>
        <v>0</v>
      </c>
      <c r="CZ78">
        <f>AH78</f>
        <v>0</v>
      </c>
      <c r="DA78">
        <f>AL78</f>
        <v>1</v>
      </c>
      <c r="DB78">
        <f>ROUND((ROUND(AT78*CZ78,2)*1.25),6)</f>
        <v>0</v>
      </c>
      <c r="DC78">
        <f>ROUND((ROUND(AT78*AG78,2)*1.25),6)</f>
        <v>0</v>
      </c>
    </row>
    <row r="79" spans="1:107">
      <c r="A79">
        <f>ROW(Source!A149)</f>
        <v>149</v>
      </c>
      <c r="B79">
        <v>35822480</v>
      </c>
      <c r="C79">
        <v>35822980</v>
      </c>
      <c r="D79">
        <v>29172556</v>
      </c>
      <c r="E79">
        <v>1</v>
      </c>
      <c r="F79">
        <v>1</v>
      </c>
      <c r="G79">
        <v>1</v>
      </c>
      <c r="H79">
        <v>2</v>
      </c>
      <c r="I79" t="s">
        <v>299</v>
      </c>
      <c r="J79" t="s">
        <v>300</v>
      </c>
      <c r="K79" t="s">
        <v>301</v>
      </c>
      <c r="L79">
        <v>1368</v>
      </c>
      <c r="N79">
        <v>1011</v>
      </c>
      <c r="O79" t="s">
        <v>302</v>
      </c>
      <c r="P79" t="s">
        <v>302</v>
      </c>
      <c r="Q79">
        <v>1</v>
      </c>
      <c r="W79">
        <v>0</v>
      </c>
      <c r="X79">
        <v>-1302720870</v>
      </c>
      <c r="Y79">
        <v>0.32500000000000001</v>
      </c>
      <c r="AA79">
        <v>0</v>
      </c>
      <c r="AB79">
        <v>466.71</v>
      </c>
      <c r="AC79">
        <v>446.18</v>
      </c>
      <c r="AD79">
        <v>0</v>
      </c>
      <c r="AE79">
        <v>0</v>
      </c>
      <c r="AF79">
        <v>31.26</v>
      </c>
      <c r="AG79">
        <v>13.5</v>
      </c>
      <c r="AH79">
        <v>0</v>
      </c>
      <c r="AI79">
        <v>1</v>
      </c>
      <c r="AJ79">
        <v>14.93</v>
      </c>
      <c r="AK79">
        <v>33.049999999999997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0.26</v>
      </c>
      <c r="AU79" t="s">
        <v>117</v>
      </c>
      <c r="AV79">
        <v>0</v>
      </c>
      <c r="AW79">
        <v>2</v>
      </c>
      <c r="AX79">
        <v>35822983</v>
      </c>
      <c r="AY79">
        <v>1</v>
      </c>
      <c r="AZ79">
        <v>0</v>
      </c>
      <c r="BA79">
        <v>82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Y79*Source!I149</f>
        <v>0.41925000000000001</v>
      </c>
      <c r="CY79">
        <f>AB79</f>
        <v>466.71</v>
      </c>
      <c r="CZ79">
        <f>AF79</f>
        <v>31.26</v>
      </c>
      <c r="DA79">
        <f>AJ79</f>
        <v>14.93</v>
      </c>
      <c r="DB79">
        <f>ROUND((ROUND(AT79*CZ79,2)*1.25),6)</f>
        <v>10.1625</v>
      </c>
      <c r="DC79">
        <f>ROUND((ROUND(AT79*AG79,2)*1.25),6)</f>
        <v>4.3875000000000002</v>
      </c>
    </row>
    <row r="80" spans="1:107">
      <c r="A80">
        <f>ROW(Source!A149)</f>
        <v>149</v>
      </c>
      <c r="B80">
        <v>35822480</v>
      </c>
      <c r="C80">
        <v>35822980</v>
      </c>
      <c r="D80">
        <v>29173156</v>
      </c>
      <c r="E80">
        <v>1</v>
      </c>
      <c r="F80">
        <v>1</v>
      </c>
      <c r="G80">
        <v>1</v>
      </c>
      <c r="H80">
        <v>2</v>
      </c>
      <c r="I80" t="s">
        <v>433</v>
      </c>
      <c r="J80" t="s">
        <v>434</v>
      </c>
      <c r="K80" t="s">
        <v>435</v>
      </c>
      <c r="L80">
        <v>1368</v>
      </c>
      <c r="N80">
        <v>1011</v>
      </c>
      <c r="O80" t="s">
        <v>302</v>
      </c>
      <c r="P80" t="s">
        <v>302</v>
      </c>
      <c r="Q80">
        <v>1</v>
      </c>
      <c r="W80">
        <v>0</v>
      </c>
      <c r="X80">
        <v>-112784021</v>
      </c>
      <c r="Y80">
        <v>5.9499999999999993</v>
      </c>
      <c r="AA80">
        <v>0</v>
      </c>
      <c r="AB80">
        <v>341.19</v>
      </c>
      <c r="AC80">
        <v>294.48</v>
      </c>
      <c r="AD80">
        <v>0</v>
      </c>
      <c r="AE80">
        <v>0</v>
      </c>
      <c r="AF80">
        <v>15.3</v>
      </c>
      <c r="AG80">
        <v>8.91</v>
      </c>
      <c r="AH80">
        <v>0</v>
      </c>
      <c r="AI80">
        <v>1</v>
      </c>
      <c r="AJ80">
        <v>22.3</v>
      </c>
      <c r="AK80">
        <v>33.049999999999997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4.76</v>
      </c>
      <c r="AU80" t="s">
        <v>117</v>
      </c>
      <c r="AV80">
        <v>0</v>
      </c>
      <c r="AW80">
        <v>2</v>
      </c>
      <c r="AX80">
        <v>35822984</v>
      </c>
      <c r="AY80">
        <v>1</v>
      </c>
      <c r="AZ80">
        <v>0</v>
      </c>
      <c r="BA80">
        <v>83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Y80*Source!I149</f>
        <v>7.6754999999999995</v>
      </c>
      <c r="CY80">
        <f>AB80</f>
        <v>341.19</v>
      </c>
      <c r="CZ80">
        <f>AF80</f>
        <v>15.3</v>
      </c>
      <c r="DA80">
        <f>AJ80</f>
        <v>22.3</v>
      </c>
      <c r="DB80">
        <f>ROUND((ROUND(AT80*CZ80,2)*1.25),6)</f>
        <v>91.037499999999994</v>
      </c>
      <c r="DC80">
        <f>ROUND((ROUND(AT80*AG80,2)*1.25),6)</f>
        <v>53.012500000000003</v>
      </c>
    </row>
    <row r="81" spans="1:107">
      <c r="A81">
        <f>ROW(Source!A149)</f>
        <v>149</v>
      </c>
      <c r="B81">
        <v>35822480</v>
      </c>
      <c r="C81">
        <v>35822980</v>
      </c>
      <c r="D81">
        <v>29114338</v>
      </c>
      <c r="E81">
        <v>1</v>
      </c>
      <c r="F81">
        <v>1</v>
      </c>
      <c r="G81">
        <v>1</v>
      </c>
      <c r="H81">
        <v>3</v>
      </c>
      <c r="I81" t="s">
        <v>436</v>
      </c>
      <c r="J81" t="s">
        <v>437</v>
      </c>
      <c r="K81" t="s">
        <v>438</v>
      </c>
      <c r="L81">
        <v>1348</v>
      </c>
      <c r="N81">
        <v>1009</v>
      </c>
      <c r="O81" t="s">
        <v>28</v>
      </c>
      <c r="P81" t="s">
        <v>28</v>
      </c>
      <c r="Q81">
        <v>1000</v>
      </c>
      <c r="W81">
        <v>0</v>
      </c>
      <c r="X81">
        <v>898201434</v>
      </c>
      <c r="Y81">
        <v>1.2E-4</v>
      </c>
      <c r="AA81">
        <v>54070.5</v>
      </c>
      <c r="AB81">
        <v>0</v>
      </c>
      <c r="AC81">
        <v>0</v>
      </c>
      <c r="AD81">
        <v>0</v>
      </c>
      <c r="AE81">
        <v>8475</v>
      </c>
      <c r="AF81">
        <v>0</v>
      </c>
      <c r="AG81">
        <v>0</v>
      </c>
      <c r="AH81">
        <v>0</v>
      </c>
      <c r="AI81">
        <v>6.38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1.2E-4</v>
      </c>
      <c r="AU81" t="s">
        <v>3</v>
      </c>
      <c r="AV81">
        <v>0</v>
      </c>
      <c r="AW81">
        <v>2</v>
      </c>
      <c r="AX81">
        <v>35822985</v>
      </c>
      <c r="AY81">
        <v>1</v>
      </c>
      <c r="AZ81">
        <v>0</v>
      </c>
      <c r="BA81">
        <v>84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Y81*Source!I149</f>
        <v>1.548E-4</v>
      </c>
      <c r="CY81">
        <f>AA81</f>
        <v>54070.5</v>
      </c>
      <c r="CZ81">
        <f>AE81</f>
        <v>8475</v>
      </c>
      <c r="DA81">
        <f>AI81</f>
        <v>6.38</v>
      </c>
      <c r="DB81">
        <f>ROUND(ROUND(AT81*CZ81,2),6)</f>
        <v>1.02</v>
      </c>
      <c r="DC81">
        <f>ROUND(ROUND(AT81*AG81,2),6)</f>
        <v>0</v>
      </c>
    </row>
    <row r="82" spans="1:107">
      <c r="A82">
        <f>ROW(Source!A149)</f>
        <v>149</v>
      </c>
      <c r="B82">
        <v>35822480</v>
      </c>
      <c r="C82">
        <v>35822980</v>
      </c>
      <c r="D82">
        <v>29112827</v>
      </c>
      <c r="E82">
        <v>1</v>
      </c>
      <c r="F82">
        <v>1</v>
      </c>
      <c r="G82">
        <v>1</v>
      </c>
      <c r="H82">
        <v>3</v>
      </c>
      <c r="I82" t="s">
        <v>439</v>
      </c>
      <c r="J82" t="s">
        <v>440</v>
      </c>
      <c r="K82" t="s">
        <v>441</v>
      </c>
      <c r="L82">
        <v>1327</v>
      </c>
      <c r="N82">
        <v>1005</v>
      </c>
      <c r="O82" t="s">
        <v>354</v>
      </c>
      <c r="P82" t="s">
        <v>354</v>
      </c>
      <c r="Q82">
        <v>1</v>
      </c>
      <c r="W82">
        <v>0</v>
      </c>
      <c r="X82">
        <v>-241236482</v>
      </c>
      <c r="Y82">
        <v>5.28</v>
      </c>
      <c r="AA82">
        <v>111.02</v>
      </c>
      <c r="AB82">
        <v>0</v>
      </c>
      <c r="AC82">
        <v>0</v>
      </c>
      <c r="AD82">
        <v>0</v>
      </c>
      <c r="AE82">
        <v>28.25</v>
      </c>
      <c r="AF82">
        <v>0</v>
      </c>
      <c r="AG82">
        <v>0</v>
      </c>
      <c r="AH82">
        <v>0</v>
      </c>
      <c r="AI82">
        <v>3.93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5.28</v>
      </c>
      <c r="AU82" t="s">
        <v>3</v>
      </c>
      <c r="AV82">
        <v>0</v>
      </c>
      <c r="AW82">
        <v>2</v>
      </c>
      <c r="AX82">
        <v>35822986</v>
      </c>
      <c r="AY82">
        <v>1</v>
      </c>
      <c r="AZ82">
        <v>0</v>
      </c>
      <c r="BA82">
        <v>85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Y82*Source!I149</f>
        <v>6.8112000000000004</v>
      </c>
      <c r="CY82">
        <f>AA82</f>
        <v>111.02</v>
      </c>
      <c r="CZ82">
        <f>AE82</f>
        <v>28.25</v>
      </c>
      <c r="DA82">
        <f>AI82</f>
        <v>3.93</v>
      </c>
      <c r="DB82">
        <f>ROUND(ROUND(AT82*CZ82,2),6)</f>
        <v>149.16</v>
      </c>
      <c r="DC82">
        <f>ROUND(ROUND(AT82*AG82,2),6)</f>
        <v>0</v>
      </c>
    </row>
    <row r="83" spans="1:107">
      <c r="A83">
        <f>ROW(Source!A149)</f>
        <v>149</v>
      </c>
      <c r="B83">
        <v>35822480</v>
      </c>
      <c r="C83">
        <v>35822980</v>
      </c>
      <c r="D83">
        <v>29145213</v>
      </c>
      <c r="E83">
        <v>1</v>
      </c>
      <c r="F83">
        <v>1</v>
      </c>
      <c r="G83">
        <v>1</v>
      </c>
      <c r="H83">
        <v>3</v>
      </c>
      <c r="I83" t="s">
        <v>442</v>
      </c>
      <c r="J83" t="s">
        <v>443</v>
      </c>
      <c r="K83" t="s">
        <v>444</v>
      </c>
      <c r="L83">
        <v>1339</v>
      </c>
      <c r="N83">
        <v>1007</v>
      </c>
      <c r="O83" t="s">
        <v>311</v>
      </c>
      <c r="P83" t="s">
        <v>311</v>
      </c>
      <c r="Q83">
        <v>1</v>
      </c>
      <c r="W83">
        <v>0</v>
      </c>
      <c r="X83">
        <v>-1951829887</v>
      </c>
      <c r="Y83">
        <v>0.2</v>
      </c>
      <c r="AA83">
        <v>3402.54</v>
      </c>
      <c r="AB83">
        <v>0</v>
      </c>
      <c r="AC83">
        <v>0</v>
      </c>
      <c r="AD83">
        <v>0</v>
      </c>
      <c r="AE83">
        <v>517.89</v>
      </c>
      <c r="AF83">
        <v>0</v>
      </c>
      <c r="AG83">
        <v>0</v>
      </c>
      <c r="AH83">
        <v>0</v>
      </c>
      <c r="AI83">
        <v>6.57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0.2</v>
      </c>
      <c r="AU83" t="s">
        <v>3</v>
      </c>
      <c r="AV83">
        <v>0</v>
      </c>
      <c r="AW83">
        <v>2</v>
      </c>
      <c r="AX83">
        <v>35822987</v>
      </c>
      <c r="AY83">
        <v>1</v>
      </c>
      <c r="AZ83">
        <v>0</v>
      </c>
      <c r="BA83">
        <v>86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Y83*Source!I149</f>
        <v>0.25800000000000001</v>
      </c>
      <c r="CY83">
        <f>AA83</f>
        <v>3402.54</v>
      </c>
      <c r="CZ83">
        <f>AE83</f>
        <v>517.89</v>
      </c>
      <c r="DA83">
        <f>AI83</f>
        <v>6.57</v>
      </c>
      <c r="DB83">
        <f>ROUND(ROUND(AT83*CZ83,2),6)</f>
        <v>103.58</v>
      </c>
      <c r="DC83">
        <f>ROUND(ROUND(AT83*AG83,2),6)</f>
        <v>0</v>
      </c>
    </row>
    <row r="84" spans="1:107">
      <c r="A84">
        <f>ROW(Source!A149)</f>
        <v>149</v>
      </c>
      <c r="B84">
        <v>35822480</v>
      </c>
      <c r="C84">
        <v>35822980</v>
      </c>
      <c r="D84">
        <v>29145216</v>
      </c>
      <c r="E84">
        <v>1</v>
      </c>
      <c r="F84">
        <v>1</v>
      </c>
      <c r="G84">
        <v>1</v>
      </c>
      <c r="H84">
        <v>3</v>
      </c>
      <c r="I84" t="s">
        <v>445</v>
      </c>
      <c r="J84" t="s">
        <v>446</v>
      </c>
      <c r="K84" t="s">
        <v>447</v>
      </c>
      <c r="L84">
        <v>1339</v>
      </c>
      <c r="N84">
        <v>1007</v>
      </c>
      <c r="O84" t="s">
        <v>311</v>
      </c>
      <c r="P84" t="s">
        <v>311</v>
      </c>
      <c r="Q84">
        <v>1</v>
      </c>
      <c r="W84">
        <v>0</v>
      </c>
      <c r="X84">
        <v>1492286678</v>
      </c>
      <c r="Y84">
        <v>1.58</v>
      </c>
      <c r="AA84">
        <v>3485.75</v>
      </c>
      <c r="AB84">
        <v>0</v>
      </c>
      <c r="AC84">
        <v>0</v>
      </c>
      <c r="AD84">
        <v>0</v>
      </c>
      <c r="AE84">
        <v>477.5</v>
      </c>
      <c r="AF84">
        <v>0</v>
      </c>
      <c r="AG84">
        <v>0</v>
      </c>
      <c r="AH84">
        <v>0</v>
      </c>
      <c r="AI84">
        <v>7.3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1.58</v>
      </c>
      <c r="AU84" t="s">
        <v>3</v>
      </c>
      <c r="AV84">
        <v>0</v>
      </c>
      <c r="AW84">
        <v>2</v>
      </c>
      <c r="AX84">
        <v>35822988</v>
      </c>
      <c r="AY84">
        <v>1</v>
      </c>
      <c r="AZ84">
        <v>0</v>
      </c>
      <c r="BA84">
        <v>87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Y84*Source!I149</f>
        <v>2.0382000000000002</v>
      </c>
      <c r="CY84">
        <f>AA84</f>
        <v>3485.75</v>
      </c>
      <c r="CZ84">
        <f>AE84</f>
        <v>477.5</v>
      </c>
      <c r="DA84">
        <f>AI84</f>
        <v>7.3</v>
      </c>
      <c r="DB84">
        <f>ROUND(ROUND(AT84*CZ84,2),6)</f>
        <v>754.45</v>
      </c>
      <c r="DC84">
        <f>ROUND(ROUND(AT84*AG84,2),6)</f>
        <v>0</v>
      </c>
    </row>
    <row r="85" spans="1:107">
      <c r="A85">
        <f>ROW(Source!A150)</f>
        <v>150</v>
      </c>
      <c r="B85">
        <v>35822480</v>
      </c>
      <c r="C85">
        <v>35822989</v>
      </c>
      <c r="D85">
        <v>18413638</v>
      </c>
      <c r="E85">
        <v>1</v>
      </c>
      <c r="F85">
        <v>1</v>
      </c>
      <c r="G85">
        <v>1</v>
      </c>
      <c r="H85">
        <v>1</v>
      </c>
      <c r="I85" t="s">
        <v>448</v>
      </c>
      <c r="J85" t="s">
        <v>3</v>
      </c>
      <c r="K85" t="s">
        <v>449</v>
      </c>
      <c r="L85">
        <v>1369</v>
      </c>
      <c r="N85">
        <v>1013</v>
      </c>
      <c r="O85" t="s">
        <v>295</v>
      </c>
      <c r="P85" t="s">
        <v>295</v>
      </c>
      <c r="Q85">
        <v>1</v>
      </c>
      <c r="W85">
        <v>0</v>
      </c>
      <c r="X85">
        <v>-1317466805</v>
      </c>
      <c r="Y85">
        <v>67.527999999999992</v>
      </c>
      <c r="AA85">
        <v>0</v>
      </c>
      <c r="AB85">
        <v>0</v>
      </c>
      <c r="AC85">
        <v>0</v>
      </c>
      <c r="AD85">
        <v>342.82</v>
      </c>
      <c r="AE85">
        <v>0</v>
      </c>
      <c r="AF85">
        <v>0</v>
      </c>
      <c r="AG85">
        <v>0</v>
      </c>
      <c r="AH85">
        <v>342.82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58.72</v>
      </c>
      <c r="AU85" t="s">
        <v>118</v>
      </c>
      <c r="AV85">
        <v>1</v>
      </c>
      <c r="AW85">
        <v>2</v>
      </c>
      <c r="AX85">
        <v>35822990</v>
      </c>
      <c r="AY85">
        <v>1</v>
      </c>
      <c r="AZ85">
        <v>0</v>
      </c>
      <c r="BA85">
        <v>88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Y85*Source!I150</f>
        <v>87.111119999999985</v>
      </c>
      <c r="CY85">
        <f>AD85</f>
        <v>342.82</v>
      </c>
      <c r="CZ85">
        <f>AH85</f>
        <v>342.82</v>
      </c>
      <c r="DA85">
        <f>AL85</f>
        <v>1</v>
      </c>
      <c r="DB85">
        <f>ROUND((ROUND(AT85*CZ85,2)*1.15),6)</f>
        <v>23149.948499999999</v>
      </c>
      <c r="DC85">
        <f>ROUND((ROUND(AT85*AG85,2)*1.15),6)</f>
        <v>0</v>
      </c>
    </row>
    <row r="86" spans="1:107">
      <c r="A86">
        <f>ROW(Source!A150)</f>
        <v>150</v>
      </c>
      <c r="B86">
        <v>35822480</v>
      </c>
      <c r="C86">
        <v>35822989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296</v>
      </c>
      <c r="J86" t="s">
        <v>3</v>
      </c>
      <c r="K86" t="s">
        <v>297</v>
      </c>
      <c r="L86">
        <v>608254</v>
      </c>
      <c r="N86">
        <v>1013</v>
      </c>
      <c r="O86" t="s">
        <v>298</v>
      </c>
      <c r="P86" t="s">
        <v>298</v>
      </c>
      <c r="Q86">
        <v>1</v>
      </c>
      <c r="W86">
        <v>0</v>
      </c>
      <c r="X86">
        <v>-185737400</v>
      </c>
      <c r="Y86">
        <v>7.4999999999999997E-2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0.06</v>
      </c>
      <c r="AU86" t="s">
        <v>117</v>
      </c>
      <c r="AV86">
        <v>2</v>
      </c>
      <c r="AW86">
        <v>2</v>
      </c>
      <c r="AX86">
        <v>35822991</v>
      </c>
      <c r="AY86">
        <v>1</v>
      </c>
      <c r="AZ86">
        <v>0</v>
      </c>
      <c r="BA86">
        <v>89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Y86*Source!I150</f>
        <v>9.6750000000000003E-2</v>
      </c>
      <c r="CY86">
        <f>AD86</f>
        <v>0</v>
      </c>
      <c r="CZ86">
        <f>AH86</f>
        <v>0</v>
      </c>
      <c r="DA86">
        <f>AL86</f>
        <v>1</v>
      </c>
      <c r="DB86">
        <f>ROUND((ROUND(AT86*CZ86,2)*1.25),6)</f>
        <v>0</v>
      </c>
      <c r="DC86">
        <f>ROUND((ROUND(AT86*AG86,2)*1.25),6)</f>
        <v>0</v>
      </c>
    </row>
    <row r="87" spans="1:107">
      <c r="A87">
        <f>ROW(Source!A150)</f>
        <v>150</v>
      </c>
      <c r="B87">
        <v>35822480</v>
      </c>
      <c r="C87">
        <v>35822989</v>
      </c>
      <c r="D87">
        <v>29172556</v>
      </c>
      <c r="E87">
        <v>1</v>
      </c>
      <c r="F87">
        <v>1</v>
      </c>
      <c r="G87">
        <v>1</v>
      </c>
      <c r="H87">
        <v>2</v>
      </c>
      <c r="I87" t="s">
        <v>299</v>
      </c>
      <c r="J87" t="s">
        <v>300</v>
      </c>
      <c r="K87" t="s">
        <v>301</v>
      </c>
      <c r="L87">
        <v>1368</v>
      </c>
      <c r="N87">
        <v>1011</v>
      </c>
      <c r="O87" t="s">
        <v>302</v>
      </c>
      <c r="P87" t="s">
        <v>302</v>
      </c>
      <c r="Q87">
        <v>1</v>
      </c>
      <c r="W87">
        <v>0</v>
      </c>
      <c r="X87">
        <v>-1302720870</v>
      </c>
      <c r="Y87">
        <v>7.4999999999999997E-2</v>
      </c>
      <c r="AA87">
        <v>0</v>
      </c>
      <c r="AB87">
        <v>466.71</v>
      </c>
      <c r="AC87">
        <v>446.18</v>
      </c>
      <c r="AD87">
        <v>0</v>
      </c>
      <c r="AE87">
        <v>0</v>
      </c>
      <c r="AF87">
        <v>31.26</v>
      </c>
      <c r="AG87">
        <v>13.5</v>
      </c>
      <c r="AH87">
        <v>0</v>
      </c>
      <c r="AI87">
        <v>1</v>
      </c>
      <c r="AJ87">
        <v>14.93</v>
      </c>
      <c r="AK87">
        <v>33.049999999999997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0.06</v>
      </c>
      <c r="AU87" t="s">
        <v>117</v>
      </c>
      <c r="AV87">
        <v>0</v>
      </c>
      <c r="AW87">
        <v>2</v>
      </c>
      <c r="AX87">
        <v>35822992</v>
      </c>
      <c r="AY87">
        <v>1</v>
      </c>
      <c r="AZ87">
        <v>0</v>
      </c>
      <c r="BA87">
        <v>90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Y87*Source!I150</f>
        <v>9.6750000000000003E-2</v>
      </c>
      <c r="CY87">
        <f>AB87</f>
        <v>466.71</v>
      </c>
      <c r="CZ87">
        <f>AF87</f>
        <v>31.26</v>
      </c>
      <c r="DA87">
        <f>AJ87</f>
        <v>14.93</v>
      </c>
      <c r="DB87">
        <f>ROUND((ROUND(AT87*CZ87,2)*1.25),6)</f>
        <v>2.35</v>
      </c>
      <c r="DC87">
        <f>ROUND((ROUND(AT87*AG87,2)*1.25),6)</f>
        <v>1.0125</v>
      </c>
    </row>
    <row r="88" spans="1:107">
      <c r="A88">
        <f>ROW(Source!A150)</f>
        <v>150</v>
      </c>
      <c r="B88">
        <v>35822480</v>
      </c>
      <c r="C88">
        <v>35822989</v>
      </c>
      <c r="D88">
        <v>29174500</v>
      </c>
      <c r="E88">
        <v>1</v>
      </c>
      <c r="F88">
        <v>1</v>
      </c>
      <c r="G88">
        <v>1</v>
      </c>
      <c r="H88">
        <v>2</v>
      </c>
      <c r="I88" t="s">
        <v>388</v>
      </c>
      <c r="J88" t="s">
        <v>389</v>
      </c>
      <c r="K88" t="s">
        <v>390</v>
      </c>
      <c r="L88">
        <v>1368</v>
      </c>
      <c r="N88">
        <v>1011</v>
      </c>
      <c r="O88" t="s">
        <v>302</v>
      </c>
      <c r="P88" t="s">
        <v>302</v>
      </c>
      <c r="Q88">
        <v>1</v>
      </c>
      <c r="W88">
        <v>0</v>
      </c>
      <c r="X88">
        <v>-239831557</v>
      </c>
      <c r="Y88">
        <v>1.6625000000000001</v>
      </c>
      <c r="AA88">
        <v>0</v>
      </c>
      <c r="AB88">
        <v>7.33</v>
      </c>
      <c r="AC88">
        <v>0</v>
      </c>
      <c r="AD88">
        <v>0</v>
      </c>
      <c r="AE88">
        <v>0</v>
      </c>
      <c r="AF88">
        <v>1.95</v>
      </c>
      <c r="AG88">
        <v>0</v>
      </c>
      <c r="AH88">
        <v>0</v>
      </c>
      <c r="AI88">
        <v>1</v>
      </c>
      <c r="AJ88">
        <v>3.76</v>
      </c>
      <c r="AK88">
        <v>33.049999999999997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1.33</v>
      </c>
      <c r="AU88" t="s">
        <v>117</v>
      </c>
      <c r="AV88">
        <v>0</v>
      </c>
      <c r="AW88">
        <v>2</v>
      </c>
      <c r="AX88">
        <v>35822993</v>
      </c>
      <c r="AY88">
        <v>1</v>
      </c>
      <c r="AZ88">
        <v>0</v>
      </c>
      <c r="BA88">
        <v>91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Y88*Source!I150</f>
        <v>2.144625</v>
      </c>
      <c r="CY88">
        <f>AB88</f>
        <v>7.33</v>
      </c>
      <c r="CZ88">
        <f>AF88</f>
        <v>1.95</v>
      </c>
      <c r="DA88">
        <f>AJ88</f>
        <v>3.76</v>
      </c>
      <c r="DB88">
        <f>ROUND((ROUND(AT88*CZ88,2)*1.25),6)</f>
        <v>3.2374999999999998</v>
      </c>
      <c r="DC88">
        <f>ROUND((ROUND(AT88*AG88,2)*1.25),6)</f>
        <v>0</v>
      </c>
    </row>
    <row r="89" spans="1:107">
      <c r="A89">
        <f>ROW(Source!A150)</f>
        <v>150</v>
      </c>
      <c r="B89">
        <v>35822480</v>
      </c>
      <c r="C89">
        <v>35822989</v>
      </c>
      <c r="D89">
        <v>29174913</v>
      </c>
      <c r="E89">
        <v>1</v>
      </c>
      <c r="F89">
        <v>1</v>
      </c>
      <c r="G89">
        <v>1</v>
      </c>
      <c r="H89">
        <v>2</v>
      </c>
      <c r="I89" t="s">
        <v>342</v>
      </c>
      <c r="J89" t="s">
        <v>343</v>
      </c>
      <c r="K89" t="s">
        <v>344</v>
      </c>
      <c r="L89">
        <v>1368</v>
      </c>
      <c r="N89">
        <v>1011</v>
      </c>
      <c r="O89" t="s">
        <v>302</v>
      </c>
      <c r="P89" t="s">
        <v>302</v>
      </c>
      <c r="Q89">
        <v>1</v>
      </c>
      <c r="W89">
        <v>0</v>
      </c>
      <c r="X89">
        <v>458544584</v>
      </c>
      <c r="Y89">
        <v>0.47499999999999998</v>
      </c>
      <c r="AA89">
        <v>0</v>
      </c>
      <c r="AB89">
        <v>932.72</v>
      </c>
      <c r="AC89">
        <v>383.38</v>
      </c>
      <c r="AD89">
        <v>0</v>
      </c>
      <c r="AE89">
        <v>0</v>
      </c>
      <c r="AF89">
        <v>87.17</v>
      </c>
      <c r="AG89">
        <v>11.6</v>
      </c>
      <c r="AH89">
        <v>0</v>
      </c>
      <c r="AI89">
        <v>1</v>
      </c>
      <c r="AJ89">
        <v>10.7</v>
      </c>
      <c r="AK89">
        <v>33.049999999999997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0.38</v>
      </c>
      <c r="AU89" t="s">
        <v>117</v>
      </c>
      <c r="AV89">
        <v>0</v>
      </c>
      <c r="AW89">
        <v>2</v>
      </c>
      <c r="AX89">
        <v>35822994</v>
      </c>
      <c r="AY89">
        <v>1</v>
      </c>
      <c r="AZ89">
        <v>0</v>
      </c>
      <c r="BA89">
        <v>92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Y89*Source!I150</f>
        <v>0.61275000000000002</v>
      </c>
      <c r="CY89">
        <f>AB89</f>
        <v>932.72</v>
      </c>
      <c r="CZ89">
        <f>AF89</f>
        <v>87.17</v>
      </c>
      <c r="DA89">
        <f>AJ89</f>
        <v>10.7</v>
      </c>
      <c r="DB89">
        <f>ROUND((ROUND(AT89*CZ89,2)*1.25),6)</f>
        <v>41.4</v>
      </c>
      <c r="DC89">
        <f>ROUND((ROUND(AT89*AG89,2)*1.25),6)</f>
        <v>5.5125000000000002</v>
      </c>
    </row>
    <row r="90" spans="1:107">
      <c r="A90">
        <f>ROW(Source!A150)</f>
        <v>150</v>
      </c>
      <c r="B90">
        <v>35822480</v>
      </c>
      <c r="C90">
        <v>35822989</v>
      </c>
      <c r="D90">
        <v>29122830</v>
      </c>
      <c r="E90">
        <v>1</v>
      </c>
      <c r="F90">
        <v>1</v>
      </c>
      <c r="G90">
        <v>1</v>
      </c>
      <c r="H90">
        <v>3</v>
      </c>
      <c r="I90" t="s">
        <v>183</v>
      </c>
      <c r="J90" t="s">
        <v>185</v>
      </c>
      <c r="K90" t="s">
        <v>184</v>
      </c>
      <c r="L90">
        <v>1348</v>
      </c>
      <c r="N90">
        <v>1009</v>
      </c>
      <c r="O90" t="s">
        <v>28</v>
      </c>
      <c r="P90" t="s">
        <v>28</v>
      </c>
      <c r="Q90">
        <v>1000</v>
      </c>
      <c r="W90">
        <v>0</v>
      </c>
      <c r="X90">
        <v>-373446375</v>
      </c>
      <c r="Y90">
        <v>1.6E-2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0</v>
      </c>
      <c r="AP90">
        <v>0</v>
      </c>
      <c r="AQ90">
        <v>0</v>
      </c>
      <c r="AR90">
        <v>0</v>
      </c>
      <c r="AS90" t="s">
        <v>3</v>
      </c>
      <c r="AT90">
        <v>1.6E-2</v>
      </c>
      <c r="AU90" t="s">
        <v>3</v>
      </c>
      <c r="AV90">
        <v>0</v>
      </c>
      <c r="AW90">
        <v>2</v>
      </c>
      <c r="AX90">
        <v>35822995</v>
      </c>
      <c r="AY90">
        <v>1</v>
      </c>
      <c r="AZ90">
        <v>0</v>
      </c>
      <c r="BA90">
        <v>93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Y90*Source!I150</f>
        <v>2.0640000000000002E-2</v>
      </c>
      <c r="CY90">
        <f>AA90</f>
        <v>0</v>
      </c>
      <c r="CZ90">
        <f>AE90</f>
        <v>0</v>
      </c>
      <c r="DA90">
        <f>AI90</f>
        <v>1</v>
      </c>
      <c r="DB90">
        <f>ROUND(ROUND(AT90*CZ90,2),6)</f>
        <v>0</v>
      </c>
      <c r="DC90">
        <f>ROUND(ROUND(AT90*AG90,2),6)</f>
        <v>0</v>
      </c>
    </row>
    <row r="91" spans="1:107">
      <c r="A91">
        <f>ROW(Source!A150)</f>
        <v>150</v>
      </c>
      <c r="B91">
        <v>35822480</v>
      </c>
      <c r="C91">
        <v>35822989</v>
      </c>
      <c r="D91">
        <v>29145224</v>
      </c>
      <c r="E91">
        <v>1</v>
      </c>
      <c r="F91">
        <v>1</v>
      </c>
      <c r="G91">
        <v>1</v>
      </c>
      <c r="H91">
        <v>3</v>
      </c>
      <c r="I91" t="s">
        <v>450</v>
      </c>
      <c r="J91" t="s">
        <v>451</v>
      </c>
      <c r="K91" t="s">
        <v>452</v>
      </c>
      <c r="L91">
        <v>1348</v>
      </c>
      <c r="N91">
        <v>1009</v>
      </c>
      <c r="O91" t="s">
        <v>28</v>
      </c>
      <c r="P91" t="s">
        <v>28</v>
      </c>
      <c r="Q91">
        <v>1000</v>
      </c>
      <c r="W91">
        <v>0</v>
      </c>
      <c r="X91">
        <v>1982051490</v>
      </c>
      <c r="Y91">
        <v>0.36</v>
      </c>
      <c r="AA91">
        <v>15009.6</v>
      </c>
      <c r="AB91">
        <v>0</v>
      </c>
      <c r="AC91">
        <v>0</v>
      </c>
      <c r="AD91">
        <v>0</v>
      </c>
      <c r="AE91">
        <v>25016</v>
      </c>
      <c r="AF91">
        <v>0</v>
      </c>
      <c r="AG91">
        <v>0</v>
      </c>
      <c r="AH91">
        <v>0</v>
      </c>
      <c r="AI91">
        <v>0.6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0.36</v>
      </c>
      <c r="AU91" t="s">
        <v>3</v>
      </c>
      <c r="AV91">
        <v>0</v>
      </c>
      <c r="AW91">
        <v>2</v>
      </c>
      <c r="AX91">
        <v>35822996</v>
      </c>
      <c r="AY91">
        <v>1</v>
      </c>
      <c r="AZ91">
        <v>0</v>
      </c>
      <c r="BA91">
        <v>94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Y91*Source!I150</f>
        <v>0.46439999999999998</v>
      </c>
      <c r="CY91">
        <f>AA91</f>
        <v>15009.6</v>
      </c>
      <c r="CZ91">
        <f>AE91</f>
        <v>25016</v>
      </c>
      <c r="DA91">
        <f>AI91</f>
        <v>0.6</v>
      </c>
      <c r="DB91">
        <f>ROUND(ROUND(AT91*CZ91,2),6)</f>
        <v>9005.76</v>
      </c>
      <c r="DC91">
        <f>ROUND(ROUND(AT91*AG91,2),6)</f>
        <v>0</v>
      </c>
    </row>
    <row r="92" spans="1:107">
      <c r="A92">
        <f>ROW(Source!A150)</f>
        <v>150</v>
      </c>
      <c r="B92">
        <v>35822480</v>
      </c>
      <c r="C92">
        <v>35822989</v>
      </c>
      <c r="D92">
        <v>29150040</v>
      </c>
      <c r="E92">
        <v>1</v>
      </c>
      <c r="F92">
        <v>1</v>
      </c>
      <c r="G92">
        <v>1</v>
      </c>
      <c r="H92">
        <v>3</v>
      </c>
      <c r="I92" t="s">
        <v>325</v>
      </c>
      <c r="J92" t="s">
        <v>326</v>
      </c>
      <c r="K92" t="s">
        <v>327</v>
      </c>
      <c r="L92">
        <v>1339</v>
      </c>
      <c r="N92">
        <v>1007</v>
      </c>
      <c r="O92" t="s">
        <v>311</v>
      </c>
      <c r="P92" t="s">
        <v>311</v>
      </c>
      <c r="Q92">
        <v>1</v>
      </c>
      <c r="W92">
        <v>0</v>
      </c>
      <c r="X92">
        <v>693153122</v>
      </c>
      <c r="Y92">
        <v>6.2E-2</v>
      </c>
      <c r="AA92">
        <v>22.2</v>
      </c>
      <c r="AB92">
        <v>0</v>
      </c>
      <c r="AC92">
        <v>0</v>
      </c>
      <c r="AD92">
        <v>0</v>
      </c>
      <c r="AE92">
        <v>2.44</v>
      </c>
      <c r="AF92">
        <v>0</v>
      </c>
      <c r="AG92">
        <v>0</v>
      </c>
      <c r="AH92">
        <v>0</v>
      </c>
      <c r="AI92">
        <v>9.1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6.2E-2</v>
      </c>
      <c r="AU92" t="s">
        <v>3</v>
      </c>
      <c r="AV92">
        <v>0</v>
      </c>
      <c r="AW92">
        <v>2</v>
      </c>
      <c r="AX92">
        <v>35822997</v>
      </c>
      <c r="AY92">
        <v>1</v>
      </c>
      <c r="AZ92">
        <v>0</v>
      </c>
      <c r="BA92">
        <v>95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Y92*Source!I150</f>
        <v>7.9979999999999996E-2</v>
      </c>
      <c r="CY92">
        <f>AA92</f>
        <v>22.2</v>
      </c>
      <c r="CZ92">
        <f>AE92</f>
        <v>2.44</v>
      </c>
      <c r="DA92">
        <f>AI92</f>
        <v>9.1</v>
      </c>
      <c r="DB92">
        <f>ROUND(ROUND(AT92*CZ92,2),6)</f>
        <v>0.15</v>
      </c>
      <c r="DC92">
        <f>ROUND(ROUND(AT92*AG92,2),6)</f>
        <v>0</v>
      </c>
    </row>
    <row r="93" spans="1:107">
      <c r="A93">
        <f>ROW(Source!A153)</f>
        <v>153</v>
      </c>
      <c r="B93">
        <v>35822480</v>
      </c>
      <c r="C93">
        <v>35823000</v>
      </c>
      <c r="D93">
        <v>18413638</v>
      </c>
      <c r="E93">
        <v>1</v>
      </c>
      <c r="F93">
        <v>1</v>
      </c>
      <c r="G93">
        <v>1</v>
      </c>
      <c r="H93">
        <v>1</v>
      </c>
      <c r="I93" t="s">
        <v>448</v>
      </c>
      <c r="J93" t="s">
        <v>3</v>
      </c>
      <c r="K93" t="s">
        <v>449</v>
      </c>
      <c r="L93">
        <v>1369</v>
      </c>
      <c r="N93">
        <v>1013</v>
      </c>
      <c r="O93" t="s">
        <v>295</v>
      </c>
      <c r="P93" t="s">
        <v>295</v>
      </c>
      <c r="Q93">
        <v>1</v>
      </c>
      <c r="W93">
        <v>0</v>
      </c>
      <c r="X93">
        <v>-1317466805</v>
      </c>
      <c r="Y93">
        <v>25.932499999999997</v>
      </c>
      <c r="AA93">
        <v>0</v>
      </c>
      <c r="AB93">
        <v>0</v>
      </c>
      <c r="AC93">
        <v>0</v>
      </c>
      <c r="AD93">
        <v>342.82</v>
      </c>
      <c r="AE93">
        <v>0</v>
      </c>
      <c r="AF93">
        <v>0</v>
      </c>
      <c r="AG93">
        <v>0</v>
      </c>
      <c r="AH93">
        <v>342.82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22.55</v>
      </c>
      <c r="AU93" t="s">
        <v>118</v>
      </c>
      <c r="AV93">
        <v>1</v>
      </c>
      <c r="AW93">
        <v>2</v>
      </c>
      <c r="AX93">
        <v>35823001</v>
      </c>
      <c r="AY93">
        <v>1</v>
      </c>
      <c r="AZ93">
        <v>0</v>
      </c>
      <c r="BA93">
        <v>96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Y93*Source!I153</f>
        <v>33.452925</v>
      </c>
      <c r="CY93">
        <f>AD93</f>
        <v>342.82</v>
      </c>
      <c r="CZ93">
        <f>AH93</f>
        <v>342.82</v>
      </c>
      <c r="DA93">
        <f>AL93</f>
        <v>1</v>
      </c>
      <c r="DB93">
        <f>ROUND((ROUND(AT93*CZ93,2)*1.15),6)</f>
        <v>8890.1785</v>
      </c>
      <c r="DC93">
        <f>ROUND((ROUND(AT93*AG93,2)*1.15),6)</f>
        <v>0</v>
      </c>
    </row>
    <row r="94" spans="1:107">
      <c r="A94">
        <f>ROW(Source!A189)</f>
        <v>189</v>
      </c>
      <c r="B94">
        <v>35822480</v>
      </c>
      <c r="C94">
        <v>35823072</v>
      </c>
      <c r="D94">
        <v>18407546</v>
      </c>
      <c r="E94">
        <v>1</v>
      </c>
      <c r="F94">
        <v>1</v>
      </c>
      <c r="G94">
        <v>1</v>
      </c>
      <c r="H94">
        <v>1</v>
      </c>
      <c r="I94" t="s">
        <v>431</v>
      </c>
      <c r="J94" t="s">
        <v>3</v>
      </c>
      <c r="K94" t="s">
        <v>432</v>
      </c>
      <c r="L94">
        <v>1369</v>
      </c>
      <c r="N94">
        <v>1013</v>
      </c>
      <c r="O94" t="s">
        <v>295</v>
      </c>
      <c r="P94" t="s">
        <v>295</v>
      </c>
      <c r="Q94">
        <v>1</v>
      </c>
      <c r="W94">
        <v>0</v>
      </c>
      <c r="X94">
        <v>1709986911</v>
      </c>
      <c r="Y94">
        <v>117.82899999999998</v>
      </c>
      <c r="AA94">
        <v>0</v>
      </c>
      <c r="AB94">
        <v>0</v>
      </c>
      <c r="AC94">
        <v>0</v>
      </c>
      <c r="AD94">
        <v>306.91000000000003</v>
      </c>
      <c r="AE94">
        <v>0</v>
      </c>
      <c r="AF94">
        <v>0</v>
      </c>
      <c r="AG94">
        <v>0</v>
      </c>
      <c r="AH94">
        <v>306.91000000000003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102.46</v>
      </c>
      <c r="AU94" t="s">
        <v>118</v>
      </c>
      <c r="AV94">
        <v>1</v>
      </c>
      <c r="AW94">
        <v>2</v>
      </c>
      <c r="AX94">
        <v>35823073</v>
      </c>
      <c r="AY94">
        <v>1</v>
      </c>
      <c r="AZ94">
        <v>0</v>
      </c>
      <c r="BA94">
        <v>97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Y94*Source!I189</f>
        <v>35.820015999999995</v>
      </c>
      <c r="CY94">
        <f>AD94</f>
        <v>306.91000000000003</v>
      </c>
      <c r="CZ94">
        <f>AH94</f>
        <v>306.91000000000003</v>
      </c>
      <c r="DA94">
        <f>AL94</f>
        <v>1</v>
      </c>
      <c r="DB94">
        <f>ROUND((ROUND(AT94*CZ94,2)*1.15),6)</f>
        <v>36162.9</v>
      </c>
      <c r="DC94">
        <f>ROUND((ROUND(AT94*AG94,2)*1.15),6)</f>
        <v>0</v>
      </c>
    </row>
    <row r="95" spans="1:107">
      <c r="A95">
        <f>ROW(Source!A189)</f>
        <v>189</v>
      </c>
      <c r="B95">
        <v>35822480</v>
      </c>
      <c r="C95">
        <v>35823072</v>
      </c>
      <c r="D95">
        <v>121548</v>
      </c>
      <c r="E95">
        <v>1</v>
      </c>
      <c r="F95">
        <v>1</v>
      </c>
      <c r="G95">
        <v>1</v>
      </c>
      <c r="H95">
        <v>1</v>
      </c>
      <c r="I95" t="s">
        <v>296</v>
      </c>
      <c r="J95" t="s">
        <v>3</v>
      </c>
      <c r="K95" t="s">
        <v>297</v>
      </c>
      <c r="L95">
        <v>608254</v>
      </c>
      <c r="N95">
        <v>1013</v>
      </c>
      <c r="O95" t="s">
        <v>298</v>
      </c>
      <c r="P95" t="s">
        <v>298</v>
      </c>
      <c r="Q95">
        <v>1</v>
      </c>
      <c r="W95">
        <v>0</v>
      </c>
      <c r="X95">
        <v>-185737400</v>
      </c>
      <c r="Y95">
        <v>0.95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0.76</v>
      </c>
      <c r="AU95" t="s">
        <v>117</v>
      </c>
      <c r="AV95">
        <v>2</v>
      </c>
      <c r="AW95">
        <v>2</v>
      </c>
      <c r="AX95">
        <v>35823074</v>
      </c>
      <c r="AY95">
        <v>1</v>
      </c>
      <c r="AZ95">
        <v>0</v>
      </c>
      <c r="BA95">
        <v>98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Y95*Source!I189</f>
        <v>0.2888</v>
      </c>
      <c r="CY95">
        <f>AD95</f>
        <v>0</v>
      </c>
      <c r="CZ95">
        <f>AH95</f>
        <v>0</v>
      </c>
      <c r="DA95">
        <f>AL95</f>
        <v>1</v>
      </c>
      <c r="DB95">
        <f>ROUND((ROUND(AT95*CZ95,2)*1.25),6)</f>
        <v>0</v>
      </c>
      <c r="DC95">
        <f>ROUND((ROUND(AT95*AG95,2)*1.25),6)</f>
        <v>0</v>
      </c>
    </row>
    <row r="96" spans="1:107">
      <c r="A96">
        <f>ROW(Source!A189)</f>
        <v>189</v>
      </c>
      <c r="B96">
        <v>35822480</v>
      </c>
      <c r="C96">
        <v>35823072</v>
      </c>
      <c r="D96">
        <v>29172556</v>
      </c>
      <c r="E96">
        <v>1</v>
      </c>
      <c r="F96">
        <v>1</v>
      </c>
      <c r="G96">
        <v>1</v>
      </c>
      <c r="H96">
        <v>2</v>
      </c>
      <c r="I96" t="s">
        <v>299</v>
      </c>
      <c r="J96" t="s">
        <v>300</v>
      </c>
      <c r="K96" t="s">
        <v>301</v>
      </c>
      <c r="L96">
        <v>1368</v>
      </c>
      <c r="N96">
        <v>1011</v>
      </c>
      <c r="O96" t="s">
        <v>302</v>
      </c>
      <c r="P96" t="s">
        <v>302</v>
      </c>
      <c r="Q96">
        <v>1</v>
      </c>
      <c r="W96">
        <v>0</v>
      </c>
      <c r="X96">
        <v>-1302720870</v>
      </c>
      <c r="Y96">
        <v>0.95</v>
      </c>
      <c r="AA96">
        <v>0</v>
      </c>
      <c r="AB96">
        <v>466.71</v>
      </c>
      <c r="AC96">
        <v>446.18</v>
      </c>
      <c r="AD96">
        <v>0</v>
      </c>
      <c r="AE96">
        <v>0</v>
      </c>
      <c r="AF96">
        <v>31.26</v>
      </c>
      <c r="AG96">
        <v>13.5</v>
      </c>
      <c r="AH96">
        <v>0</v>
      </c>
      <c r="AI96">
        <v>1</v>
      </c>
      <c r="AJ96">
        <v>14.93</v>
      </c>
      <c r="AK96">
        <v>33.049999999999997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0.76</v>
      </c>
      <c r="AU96" t="s">
        <v>117</v>
      </c>
      <c r="AV96">
        <v>0</v>
      </c>
      <c r="AW96">
        <v>2</v>
      </c>
      <c r="AX96">
        <v>35823075</v>
      </c>
      <c r="AY96">
        <v>1</v>
      </c>
      <c r="AZ96">
        <v>0</v>
      </c>
      <c r="BA96">
        <v>99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Y96*Source!I189</f>
        <v>0.2888</v>
      </c>
      <c r="CY96">
        <f>AB96</f>
        <v>466.71</v>
      </c>
      <c r="CZ96">
        <f>AF96</f>
        <v>31.26</v>
      </c>
      <c r="DA96">
        <f>AJ96</f>
        <v>14.93</v>
      </c>
      <c r="DB96">
        <f>ROUND((ROUND(AT96*CZ96,2)*1.25),6)</f>
        <v>29.7</v>
      </c>
      <c r="DC96">
        <f>ROUND((ROUND(AT96*AG96,2)*1.25),6)</f>
        <v>12.824999999999999</v>
      </c>
    </row>
    <row r="97" spans="1:107">
      <c r="A97">
        <f>ROW(Source!A189)</f>
        <v>189</v>
      </c>
      <c r="B97">
        <v>35822480</v>
      </c>
      <c r="C97">
        <v>35823072</v>
      </c>
      <c r="D97">
        <v>29174500</v>
      </c>
      <c r="E97">
        <v>1</v>
      </c>
      <c r="F97">
        <v>1</v>
      </c>
      <c r="G97">
        <v>1</v>
      </c>
      <c r="H97">
        <v>2</v>
      </c>
      <c r="I97" t="s">
        <v>388</v>
      </c>
      <c r="J97" t="s">
        <v>389</v>
      </c>
      <c r="K97" t="s">
        <v>390</v>
      </c>
      <c r="L97">
        <v>1368</v>
      </c>
      <c r="N97">
        <v>1011</v>
      </c>
      <c r="O97" t="s">
        <v>302</v>
      </c>
      <c r="P97" t="s">
        <v>302</v>
      </c>
      <c r="Q97">
        <v>1</v>
      </c>
      <c r="W97">
        <v>0</v>
      </c>
      <c r="X97">
        <v>-239831557</v>
      </c>
      <c r="Y97">
        <v>6.6875</v>
      </c>
      <c r="AA97">
        <v>0</v>
      </c>
      <c r="AB97">
        <v>7.33</v>
      </c>
      <c r="AC97">
        <v>0</v>
      </c>
      <c r="AD97">
        <v>0</v>
      </c>
      <c r="AE97">
        <v>0</v>
      </c>
      <c r="AF97">
        <v>1.95</v>
      </c>
      <c r="AG97">
        <v>0</v>
      </c>
      <c r="AH97">
        <v>0</v>
      </c>
      <c r="AI97">
        <v>1</v>
      </c>
      <c r="AJ97">
        <v>3.76</v>
      </c>
      <c r="AK97">
        <v>33.049999999999997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5.35</v>
      </c>
      <c r="AU97" t="s">
        <v>117</v>
      </c>
      <c r="AV97">
        <v>0</v>
      </c>
      <c r="AW97">
        <v>2</v>
      </c>
      <c r="AX97">
        <v>35823076</v>
      </c>
      <c r="AY97">
        <v>1</v>
      </c>
      <c r="AZ97">
        <v>0</v>
      </c>
      <c r="BA97">
        <v>100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Y97*Source!I189</f>
        <v>2.0329999999999999</v>
      </c>
      <c r="CY97">
        <f>AB97</f>
        <v>7.33</v>
      </c>
      <c r="CZ97">
        <f>AF97</f>
        <v>1.95</v>
      </c>
      <c r="DA97">
        <f>AJ97</f>
        <v>3.76</v>
      </c>
      <c r="DB97">
        <f>ROUND((ROUND(AT97*CZ97,2)*1.25),6)</f>
        <v>13.0375</v>
      </c>
      <c r="DC97">
        <f>ROUND((ROUND(AT97*AG97,2)*1.25),6)</f>
        <v>0</v>
      </c>
    </row>
    <row r="98" spans="1:107">
      <c r="A98">
        <f>ROW(Source!A189)</f>
        <v>189</v>
      </c>
      <c r="B98">
        <v>35822480</v>
      </c>
      <c r="C98">
        <v>35823072</v>
      </c>
      <c r="D98">
        <v>29174913</v>
      </c>
      <c r="E98">
        <v>1</v>
      </c>
      <c r="F98">
        <v>1</v>
      </c>
      <c r="G98">
        <v>1</v>
      </c>
      <c r="H98">
        <v>2</v>
      </c>
      <c r="I98" t="s">
        <v>342</v>
      </c>
      <c r="J98" t="s">
        <v>343</v>
      </c>
      <c r="K98" t="s">
        <v>344</v>
      </c>
      <c r="L98">
        <v>1368</v>
      </c>
      <c r="N98">
        <v>1011</v>
      </c>
      <c r="O98" t="s">
        <v>302</v>
      </c>
      <c r="P98" t="s">
        <v>302</v>
      </c>
      <c r="Q98">
        <v>1</v>
      </c>
      <c r="W98">
        <v>0</v>
      </c>
      <c r="X98">
        <v>458544584</v>
      </c>
      <c r="Y98">
        <v>5.7249999999999996</v>
      </c>
      <c r="AA98">
        <v>0</v>
      </c>
      <c r="AB98">
        <v>932.72</v>
      </c>
      <c r="AC98">
        <v>383.38</v>
      </c>
      <c r="AD98">
        <v>0</v>
      </c>
      <c r="AE98">
        <v>0</v>
      </c>
      <c r="AF98">
        <v>87.17</v>
      </c>
      <c r="AG98">
        <v>11.6</v>
      </c>
      <c r="AH98">
        <v>0</v>
      </c>
      <c r="AI98">
        <v>1</v>
      </c>
      <c r="AJ98">
        <v>10.7</v>
      </c>
      <c r="AK98">
        <v>33.049999999999997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4.58</v>
      </c>
      <c r="AU98" t="s">
        <v>117</v>
      </c>
      <c r="AV98">
        <v>0</v>
      </c>
      <c r="AW98">
        <v>2</v>
      </c>
      <c r="AX98">
        <v>35823077</v>
      </c>
      <c r="AY98">
        <v>1</v>
      </c>
      <c r="AZ98">
        <v>0</v>
      </c>
      <c r="BA98">
        <v>101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Y98*Source!I189</f>
        <v>1.7403999999999999</v>
      </c>
      <c r="CY98">
        <f>AB98</f>
        <v>932.72</v>
      </c>
      <c r="CZ98">
        <f>AF98</f>
        <v>87.17</v>
      </c>
      <c r="DA98">
        <f>AJ98</f>
        <v>10.7</v>
      </c>
      <c r="DB98">
        <f>ROUND((ROUND(AT98*CZ98,2)*1.25),6)</f>
        <v>499.05</v>
      </c>
      <c r="DC98">
        <f>ROUND((ROUND(AT98*AG98,2)*1.25),6)</f>
        <v>66.412499999999994</v>
      </c>
    </row>
    <row r="99" spans="1:107">
      <c r="A99">
        <f>ROW(Source!A189)</f>
        <v>189</v>
      </c>
      <c r="B99">
        <v>35822480</v>
      </c>
      <c r="C99">
        <v>35823072</v>
      </c>
      <c r="D99">
        <v>29109671</v>
      </c>
      <c r="E99">
        <v>1</v>
      </c>
      <c r="F99">
        <v>1</v>
      </c>
      <c r="G99">
        <v>1</v>
      </c>
      <c r="H99">
        <v>3</v>
      </c>
      <c r="I99" t="s">
        <v>453</v>
      </c>
      <c r="J99" t="s">
        <v>454</v>
      </c>
      <c r="K99" t="s">
        <v>455</v>
      </c>
      <c r="L99">
        <v>1327</v>
      </c>
      <c r="N99">
        <v>1005</v>
      </c>
      <c r="O99" t="s">
        <v>354</v>
      </c>
      <c r="P99" t="s">
        <v>354</v>
      </c>
      <c r="Q99">
        <v>1</v>
      </c>
      <c r="W99">
        <v>0</v>
      </c>
      <c r="X99">
        <v>1862876160</v>
      </c>
      <c r="Y99">
        <v>103</v>
      </c>
      <c r="AA99">
        <v>246.76</v>
      </c>
      <c r="AB99">
        <v>0</v>
      </c>
      <c r="AC99">
        <v>0</v>
      </c>
      <c r="AD99">
        <v>0</v>
      </c>
      <c r="AE99">
        <v>51.95</v>
      </c>
      <c r="AF99">
        <v>0</v>
      </c>
      <c r="AG99">
        <v>0</v>
      </c>
      <c r="AH99">
        <v>0</v>
      </c>
      <c r="AI99">
        <v>4.75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103</v>
      </c>
      <c r="AU99" t="s">
        <v>3</v>
      </c>
      <c r="AV99">
        <v>0</v>
      </c>
      <c r="AW99">
        <v>2</v>
      </c>
      <c r="AX99">
        <v>35823078</v>
      </c>
      <c r="AY99">
        <v>1</v>
      </c>
      <c r="AZ99">
        <v>0</v>
      </c>
      <c r="BA99">
        <v>102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Y99*Source!I189</f>
        <v>31.311999999999998</v>
      </c>
      <c r="CY99">
        <f>AA99</f>
        <v>246.76</v>
      </c>
      <c r="CZ99">
        <f>AE99</f>
        <v>51.95</v>
      </c>
      <c r="DA99">
        <f>AI99</f>
        <v>4.75</v>
      </c>
      <c r="DB99">
        <f>ROUND(ROUND(AT99*CZ99,2),6)</f>
        <v>5350.85</v>
      </c>
      <c r="DC99">
        <f>ROUND(ROUND(AT99*AG99,2),6)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102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ROW(Source!A32)</f>
        <v>32</v>
      </c>
      <c r="B1">
        <v>35822734</v>
      </c>
      <c r="C1">
        <v>35822733</v>
      </c>
      <c r="D1">
        <v>18407150</v>
      </c>
      <c r="E1">
        <v>1</v>
      </c>
      <c r="F1">
        <v>1</v>
      </c>
      <c r="G1">
        <v>1</v>
      </c>
      <c r="H1">
        <v>1</v>
      </c>
      <c r="I1" t="s">
        <v>293</v>
      </c>
      <c r="J1" t="s">
        <v>3</v>
      </c>
      <c r="K1" t="s">
        <v>294</v>
      </c>
      <c r="L1">
        <v>1369</v>
      </c>
      <c r="N1">
        <v>1013</v>
      </c>
      <c r="O1" t="s">
        <v>295</v>
      </c>
      <c r="P1" t="s">
        <v>295</v>
      </c>
      <c r="Q1">
        <v>1</v>
      </c>
      <c r="X1">
        <v>69.87</v>
      </c>
      <c r="Y1">
        <v>0</v>
      </c>
      <c r="Z1">
        <v>0</v>
      </c>
      <c r="AA1">
        <v>0</v>
      </c>
      <c r="AB1">
        <v>278.5</v>
      </c>
      <c r="AC1">
        <v>0</v>
      </c>
      <c r="AD1">
        <v>1</v>
      </c>
      <c r="AE1">
        <v>1</v>
      </c>
      <c r="AF1" t="s">
        <v>3</v>
      </c>
      <c r="AG1">
        <v>69.87</v>
      </c>
      <c r="AH1">
        <v>2</v>
      </c>
      <c r="AI1">
        <v>35822734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ROW(Source!A32)</f>
        <v>32</v>
      </c>
      <c r="B2">
        <v>35822735</v>
      </c>
      <c r="C2">
        <v>35822733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296</v>
      </c>
      <c r="J2" t="s">
        <v>3</v>
      </c>
      <c r="K2" t="s">
        <v>297</v>
      </c>
      <c r="L2">
        <v>608254</v>
      </c>
      <c r="N2">
        <v>1013</v>
      </c>
      <c r="O2" t="s">
        <v>298</v>
      </c>
      <c r="P2" t="s">
        <v>298</v>
      </c>
      <c r="Q2">
        <v>1</v>
      </c>
      <c r="X2">
        <v>1.44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1.44</v>
      </c>
      <c r="AH2">
        <v>2</v>
      </c>
      <c r="AI2">
        <v>35822735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ROW(Source!A32)</f>
        <v>32</v>
      </c>
      <c r="B3">
        <v>35822736</v>
      </c>
      <c r="C3">
        <v>35822733</v>
      </c>
      <c r="D3">
        <v>29172556</v>
      </c>
      <c r="E3">
        <v>1</v>
      </c>
      <c r="F3">
        <v>1</v>
      </c>
      <c r="G3">
        <v>1</v>
      </c>
      <c r="H3">
        <v>2</v>
      </c>
      <c r="I3" t="s">
        <v>299</v>
      </c>
      <c r="J3" t="s">
        <v>300</v>
      </c>
      <c r="K3" t="s">
        <v>301</v>
      </c>
      <c r="L3">
        <v>1368</v>
      </c>
      <c r="N3">
        <v>1011</v>
      </c>
      <c r="O3" t="s">
        <v>302</v>
      </c>
      <c r="P3" t="s">
        <v>302</v>
      </c>
      <c r="Q3">
        <v>1</v>
      </c>
      <c r="X3">
        <v>1.44</v>
      </c>
      <c r="Y3">
        <v>0</v>
      </c>
      <c r="Z3">
        <v>31.26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1.44</v>
      </c>
      <c r="AH3">
        <v>2</v>
      </c>
      <c r="AI3">
        <v>35822736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ROW(Source!A32)</f>
        <v>32</v>
      </c>
      <c r="B4">
        <v>35822737</v>
      </c>
      <c r="C4">
        <v>35822733</v>
      </c>
      <c r="D4">
        <v>29164349</v>
      </c>
      <c r="E4">
        <v>1</v>
      </c>
      <c r="F4">
        <v>1</v>
      </c>
      <c r="G4">
        <v>1</v>
      </c>
      <c r="H4">
        <v>3</v>
      </c>
      <c r="I4" t="s">
        <v>26</v>
      </c>
      <c r="J4" t="s">
        <v>29</v>
      </c>
      <c r="K4" t="s">
        <v>27</v>
      </c>
      <c r="L4">
        <v>1348</v>
      </c>
      <c r="N4">
        <v>1009</v>
      </c>
      <c r="O4" t="s">
        <v>28</v>
      </c>
      <c r="P4" t="s">
        <v>28</v>
      </c>
      <c r="Q4">
        <v>1000</v>
      </c>
      <c r="X4">
        <v>5.2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3</v>
      </c>
      <c r="AG4">
        <v>5.2</v>
      </c>
      <c r="AH4">
        <v>2</v>
      </c>
      <c r="AI4">
        <v>35822737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ROW(Source!A34)</f>
        <v>34</v>
      </c>
      <c r="B5">
        <v>35822793</v>
      </c>
      <c r="C5">
        <v>35822792</v>
      </c>
      <c r="D5">
        <v>18411771</v>
      </c>
      <c r="E5">
        <v>1</v>
      </c>
      <c r="F5">
        <v>1</v>
      </c>
      <c r="G5">
        <v>1</v>
      </c>
      <c r="H5">
        <v>1</v>
      </c>
      <c r="I5" t="s">
        <v>303</v>
      </c>
      <c r="J5" t="s">
        <v>3</v>
      </c>
      <c r="K5" t="s">
        <v>304</v>
      </c>
      <c r="L5">
        <v>1369</v>
      </c>
      <c r="N5">
        <v>1013</v>
      </c>
      <c r="O5" t="s">
        <v>295</v>
      </c>
      <c r="P5" t="s">
        <v>295</v>
      </c>
      <c r="Q5">
        <v>1</v>
      </c>
      <c r="X5">
        <v>47.3</v>
      </c>
      <c r="Y5">
        <v>0</v>
      </c>
      <c r="Z5">
        <v>0</v>
      </c>
      <c r="AA5">
        <v>0</v>
      </c>
      <c r="AB5">
        <v>259.24</v>
      </c>
      <c r="AC5">
        <v>0</v>
      </c>
      <c r="AD5">
        <v>1</v>
      </c>
      <c r="AE5">
        <v>1</v>
      </c>
      <c r="AF5" t="s">
        <v>3</v>
      </c>
      <c r="AG5">
        <v>47.3</v>
      </c>
      <c r="AH5">
        <v>2</v>
      </c>
      <c r="AI5">
        <v>35822793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ROW(Source!A34)</f>
        <v>34</v>
      </c>
      <c r="B6">
        <v>35822794</v>
      </c>
      <c r="C6">
        <v>35822792</v>
      </c>
      <c r="D6">
        <v>29172659</v>
      </c>
      <c r="E6">
        <v>1</v>
      </c>
      <c r="F6">
        <v>1</v>
      </c>
      <c r="G6">
        <v>1</v>
      </c>
      <c r="H6">
        <v>2</v>
      </c>
      <c r="I6" t="s">
        <v>305</v>
      </c>
      <c r="J6" t="s">
        <v>306</v>
      </c>
      <c r="K6" t="s">
        <v>307</v>
      </c>
      <c r="L6">
        <v>1368</v>
      </c>
      <c r="N6">
        <v>1011</v>
      </c>
      <c r="O6" t="s">
        <v>302</v>
      </c>
      <c r="P6" t="s">
        <v>302</v>
      </c>
      <c r="Q6">
        <v>1</v>
      </c>
      <c r="X6">
        <v>4.7</v>
      </c>
      <c r="Y6">
        <v>0</v>
      </c>
      <c r="Z6">
        <v>1.2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4.7</v>
      </c>
      <c r="AH6">
        <v>2</v>
      </c>
      <c r="AI6">
        <v>35822794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ROW(Source!A34)</f>
        <v>34</v>
      </c>
      <c r="B7">
        <v>35822795</v>
      </c>
      <c r="C7">
        <v>35822792</v>
      </c>
      <c r="D7">
        <v>29107441</v>
      </c>
      <c r="E7">
        <v>1</v>
      </c>
      <c r="F7">
        <v>1</v>
      </c>
      <c r="G7">
        <v>1</v>
      </c>
      <c r="H7">
        <v>3</v>
      </c>
      <c r="I7" t="s">
        <v>308</v>
      </c>
      <c r="J7" t="s">
        <v>309</v>
      </c>
      <c r="K7" t="s">
        <v>310</v>
      </c>
      <c r="L7">
        <v>1339</v>
      </c>
      <c r="N7">
        <v>1007</v>
      </c>
      <c r="O7" t="s">
        <v>311</v>
      </c>
      <c r="P7" t="s">
        <v>311</v>
      </c>
      <c r="Q7">
        <v>1</v>
      </c>
      <c r="X7">
        <v>3.9</v>
      </c>
      <c r="Y7">
        <v>6.23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3.9</v>
      </c>
      <c r="AH7">
        <v>2</v>
      </c>
      <c r="AI7">
        <v>35822795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ROW(Source!A34)</f>
        <v>34</v>
      </c>
      <c r="B8">
        <v>35822796</v>
      </c>
      <c r="C8">
        <v>35822792</v>
      </c>
      <c r="D8">
        <v>29107430</v>
      </c>
      <c r="E8">
        <v>1</v>
      </c>
      <c r="F8">
        <v>1</v>
      </c>
      <c r="G8">
        <v>1</v>
      </c>
      <c r="H8">
        <v>3</v>
      </c>
      <c r="I8" t="s">
        <v>312</v>
      </c>
      <c r="J8" t="s">
        <v>313</v>
      </c>
      <c r="K8" t="s">
        <v>314</v>
      </c>
      <c r="L8">
        <v>1339</v>
      </c>
      <c r="N8">
        <v>1007</v>
      </c>
      <c r="O8" t="s">
        <v>311</v>
      </c>
      <c r="P8" t="s">
        <v>311</v>
      </c>
      <c r="Q8">
        <v>1</v>
      </c>
      <c r="X8">
        <v>0.6</v>
      </c>
      <c r="Y8">
        <v>38.49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0.6</v>
      </c>
      <c r="AH8">
        <v>2</v>
      </c>
      <c r="AI8">
        <v>35822796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ROW(Source!A34)</f>
        <v>34</v>
      </c>
      <c r="B9">
        <v>35822797</v>
      </c>
      <c r="C9">
        <v>35822792</v>
      </c>
      <c r="D9">
        <v>29164349</v>
      </c>
      <c r="E9">
        <v>1</v>
      </c>
      <c r="F9">
        <v>1</v>
      </c>
      <c r="G9">
        <v>1</v>
      </c>
      <c r="H9">
        <v>3</v>
      </c>
      <c r="I9" t="s">
        <v>26</v>
      </c>
      <c r="J9" t="s">
        <v>29</v>
      </c>
      <c r="K9" t="s">
        <v>27</v>
      </c>
      <c r="L9">
        <v>1348</v>
      </c>
      <c r="N9">
        <v>1009</v>
      </c>
      <c r="O9" t="s">
        <v>28</v>
      </c>
      <c r="P9" t="s">
        <v>28</v>
      </c>
      <c r="Q9">
        <v>1000</v>
      </c>
      <c r="X9">
        <v>2.5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3</v>
      </c>
      <c r="AG9">
        <v>2.5</v>
      </c>
      <c r="AH9">
        <v>2</v>
      </c>
      <c r="AI9">
        <v>35822797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ROW(Source!A36)</f>
        <v>36</v>
      </c>
      <c r="B10">
        <v>35822800</v>
      </c>
      <c r="C10">
        <v>35822799</v>
      </c>
      <c r="D10">
        <v>18408066</v>
      </c>
      <c r="E10">
        <v>1</v>
      </c>
      <c r="F10">
        <v>1</v>
      </c>
      <c r="G10">
        <v>1</v>
      </c>
      <c r="H10">
        <v>1</v>
      </c>
      <c r="I10" t="s">
        <v>315</v>
      </c>
      <c r="J10" t="s">
        <v>3</v>
      </c>
      <c r="K10" t="s">
        <v>316</v>
      </c>
      <c r="L10">
        <v>1369</v>
      </c>
      <c r="N10">
        <v>1013</v>
      </c>
      <c r="O10" t="s">
        <v>295</v>
      </c>
      <c r="P10" t="s">
        <v>295</v>
      </c>
      <c r="Q10">
        <v>1</v>
      </c>
      <c r="X10">
        <v>17.89</v>
      </c>
      <c r="Y10">
        <v>0</v>
      </c>
      <c r="Z10">
        <v>0</v>
      </c>
      <c r="AA10">
        <v>0</v>
      </c>
      <c r="AB10">
        <v>261.85000000000002</v>
      </c>
      <c r="AC10">
        <v>0</v>
      </c>
      <c r="AD10">
        <v>1</v>
      </c>
      <c r="AE10">
        <v>1</v>
      </c>
      <c r="AF10" t="s">
        <v>3</v>
      </c>
      <c r="AG10">
        <v>17.89</v>
      </c>
      <c r="AH10">
        <v>2</v>
      </c>
      <c r="AI10">
        <v>35822800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ROW(Source!A36)</f>
        <v>36</v>
      </c>
      <c r="B11">
        <v>35822801</v>
      </c>
      <c r="C11">
        <v>35822799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296</v>
      </c>
      <c r="J11" t="s">
        <v>3</v>
      </c>
      <c r="K11" t="s">
        <v>297</v>
      </c>
      <c r="L11">
        <v>608254</v>
      </c>
      <c r="N11">
        <v>1013</v>
      </c>
      <c r="O11" t="s">
        <v>298</v>
      </c>
      <c r="P11" t="s">
        <v>298</v>
      </c>
      <c r="Q11">
        <v>1</v>
      </c>
      <c r="X11">
        <v>0.08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2</v>
      </c>
      <c r="AF11" t="s">
        <v>3</v>
      </c>
      <c r="AG11">
        <v>0.08</v>
      </c>
      <c r="AH11">
        <v>2</v>
      </c>
      <c r="AI11">
        <v>35822801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ROW(Source!A36)</f>
        <v>36</v>
      </c>
      <c r="B12">
        <v>35822802</v>
      </c>
      <c r="C12">
        <v>35822799</v>
      </c>
      <c r="D12">
        <v>29172556</v>
      </c>
      <c r="E12">
        <v>1</v>
      </c>
      <c r="F12">
        <v>1</v>
      </c>
      <c r="G12">
        <v>1</v>
      </c>
      <c r="H12">
        <v>2</v>
      </c>
      <c r="I12" t="s">
        <v>299</v>
      </c>
      <c r="J12" t="s">
        <v>300</v>
      </c>
      <c r="K12" t="s">
        <v>301</v>
      </c>
      <c r="L12">
        <v>1368</v>
      </c>
      <c r="N12">
        <v>1011</v>
      </c>
      <c r="O12" t="s">
        <v>302</v>
      </c>
      <c r="P12" t="s">
        <v>302</v>
      </c>
      <c r="Q12">
        <v>1</v>
      </c>
      <c r="X12">
        <v>0.08</v>
      </c>
      <c r="Y12">
        <v>0</v>
      </c>
      <c r="Z12">
        <v>31.26</v>
      </c>
      <c r="AA12">
        <v>13.5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0.08</v>
      </c>
      <c r="AH12">
        <v>2</v>
      </c>
      <c r="AI12">
        <v>35822802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ROW(Source!A37)</f>
        <v>37</v>
      </c>
      <c r="B13">
        <v>35822804</v>
      </c>
      <c r="C13">
        <v>35822803</v>
      </c>
      <c r="D13">
        <v>18406804</v>
      </c>
      <c r="E13">
        <v>1</v>
      </c>
      <c r="F13">
        <v>1</v>
      </c>
      <c r="G13">
        <v>1</v>
      </c>
      <c r="H13">
        <v>1</v>
      </c>
      <c r="I13" t="s">
        <v>317</v>
      </c>
      <c r="J13" t="s">
        <v>3</v>
      </c>
      <c r="K13" t="s">
        <v>318</v>
      </c>
      <c r="L13">
        <v>1369</v>
      </c>
      <c r="N13">
        <v>1013</v>
      </c>
      <c r="O13" t="s">
        <v>295</v>
      </c>
      <c r="P13" t="s">
        <v>295</v>
      </c>
      <c r="Q13">
        <v>1</v>
      </c>
      <c r="X13">
        <v>5.84</v>
      </c>
      <c r="Y13">
        <v>0</v>
      </c>
      <c r="Z13">
        <v>0</v>
      </c>
      <c r="AA13">
        <v>0</v>
      </c>
      <c r="AB13">
        <v>254.67</v>
      </c>
      <c r="AC13">
        <v>0</v>
      </c>
      <c r="AD13">
        <v>1</v>
      </c>
      <c r="AE13">
        <v>1</v>
      </c>
      <c r="AF13" t="s">
        <v>3</v>
      </c>
      <c r="AG13">
        <v>5.84</v>
      </c>
      <c r="AH13">
        <v>2</v>
      </c>
      <c r="AI13">
        <v>35822804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ROW(Source!A103)</f>
        <v>103</v>
      </c>
      <c r="B14">
        <v>36165308</v>
      </c>
      <c r="C14">
        <v>36144530</v>
      </c>
      <c r="D14">
        <v>18411771</v>
      </c>
      <c r="E14">
        <v>1</v>
      </c>
      <c r="F14">
        <v>1</v>
      </c>
      <c r="G14">
        <v>1</v>
      </c>
      <c r="H14">
        <v>1</v>
      </c>
      <c r="I14" t="s">
        <v>303</v>
      </c>
      <c r="J14" t="s">
        <v>3</v>
      </c>
      <c r="K14" t="s">
        <v>304</v>
      </c>
      <c r="L14">
        <v>1369</v>
      </c>
      <c r="N14">
        <v>1013</v>
      </c>
      <c r="O14" t="s">
        <v>295</v>
      </c>
      <c r="P14" t="s">
        <v>295</v>
      </c>
      <c r="Q14">
        <v>1</v>
      </c>
      <c r="X14">
        <v>39.51</v>
      </c>
      <c r="Y14">
        <v>0</v>
      </c>
      <c r="Z14">
        <v>0</v>
      </c>
      <c r="AA14">
        <v>0</v>
      </c>
      <c r="AB14">
        <v>259.24</v>
      </c>
      <c r="AC14">
        <v>0</v>
      </c>
      <c r="AD14">
        <v>1</v>
      </c>
      <c r="AE14">
        <v>1</v>
      </c>
      <c r="AF14" t="s">
        <v>3</v>
      </c>
      <c r="AG14">
        <v>39.51</v>
      </c>
      <c r="AH14">
        <v>2</v>
      </c>
      <c r="AI14">
        <v>36165308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ROW(Source!A103)</f>
        <v>103</v>
      </c>
      <c r="B15">
        <v>36165309</v>
      </c>
      <c r="C15">
        <v>36144530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296</v>
      </c>
      <c r="J15" t="s">
        <v>3</v>
      </c>
      <c r="K15" t="s">
        <v>297</v>
      </c>
      <c r="L15">
        <v>608254</v>
      </c>
      <c r="N15">
        <v>1013</v>
      </c>
      <c r="O15" t="s">
        <v>298</v>
      </c>
      <c r="P15" t="s">
        <v>298</v>
      </c>
      <c r="Q15">
        <v>1</v>
      </c>
      <c r="X15">
        <v>1.27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1.27</v>
      </c>
      <c r="AH15">
        <v>2</v>
      </c>
      <c r="AI15">
        <v>36165309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ROW(Source!A103)</f>
        <v>103</v>
      </c>
      <c r="B16">
        <v>36165310</v>
      </c>
      <c r="C16">
        <v>36144530</v>
      </c>
      <c r="D16">
        <v>29172556</v>
      </c>
      <c r="E16">
        <v>1</v>
      </c>
      <c r="F16">
        <v>1</v>
      </c>
      <c r="G16">
        <v>1</v>
      </c>
      <c r="H16">
        <v>2</v>
      </c>
      <c r="I16" t="s">
        <v>299</v>
      </c>
      <c r="J16" t="s">
        <v>300</v>
      </c>
      <c r="K16" t="s">
        <v>301</v>
      </c>
      <c r="L16">
        <v>1368</v>
      </c>
      <c r="N16">
        <v>1011</v>
      </c>
      <c r="O16" t="s">
        <v>302</v>
      </c>
      <c r="P16" t="s">
        <v>302</v>
      </c>
      <c r="Q16">
        <v>1</v>
      </c>
      <c r="X16">
        <v>1.27</v>
      </c>
      <c r="Y16">
        <v>0</v>
      </c>
      <c r="Z16">
        <v>31.26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1.27</v>
      </c>
      <c r="AH16">
        <v>2</v>
      </c>
      <c r="AI16">
        <v>36165310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ROW(Source!A103)</f>
        <v>103</v>
      </c>
      <c r="B17">
        <v>36165311</v>
      </c>
      <c r="C17">
        <v>36144530</v>
      </c>
      <c r="D17">
        <v>29173152</v>
      </c>
      <c r="E17">
        <v>1</v>
      </c>
      <c r="F17">
        <v>1</v>
      </c>
      <c r="G17">
        <v>1</v>
      </c>
      <c r="H17">
        <v>2</v>
      </c>
      <c r="I17" t="s">
        <v>319</v>
      </c>
      <c r="J17" t="s">
        <v>320</v>
      </c>
      <c r="K17" t="s">
        <v>321</v>
      </c>
      <c r="L17">
        <v>1368</v>
      </c>
      <c r="N17">
        <v>1011</v>
      </c>
      <c r="O17" t="s">
        <v>302</v>
      </c>
      <c r="P17" t="s">
        <v>302</v>
      </c>
      <c r="Q17">
        <v>1</v>
      </c>
      <c r="X17">
        <v>9.07</v>
      </c>
      <c r="Y17">
        <v>0</v>
      </c>
      <c r="Z17">
        <v>0.5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9.07</v>
      </c>
      <c r="AH17">
        <v>2</v>
      </c>
      <c r="AI17">
        <v>36165311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ROW(Source!A103)</f>
        <v>103</v>
      </c>
      <c r="B18">
        <v>36165312</v>
      </c>
      <c r="C18">
        <v>36144530</v>
      </c>
      <c r="D18">
        <v>29145158</v>
      </c>
      <c r="E18">
        <v>1</v>
      </c>
      <c r="F18">
        <v>1</v>
      </c>
      <c r="G18">
        <v>1</v>
      </c>
      <c r="H18">
        <v>3</v>
      </c>
      <c r="I18" t="s">
        <v>322</v>
      </c>
      <c r="J18" t="s">
        <v>323</v>
      </c>
      <c r="K18" t="s">
        <v>324</v>
      </c>
      <c r="L18">
        <v>1339</v>
      </c>
      <c r="N18">
        <v>1007</v>
      </c>
      <c r="O18" t="s">
        <v>311</v>
      </c>
      <c r="P18" t="s">
        <v>311</v>
      </c>
      <c r="Q18">
        <v>1</v>
      </c>
      <c r="X18">
        <v>2.04</v>
      </c>
      <c r="Y18">
        <v>548.29999999999995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2.04</v>
      </c>
      <c r="AH18">
        <v>2</v>
      </c>
      <c r="AI18">
        <v>36165312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ROW(Source!A103)</f>
        <v>103</v>
      </c>
      <c r="B19">
        <v>36165313</v>
      </c>
      <c r="C19">
        <v>36144530</v>
      </c>
      <c r="D19">
        <v>29150040</v>
      </c>
      <c r="E19">
        <v>1</v>
      </c>
      <c r="F19">
        <v>1</v>
      </c>
      <c r="G19">
        <v>1</v>
      </c>
      <c r="H19">
        <v>3</v>
      </c>
      <c r="I19" t="s">
        <v>325</v>
      </c>
      <c r="J19" t="s">
        <v>326</v>
      </c>
      <c r="K19" t="s">
        <v>327</v>
      </c>
      <c r="L19">
        <v>1339</v>
      </c>
      <c r="N19">
        <v>1007</v>
      </c>
      <c r="O19" t="s">
        <v>311</v>
      </c>
      <c r="P19" t="s">
        <v>311</v>
      </c>
      <c r="Q19">
        <v>1</v>
      </c>
      <c r="X19">
        <v>3.5</v>
      </c>
      <c r="Y19">
        <v>2.44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3.5</v>
      </c>
      <c r="AH19">
        <v>2</v>
      </c>
      <c r="AI19">
        <v>36165313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ROW(Source!A104)</f>
        <v>104</v>
      </c>
      <c r="B20">
        <v>36165342</v>
      </c>
      <c r="C20">
        <v>35822874</v>
      </c>
      <c r="D20">
        <v>18413230</v>
      </c>
      <c r="E20">
        <v>1</v>
      </c>
      <c r="F20">
        <v>1</v>
      </c>
      <c r="G20">
        <v>1</v>
      </c>
      <c r="H20">
        <v>1</v>
      </c>
      <c r="I20" t="s">
        <v>328</v>
      </c>
      <c r="J20" t="s">
        <v>3</v>
      </c>
      <c r="K20" t="s">
        <v>329</v>
      </c>
      <c r="L20">
        <v>1369</v>
      </c>
      <c r="N20">
        <v>1013</v>
      </c>
      <c r="O20" t="s">
        <v>295</v>
      </c>
      <c r="P20" t="s">
        <v>295</v>
      </c>
      <c r="Q20">
        <v>1</v>
      </c>
      <c r="X20">
        <v>378.17</v>
      </c>
      <c r="Y20">
        <v>0</v>
      </c>
      <c r="Z20">
        <v>0</v>
      </c>
      <c r="AA20">
        <v>0</v>
      </c>
      <c r="AB20">
        <v>299.72000000000003</v>
      </c>
      <c r="AC20">
        <v>0</v>
      </c>
      <c r="AD20">
        <v>1</v>
      </c>
      <c r="AE20">
        <v>1</v>
      </c>
      <c r="AF20" t="s">
        <v>118</v>
      </c>
      <c r="AG20">
        <v>434.89549999999997</v>
      </c>
      <c r="AH20">
        <v>2</v>
      </c>
      <c r="AI20">
        <v>36165342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ROW(Source!A104)</f>
        <v>104</v>
      </c>
      <c r="B21">
        <v>36165343</v>
      </c>
      <c r="C21">
        <v>35822874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296</v>
      </c>
      <c r="J21" t="s">
        <v>3</v>
      </c>
      <c r="K21" t="s">
        <v>297</v>
      </c>
      <c r="L21">
        <v>608254</v>
      </c>
      <c r="N21">
        <v>1013</v>
      </c>
      <c r="O21" t="s">
        <v>298</v>
      </c>
      <c r="P21" t="s">
        <v>298</v>
      </c>
      <c r="Q21">
        <v>1</v>
      </c>
      <c r="X21">
        <v>2.16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117</v>
      </c>
      <c r="AG21">
        <v>2.7</v>
      </c>
      <c r="AH21">
        <v>2</v>
      </c>
      <c r="AI21">
        <v>36165343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ROW(Source!A104)</f>
        <v>104</v>
      </c>
      <c r="B22">
        <v>36165344</v>
      </c>
      <c r="C22">
        <v>35822874</v>
      </c>
      <c r="D22">
        <v>29172267</v>
      </c>
      <c r="E22">
        <v>1</v>
      </c>
      <c r="F22">
        <v>1</v>
      </c>
      <c r="G22">
        <v>1</v>
      </c>
      <c r="H22">
        <v>2</v>
      </c>
      <c r="I22" t="s">
        <v>330</v>
      </c>
      <c r="J22" t="s">
        <v>331</v>
      </c>
      <c r="K22" t="s">
        <v>332</v>
      </c>
      <c r="L22">
        <v>1368</v>
      </c>
      <c r="N22">
        <v>1011</v>
      </c>
      <c r="O22" t="s">
        <v>302</v>
      </c>
      <c r="P22" t="s">
        <v>302</v>
      </c>
      <c r="Q22">
        <v>1</v>
      </c>
      <c r="X22">
        <v>0.34</v>
      </c>
      <c r="Y22">
        <v>0</v>
      </c>
      <c r="Z22">
        <v>83.43</v>
      </c>
      <c r="AA22">
        <v>13.5</v>
      </c>
      <c r="AB22">
        <v>0</v>
      </c>
      <c r="AC22">
        <v>0</v>
      </c>
      <c r="AD22">
        <v>1</v>
      </c>
      <c r="AE22">
        <v>0</v>
      </c>
      <c r="AF22" t="s">
        <v>117</v>
      </c>
      <c r="AG22">
        <v>0.42500000000000004</v>
      </c>
      <c r="AH22">
        <v>2</v>
      </c>
      <c r="AI22">
        <v>36165344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ROW(Source!A104)</f>
        <v>104</v>
      </c>
      <c r="B23">
        <v>36165345</v>
      </c>
      <c r="C23">
        <v>35822874</v>
      </c>
      <c r="D23">
        <v>29172378</v>
      </c>
      <c r="E23">
        <v>1</v>
      </c>
      <c r="F23">
        <v>1</v>
      </c>
      <c r="G23">
        <v>1</v>
      </c>
      <c r="H23">
        <v>2</v>
      </c>
      <c r="I23" t="s">
        <v>333</v>
      </c>
      <c r="J23" t="s">
        <v>334</v>
      </c>
      <c r="K23" t="s">
        <v>335</v>
      </c>
      <c r="L23">
        <v>1368</v>
      </c>
      <c r="N23">
        <v>1011</v>
      </c>
      <c r="O23" t="s">
        <v>302</v>
      </c>
      <c r="P23" t="s">
        <v>302</v>
      </c>
      <c r="Q23">
        <v>1</v>
      </c>
      <c r="X23">
        <v>0.13</v>
      </c>
      <c r="Y23">
        <v>0</v>
      </c>
      <c r="Z23">
        <v>88.01</v>
      </c>
      <c r="AA23">
        <v>11.6</v>
      </c>
      <c r="AB23">
        <v>0</v>
      </c>
      <c r="AC23">
        <v>0</v>
      </c>
      <c r="AD23">
        <v>1</v>
      </c>
      <c r="AE23">
        <v>0</v>
      </c>
      <c r="AF23" t="s">
        <v>117</v>
      </c>
      <c r="AG23">
        <v>0.16250000000000001</v>
      </c>
      <c r="AH23">
        <v>2</v>
      </c>
      <c r="AI23">
        <v>36165345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ROW(Source!A104)</f>
        <v>104</v>
      </c>
      <c r="B24">
        <v>36165346</v>
      </c>
      <c r="C24">
        <v>35822874</v>
      </c>
      <c r="D24">
        <v>29173141</v>
      </c>
      <c r="E24">
        <v>1</v>
      </c>
      <c r="F24">
        <v>1</v>
      </c>
      <c r="G24">
        <v>1</v>
      </c>
      <c r="H24">
        <v>2</v>
      </c>
      <c r="I24" t="s">
        <v>336</v>
      </c>
      <c r="J24" t="s">
        <v>337</v>
      </c>
      <c r="K24" t="s">
        <v>338</v>
      </c>
      <c r="L24">
        <v>1368</v>
      </c>
      <c r="N24">
        <v>1011</v>
      </c>
      <c r="O24" t="s">
        <v>302</v>
      </c>
      <c r="P24" t="s">
        <v>302</v>
      </c>
      <c r="Q24">
        <v>1</v>
      </c>
      <c r="X24">
        <v>1.69</v>
      </c>
      <c r="Y24">
        <v>0</v>
      </c>
      <c r="Z24">
        <v>12.4</v>
      </c>
      <c r="AA24">
        <v>10.06</v>
      </c>
      <c r="AB24">
        <v>0</v>
      </c>
      <c r="AC24">
        <v>0</v>
      </c>
      <c r="AD24">
        <v>1</v>
      </c>
      <c r="AE24">
        <v>0</v>
      </c>
      <c r="AF24" t="s">
        <v>117</v>
      </c>
      <c r="AG24">
        <v>2.1124999999999998</v>
      </c>
      <c r="AH24">
        <v>2</v>
      </c>
      <c r="AI24">
        <v>36165346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ROW(Source!A104)</f>
        <v>104</v>
      </c>
      <c r="B25">
        <v>36165347</v>
      </c>
      <c r="C25">
        <v>35822874</v>
      </c>
      <c r="D25">
        <v>29174638</v>
      </c>
      <c r="E25">
        <v>1</v>
      </c>
      <c r="F25">
        <v>1</v>
      </c>
      <c r="G25">
        <v>1</v>
      </c>
      <c r="H25">
        <v>2</v>
      </c>
      <c r="I25" t="s">
        <v>339</v>
      </c>
      <c r="J25" t="s">
        <v>340</v>
      </c>
      <c r="K25" t="s">
        <v>341</v>
      </c>
      <c r="L25">
        <v>1368</v>
      </c>
      <c r="N25">
        <v>1011</v>
      </c>
      <c r="O25" t="s">
        <v>302</v>
      </c>
      <c r="P25" t="s">
        <v>302</v>
      </c>
      <c r="Q25">
        <v>1</v>
      </c>
      <c r="X25">
        <v>0.09</v>
      </c>
      <c r="Y25">
        <v>0</v>
      </c>
      <c r="Z25">
        <v>9.9700000000000006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117</v>
      </c>
      <c r="AG25">
        <v>0.11249999999999999</v>
      </c>
      <c r="AH25">
        <v>2</v>
      </c>
      <c r="AI25">
        <v>36165347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ROW(Source!A104)</f>
        <v>104</v>
      </c>
      <c r="B26">
        <v>36165348</v>
      </c>
      <c r="C26">
        <v>35822874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342</v>
      </c>
      <c r="J26" t="s">
        <v>343</v>
      </c>
      <c r="K26" t="s">
        <v>344</v>
      </c>
      <c r="L26">
        <v>1368</v>
      </c>
      <c r="N26">
        <v>1011</v>
      </c>
      <c r="O26" t="s">
        <v>302</v>
      </c>
      <c r="P26" t="s">
        <v>302</v>
      </c>
      <c r="Q26">
        <v>1</v>
      </c>
      <c r="X26">
        <v>0.13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117</v>
      </c>
      <c r="AG26">
        <v>0.16250000000000001</v>
      </c>
      <c r="AH26">
        <v>2</v>
      </c>
      <c r="AI26">
        <v>36165348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ROW(Source!A104)</f>
        <v>104</v>
      </c>
      <c r="B27">
        <v>36165349</v>
      </c>
      <c r="C27">
        <v>35822874</v>
      </c>
      <c r="D27">
        <v>29107863</v>
      </c>
      <c r="E27">
        <v>1</v>
      </c>
      <c r="F27">
        <v>1</v>
      </c>
      <c r="G27">
        <v>1</v>
      </c>
      <c r="H27">
        <v>3</v>
      </c>
      <c r="I27" t="s">
        <v>345</v>
      </c>
      <c r="J27" t="s">
        <v>346</v>
      </c>
      <c r="K27" t="s">
        <v>347</v>
      </c>
      <c r="L27">
        <v>1348</v>
      </c>
      <c r="N27">
        <v>1009</v>
      </c>
      <c r="O27" t="s">
        <v>28</v>
      </c>
      <c r="P27" t="s">
        <v>28</v>
      </c>
      <c r="Q27">
        <v>1000</v>
      </c>
      <c r="X27">
        <v>2.1000000000000001E-2</v>
      </c>
      <c r="Y27">
        <v>6532.53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2.1000000000000001E-2</v>
      </c>
      <c r="AH27">
        <v>2</v>
      </c>
      <c r="AI27">
        <v>36165349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ROW(Source!A104)</f>
        <v>104</v>
      </c>
      <c r="B28">
        <v>36165350</v>
      </c>
      <c r="C28">
        <v>35822874</v>
      </c>
      <c r="D28">
        <v>29109437</v>
      </c>
      <c r="E28">
        <v>1</v>
      </c>
      <c r="F28">
        <v>1</v>
      </c>
      <c r="G28">
        <v>1</v>
      </c>
      <c r="H28">
        <v>3</v>
      </c>
      <c r="I28" t="s">
        <v>348</v>
      </c>
      <c r="J28" t="s">
        <v>349</v>
      </c>
      <c r="K28" t="s">
        <v>350</v>
      </c>
      <c r="L28">
        <v>1346</v>
      </c>
      <c r="N28">
        <v>1009</v>
      </c>
      <c r="O28" t="s">
        <v>188</v>
      </c>
      <c r="P28" t="s">
        <v>188</v>
      </c>
      <c r="Q28">
        <v>1</v>
      </c>
      <c r="X28">
        <v>1200</v>
      </c>
      <c r="Y28">
        <v>3.86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1200</v>
      </c>
      <c r="AH28">
        <v>2</v>
      </c>
      <c r="AI28">
        <v>36165350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ROW(Source!A104)</f>
        <v>104</v>
      </c>
      <c r="B29">
        <v>36165351</v>
      </c>
      <c r="C29">
        <v>35822874</v>
      </c>
      <c r="D29">
        <v>29109878</v>
      </c>
      <c r="E29">
        <v>1</v>
      </c>
      <c r="F29">
        <v>1</v>
      </c>
      <c r="G29">
        <v>1</v>
      </c>
      <c r="H29">
        <v>3</v>
      </c>
      <c r="I29" t="s">
        <v>351</v>
      </c>
      <c r="J29" t="s">
        <v>352</v>
      </c>
      <c r="K29" t="s">
        <v>353</v>
      </c>
      <c r="L29">
        <v>1327</v>
      </c>
      <c r="N29">
        <v>1005</v>
      </c>
      <c r="O29" t="s">
        <v>354</v>
      </c>
      <c r="P29" t="s">
        <v>354</v>
      </c>
      <c r="Q29">
        <v>1</v>
      </c>
      <c r="X29">
        <v>102</v>
      </c>
      <c r="Y29">
        <v>126.55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102</v>
      </c>
      <c r="AH29">
        <v>2</v>
      </c>
      <c r="AI29">
        <v>36165351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ROW(Source!A104)</f>
        <v>104</v>
      </c>
      <c r="B30">
        <v>36165352</v>
      </c>
      <c r="C30">
        <v>35822874</v>
      </c>
      <c r="D30">
        <v>29131294</v>
      </c>
      <c r="E30">
        <v>1</v>
      </c>
      <c r="F30">
        <v>1</v>
      </c>
      <c r="G30">
        <v>1</v>
      </c>
      <c r="H30">
        <v>3</v>
      </c>
      <c r="I30" t="s">
        <v>456</v>
      </c>
      <c r="J30" t="s">
        <v>457</v>
      </c>
      <c r="K30" t="s">
        <v>458</v>
      </c>
      <c r="L30">
        <v>1339</v>
      </c>
      <c r="N30">
        <v>1007</v>
      </c>
      <c r="O30" t="s">
        <v>311</v>
      </c>
      <c r="P30" t="s">
        <v>311</v>
      </c>
      <c r="Q30">
        <v>1</v>
      </c>
      <c r="X30">
        <v>0.01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3</v>
      </c>
      <c r="AG30">
        <v>0.01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ROW(Source!A104)</f>
        <v>104</v>
      </c>
      <c r="B31">
        <v>36165353</v>
      </c>
      <c r="C31">
        <v>35822874</v>
      </c>
      <c r="D31">
        <v>29150040</v>
      </c>
      <c r="E31">
        <v>1</v>
      </c>
      <c r="F31">
        <v>1</v>
      </c>
      <c r="G31">
        <v>1</v>
      </c>
      <c r="H31">
        <v>3</v>
      </c>
      <c r="I31" t="s">
        <v>325</v>
      </c>
      <c r="J31" t="s">
        <v>326</v>
      </c>
      <c r="K31" t="s">
        <v>327</v>
      </c>
      <c r="L31">
        <v>1339</v>
      </c>
      <c r="N31">
        <v>1007</v>
      </c>
      <c r="O31" t="s">
        <v>311</v>
      </c>
      <c r="P31" t="s">
        <v>311</v>
      </c>
      <c r="Q31">
        <v>1</v>
      </c>
      <c r="X31">
        <v>0.45</v>
      </c>
      <c r="Y31">
        <v>2.44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0.45</v>
      </c>
      <c r="AH31">
        <v>2</v>
      </c>
      <c r="AI31">
        <v>36165353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ROW(Source!A105)</f>
        <v>105</v>
      </c>
      <c r="B32">
        <v>36511567</v>
      </c>
      <c r="C32">
        <v>36165280</v>
      </c>
      <c r="D32">
        <v>31427453</v>
      </c>
      <c r="E32">
        <v>1</v>
      </c>
      <c r="F32">
        <v>1</v>
      </c>
      <c r="G32">
        <v>1</v>
      </c>
      <c r="H32">
        <v>1</v>
      </c>
      <c r="I32" t="s">
        <v>355</v>
      </c>
      <c r="J32" t="s">
        <v>3</v>
      </c>
      <c r="K32" t="s">
        <v>356</v>
      </c>
      <c r="L32">
        <v>1369</v>
      </c>
      <c r="N32">
        <v>1013</v>
      </c>
      <c r="O32" t="s">
        <v>295</v>
      </c>
      <c r="P32" t="s">
        <v>295</v>
      </c>
      <c r="Q32">
        <v>1</v>
      </c>
      <c r="X32">
        <v>76.63</v>
      </c>
      <c r="Y32">
        <v>0</v>
      </c>
      <c r="Z32">
        <v>0</v>
      </c>
      <c r="AA32">
        <v>0</v>
      </c>
      <c r="AB32">
        <v>285.36</v>
      </c>
      <c r="AC32">
        <v>0</v>
      </c>
      <c r="AD32">
        <v>1</v>
      </c>
      <c r="AE32">
        <v>1</v>
      </c>
      <c r="AF32" t="s">
        <v>118</v>
      </c>
      <c r="AG32">
        <v>88.124499999999983</v>
      </c>
      <c r="AH32">
        <v>2</v>
      </c>
      <c r="AI32">
        <v>36511567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ROW(Source!A105)</f>
        <v>105</v>
      </c>
      <c r="B33">
        <v>36511568</v>
      </c>
      <c r="C33">
        <v>36165280</v>
      </c>
      <c r="D33">
        <v>121548</v>
      </c>
      <c r="E33">
        <v>1</v>
      </c>
      <c r="F33">
        <v>1</v>
      </c>
      <c r="G33">
        <v>1</v>
      </c>
      <c r="H33">
        <v>1</v>
      </c>
      <c r="I33" t="s">
        <v>296</v>
      </c>
      <c r="J33" t="s">
        <v>3</v>
      </c>
      <c r="K33" t="s">
        <v>297</v>
      </c>
      <c r="L33">
        <v>608254</v>
      </c>
      <c r="N33">
        <v>1013</v>
      </c>
      <c r="O33" t="s">
        <v>298</v>
      </c>
      <c r="P33" t="s">
        <v>298</v>
      </c>
      <c r="Q33">
        <v>1</v>
      </c>
      <c r="X33">
        <v>4.22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3</v>
      </c>
      <c r="AG33">
        <v>4.22</v>
      </c>
      <c r="AH33">
        <v>2</v>
      </c>
      <c r="AI33">
        <v>36511568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ROW(Source!A105)</f>
        <v>105</v>
      </c>
      <c r="B34">
        <v>36511569</v>
      </c>
      <c r="C34">
        <v>36165280</v>
      </c>
      <c r="D34">
        <v>35554709</v>
      </c>
      <c r="E34">
        <v>1</v>
      </c>
      <c r="F34">
        <v>1</v>
      </c>
      <c r="G34">
        <v>1</v>
      </c>
      <c r="H34">
        <v>2</v>
      </c>
      <c r="I34" t="s">
        <v>357</v>
      </c>
      <c r="J34" t="s">
        <v>358</v>
      </c>
      <c r="K34" t="s">
        <v>359</v>
      </c>
      <c r="L34">
        <v>1368</v>
      </c>
      <c r="N34">
        <v>1011</v>
      </c>
      <c r="O34" t="s">
        <v>302</v>
      </c>
      <c r="P34" t="s">
        <v>302</v>
      </c>
      <c r="Q34">
        <v>1</v>
      </c>
      <c r="X34">
        <v>0.36</v>
      </c>
      <c r="Y34">
        <v>0</v>
      </c>
      <c r="Z34">
        <v>99.89</v>
      </c>
      <c r="AA34">
        <v>10.06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0.36</v>
      </c>
      <c r="AH34">
        <v>2</v>
      </c>
      <c r="AI34">
        <v>36511569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ROW(Source!A105)</f>
        <v>105</v>
      </c>
      <c r="B35">
        <v>36511570</v>
      </c>
      <c r="C35">
        <v>36165280</v>
      </c>
      <c r="D35">
        <v>35554736</v>
      </c>
      <c r="E35">
        <v>1</v>
      </c>
      <c r="F35">
        <v>1</v>
      </c>
      <c r="G35">
        <v>1</v>
      </c>
      <c r="H35">
        <v>2</v>
      </c>
      <c r="I35" t="s">
        <v>360</v>
      </c>
      <c r="J35" t="s">
        <v>361</v>
      </c>
      <c r="K35" t="s">
        <v>362</v>
      </c>
      <c r="L35">
        <v>1368</v>
      </c>
      <c r="N35">
        <v>1011</v>
      </c>
      <c r="O35" t="s">
        <v>302</v>
      </c>
      <c r="P35" t="s">
        <v>302</v>
      </c>
      <c r="Q35">
        <v>1</v>
      </c>
      <c r="X35">
        <v>2.2999999999999998</v>
      </c>
      <c r="Y35">
        <v>0</v>
      </c>
      <c r="Z35">
        <v>29.46</v>
      </c>
      <c r="AA35">
        <v>11.6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2.2999999999999998</v>
      </c>
      <c r="AH35">
        <v>2</v>
      </c>
      <c r="AI35">
        <v>36511570</v>
      </c>
      <c r="AJ35">
        <v>34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ROW(Source!A105)</f>
        <v>105</v>
      </c>
      <c r="B36">
        <v>36511571</v>
      </c>
      <c r="C36">
        <v>36165280</v>
      </c>
      <c r="D36">
        <v>35554830</v>
      </c>
      <c r="E36">
        <v>1</v>
      </c>
      <c r="F36">
        <v>1</v>
      </c>
      <c r="G36">
        <v>1</v>
      </c>
      <c r="H36">
        <v>2</v>
      </c>
      <c r="I36" t="s">
        <v>336</v>
      </c>
      <c r="J36" t="s">
        <v>363</v>
      </c>
      <c r="K36" t="s">
        <v>338</v>
      </c>
      <c r="L36">
        <v>1368</v>
      </c>
      <c r="N36">
        <v>1011</v>
      </c>
      <c r="O36" t="s">
        <v>302</v>
      </c>
      <c r="P36" t="s">
        <v>302</v>
      </c>
      <c r="Q36">
        <v>1</v>
      </c>
      <c r="X36">
        <v>1.56</v>
      </c>
      <c r="Y36">
        <v>0</v>
      </c>
      <c r="Z36">
        <v>12.4</v>
      </c>
      <c r="AA36">
        <v>10.06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1.56</v>
      </c>
      <c r="AH36">
        <v>2</v>
      </c>
      <c r="AI36">
        <v>36511571</v>
      </c>
      <c r="AJ36">
        <v>35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ROW(Source!A105)</f>
        <v>105</v>
      </c>
      <c r="B37">
        <v>36511572</v>
      </c>
      <c r="C37">
        <v>36165280</v>
      </c>
      <c r="D37">
        <v>35555043</v>
      </c>
      <c r="E37">
        <v>1</v>
      </c>
      <c r="F37">
        <v>1</v>
      </c>
      <c r="G37">
        <v>1</v>
      </c>
      <c r="H37">
        <v>2</v>
      </c>
      <c r="I37" t="s">
        <v>339</v>
      </c>
      <c r="J37" t="s">
        <v>364</v>
      </c>
      <c r="K37" t="s">
        <v>341</v>
      </c>
      <c r="L37">
        <v>1368</v>
      </c>
      <c r="N37">
        <v>1011</v>
      </c>
      <c r="O37" t="s">
        <v>302</v>
      </c>
      <c r="P37" t="s">
        <v>302</v>
      </c>
      <c r="Q37">
        <v>1</v>
      </c>
      <c r="X37">
        <v>0.05</v>
      </c>
      <c r="Y37">
        <v>0</v>
      </c>
      <c r="Z37">
        <v>9.9700000000000006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0.05</v>
      </c>
      <c r="AH37">
        <v>2</v>
      </c>
      <c r="AI37">
        <v>36511572</v>
      </c>
      <c r="AJ37">
        <v>36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ROW(Source!A105)</f>
        <v>105</v>
      </c>
      <c r="B38">
        <v>36511573</v>
      </c>
      <c r="C38">
        <v>36165280</v>
      </c>
      <c r="D38">
        <v>35555088</v>
      </c>
      <c r="E38">
        <v>1</v>
      </c>
      <c r="F38">
        <v>1</v>
      </c>
      <c r="G38">
        <v>1</v>
      </c>
      <c r="H38">
        <v>2</v>
      </c>
      <c r="I38" t="s">
        <v>342</v>
      </c>
      <c r="J38" t="s">
        <v>365</v>
      </c>
      <c r="K38" t="s">
        <v>344</v>
      </c>
      <c r="L38">
        <v>1368</v>
      </c>
      <c r="N38">
        <v>1011</v>
      </c>
      <c r="O38" t="s">
        <v>302</v>
      </c>
      <c r="P38" t="s">
        <v>302</v>
      </c>
      <c r="Q38">
        <v>1</v>
      </c>
      <c r="X38">
        <v>0.28000000000000003</v>
      </c>
      <c r="Y38">
        <v>0</v>
      </c>
      <c r="Z38">
        <v>87.17</v>
      </c>
      <c r="AA38">
        <v>11.6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0.28000000000000003</v>
      </c>
      <c r="AH38">
        <v>2</v>
      </c>
      <c r="AI38">
        <v>36511573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ROW(Source!A105)</f>
        <v>105</v>
      </c>
      <c r="B39">
        <v>36511574</v>
      </c>
      <c r="C39">
        <v>36165280</v>
      </c>
      <c r="D39">
        <v>35552759</v>
      </c>
      <c r="E39">
        <v>1</v>
      </c>
      <c r="F39">
        <v>1</v>
      </c>
      <c r="G39">
        <v>1</v>
      </c>
      <c r="H39">
        <v>3</v>
      </c>
      <c r="I39" t="s">
        <v>366</v>
      </c>
      <c r="J39" t="s">
        <v>367</v>
      </c>
      <c r="K39" t="s">
        <v>368</v>
      </c>
      <c r="L39">
        <v>1346</v>
      </c>
      <c r="N39">
        <v>1009</v>
      </c>
      <c r="O39" t="s">
        <v>188</v>
      </c>
      <c r="P39" t="s">
        <v>188</v>
      </c>
      <c r="Q39">
        <v>1</v>
      </c>
      <c r="X39">
        <v>0.5</v>
      </c>
      <c r="Y39">
        <v>1.81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0.5</v>
      </c>
      <c r="AH39">
        <v>2</v>
      </c>
      <c r="AI39">
        <v>36511574</v>
      </c>
      <c r="AJ39">
        <v>38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ROW(Source!A105)</f>
        <v>105</v>
      </c>
      <c r="B40">
        <v>36511575</v>
      </c>
      <c r="C40">
        <v>36165280</v>
      </c>
      <c r="D40">
        <v>35552810</v>
      </c>
      <c r="E40">
        <v>1</v>
      </c>
      <c r="F40">
        <v>1</v>
      </c>
      <c r="G40">
        <v>1</v>
      </c>
      <c r="H40">
        <v>3</v>
      </c>
      <c r="I40" t="s">
        <v>345</v>
      </c>
      <c r="J40" t="s">
        <v>369</v>
      </c>
      <c r="K40" t="s">
        <v>347</v>
      </c>
      <c r="L40">
        <v>1348</v>
      </c>
      <c r="N40">
        <v>1009</v>
      </c>
      <c r="O40" t="s">
        <v>28</v>
      </c>
      <c r="P40" t="s">
        <v>28</v>
      </c>
      <c r="Q40">
        <v>1000</v>
      </c>
      <c r="X40">
        <v>0.05</v>
      </c>
      <c r="Y40">
        <v>6532.53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0.05</v>
      </c>
      <c r="AH40">
        <v>2</v>
      </c>
      <c r="AI40">
        <v>36511575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ROW(Source!A105)</f>
        <v>105</v>
      </c>
      <c r="B41">
        <v>36511576</v>
      </c>
      <c r="C41">
        <v>36165280</v>
      </c>
      <c r="D41">
        <v>35552960</v>
      </c>
      <c r="E41">
        <v>1</v>
      </c>
      <c r="F41">
        <v>1</v>
      </c>
      <c r="G41">
        <v>1</v>
      </c>
      <c r="H41">
        <v>3</v>
      </c>
      <c r="I41" t="s">
        <v>348</v>
      </c>
      <c r="J41" t="s">
        <v>370</v>
      </c>
      <c r="K41" t="s">
        <v>350</v>
      </c>
      <c r="L41">
        <v>1346</v>
      </c>
      <c r="N41">
        <v>1009</v>
      </c>
      <c r="O41" t="s">
        <v>188</v>
      </c>
      <c r="P41" t="s">
        <v>188</v>
      </c>
      <c r="Q41">
        <v>1</v>
      </c>
      <c r="X41">
        <v>430</v>
      </c>
      <c r="Y41">
        <v>3.86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430</v>
      </c>
      <c r="AH41">
        <v>2</v>
      </c>
      <c r="AI41">
        <v>36511576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ROW(Source!A105)</f>
        <v>105</v>
      </c>
      <c r="B42">
        <v>36511577</v>
      </c>
      <c r="C42">
        <v>36165280</v>
      </c>
      <c r="D42">
        <v>35552967</v>
      </c>
      <c r="E42">
        <v>1</v>
      </c>
      <c r="F42">
        <v>1</v>
      </c>
      <c r="G42">
        <v>1</v>
      </c>
      <c r="H42">
        <v>3</v>
      </c>
      <c r="I42" t="s">
        <v>371</v>
      </c>
      <c r="J42" t="s">
        <v>372</v>
      </c>
      <c r="K42" t="s">
        <v>373</v>
      </c>
      <c r="L42">
        <v>1327</v>
      </c>
      <c r="N42">
        <v>1005</v>
      </c>
      <c r="O42" t="s">
        <v>354</v>
      </c>
      <c r="P42" t="s">
        <v>354</v>
      </c>
      <c r="Q42">
        <v>1</v>
      </c>
      <c r="X42">
        <v>102</v>
      </c>
      <c r="Y42">
        <v>69.209999999999994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102</v>
      </c>
      <c r="AH42">
        <v>2</v>
      </c>
      <c r="AI42">
        <v>36511577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ROW(Source!A105)</f>
        <v>105</v>
      </c>
      <c r="B43">
        <v>36511578</v>
      </c>
      <c r="C43">
        <v>36165280</v>
      </c>
      <c r="D43">
        <v>35554227</v>
      </c>
      <c r="E43">
        <v>1</v>
      </c>
      <c r="F43">
        <v>1</v>
      </c>
      <c r="G43">
        <v>1</v>
      </c>
      <c r="H43">
        <v>3</v>
      </c>
      <c r="I43" t="s">
        <v>325</v>
      </c>
      <c r="J43" t="s">
        <v>374</v>
      </c>
      <c r="K43" t="s">
        <v>327</v>
      </c>
      <c r="L43">
        <v>1339</v>
      </c>
      <c r="N43">
        <v>1007</v>
      </c>
      <c r="O43" t="s">
        <v>311</v>
      </c>
      <c r="P43" t="s">
        <v>311</v>
      </c>
      <c r="Q43">
        <v>1</v>
      </c>
      <c r="X43">
        <v>3.5</v>
      </c>
      <c r="Y43">
        <v>2.44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3.5</v>
      </c>
      <c r="AH43">
        <v>2</v>
      </c>
      <c r="AI43">
        <v>36511578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ROW(Source!A106)</f>
        <v>106</v>
      </c>
      <c r="B44">
        <v>35823341</v>
      </c>
      <c r="C44">
        <v>35823169</v>
      </c>
      <c r="D44">
        <v>18406785</v>
      </c>
      <c r="E44">
        <v>1</v>
      </c>
      <c r="F44">
        <v>1</v>
      </c>
      <c r="G44">
        <v>1</v>
      </c>
      <c r="H44">
        <v>1</v>
      </c>
      <c r="I44" t="s">
        <v>375</v>
      </c>
      <c r="J44" t="s">
        <v>3</v>
      </c>
      <c r="K44" t="s">
        <v>376</v>
      </c>
      <c r="L44">
        <v>1369</v>
      </c>
      <c r="N44">
        <v>1013</v>
      </c>
      <c r="O44" t="s">
        <v>295</v>
      </c>
      <c r="P44" t="s">
        <v>295</v>
      </c>
      <c r="Q44">
        <v>1</v>
      </c>
      <c r="X44">
        <v>28.78</v>
      </c>
      <c r="Y44">
        <v>0</v>
      </c>
      <c r="Z44">
        <v>0</v>
      </c>
      <c r="AA44">
        <v>0</v>
      </c>
      <c r="AB44">
        <v>289.27999999999997</v>
      </c>
      <c r="AC44">
        <v>0</v>
      </c>
      <c r="AD44">
        <v>1</v>
      </c>
      <c r="AE44">
        <v>1</v>
      </c>
      <c r="AF44" t="s">
        <v>118</v>
      </c>
      <c r="AG44">
        <v>33.097000000000001</v>
      </c>
      <c r="AH44">
        <v>2</v>
      </c>
      <c r="AI44">
        <v>35823341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ROW(Source!A106)</f>
        <v>106</v>
      </c>
      <c r="B45">
        <v>35823342</v>
      </c>
      <c r="C45">
        <v>35823169</v>
      </c>
      <c r="D45">
        <v>121548</v>
      </c>
      <c r="E45">
        <v>1</v>
      </c>
      <c r="F45">
        <v>1</v>
      </c>
      <c r="G45">
        <v>1</v>
      </c>
      <c r="H45">
        <v>1</v>
      </c>
      <c r="I45" t="s">
        <v>296</v>
      </c>
      <c r="J45" t="s">
        <v>3</v>
      </c>
      <c r="K45" t="s">
        <v>297</v>
      </c>
      <c r="L45">
        <v>608254</v>
      </c>
      <c r="N45">
        <v>1013</v>
      </c>
      <c r="O45" t="s">
        <v>298</v>
      </c>
      <c r="P45" t="s">
        <v>298</v>
      </c>
      <c r="Q45">
        <v>1</v>
      </c>
      <c r="X45">
        <v>0.47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117</v>
      </c>
      <c r="AG45">
        <v>0.58749999999999991</v>
      </c>
      <c r="AH45">
        <v>2</v>
      </c>
      <c r="AI45">
        <v>35823342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ROW(Source!A106)</f>
        <v>106</v>
      </c>
      <c r="B46">
        <v>35823343</v>
      </c>
      <c r="C46">
        <v>35823169</v>
      </c>
      <c r="D46">
        <v>29172379</v>
      </c>
      <c r="E46">
        <v>1</v>
      </c>
      <c r="F46">
        <v>1</v>
      </c>
      <c r="G46">
        <v>1</v>
      </c>
      <c r="H46">
        <v>2</v>
      </c>
      <c r="I46" t="s">
        <v>377</v>
      </c>
      <c r="J46" t="s">
        <v>378</v>
      </c>
      <c r="K46" t="s">
        <v>379</v>
      </c>
      <c r="L46">
        <v>1368</v>
      </c>
      <c r="N46">
        <v>1011</v>
      </c>
      <c r="O46" t="s">
        <v>302</v>
      </c>
      <c r="P46" t="s">
        <v>302</v>
      </c>
      <c r="Q46">
        <v>1</v>
      </c>
      <c r="X46">
        <v>0.47</v>
      </c>
      <c r="Y46">
        <v>0</v>
      </c>
      <c r="Z46">
        <v>112</v>
      </c>
      <c r="AA46">
        <v>13.5</v>
      </c>
      <c r="AB46">
        <v>0</v>
      </c>
      <c r="AC46">
        <v>0</v>
      </c>
      <c r="AD46">
        <v>1</v>
      </c>
      <c r="AE46">
        <v>0</v>
      </c>
      <c r="AF46" t="s">
        <v>117</v>
      </c>
      <c r="AG46">
        <v>0.58749999999999991</v>
      </c>
      <c r="AH46">
        <v>2</v>
      </c>
      <c r="AI46">
        <v>35823343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ROW(Source!A106)</f>
        <v>106</v>
      </c>
      <c r="B47">
        <v>35823344</v>
      </c>
      <c r="C47">
        <v>35823169</v>
      </c>
      <c r="D47">
        <v>29174913</v>
      </c>
      <c r="E47">
        <v>1</v>
      </c>
      <c r="F47">
        <v>1</v>
      </c>
      <c r="G47">
        <v>1</v>
      </c>
      <c r="H47">
        <v>2</v>
      </c>
      <c r="I47" t="s">
        <v>342</v>
      </c>
      <c r="J47" t="s">
        <v>343</v>
      </c>
      <c r="K47" t="s">
        <v>344</v>
      </c>
      <c r="L47">
        <v>1368</v>
      </c>
      <c r="N47">
        <v>1011</v>
      </c>
      <c r="O47" t="s">
        <v>302</v>
      </c>
      <c r="P47" t="s">
        <v>302</v>
      </c>
      <c r="Q47">
        <v>1</v>
      </c>
      <c r="X47">
        <v>0.7</v>
      </c>
      <c r="Y47">
        <v>0</v>
      </c>
      <c r="Z47">
        <v>87.17</v>
      </c>
      <c r="AA47">
        <v>11.6</v>
      </c>
      <c r="AB47">
        <v>0</v>
      </c>
      <c r="AC47">
        <v>0</v>
      </c>
      <c r="AD47">
        <v>1</v>
      </c>
      <c r="AE47">
        <v>0</v>
      </c>
      <c r="AF47" t="s">
        <v>117</v>
      </c>
      <c r="AG47">
        <v>0.875</v>
      </c>
      <c r="AH47">
        <v>2</v>
      </c>
      <c r="AI47">
        <v>35823344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ROW(Source!A106)</f>
        <v>106</v>
      </c>
      <c r="B48">
        <v>35823345</v>
      </c>
      <c r="C48">
        <v>35823169</v>
      </c>
      <c r="D48">
        <v>29114332</v>
      </c>
      <c r="E48">
        <v>1</v>
      </c>
      <c r="F48">
        <v>1</v>
      </c>
      <c r="G48">
        <v>1</v>
      </c>
      <c r="H48">
        <v>3</v>
      </c>
      <c r="I48" t="s">
        <v>380</v>
      </c>
      <c r="J48" t="s">
        <v>381</v>
      </c>
      <c r="K48" t="s">
        <v>382</v>
      </c>
      <c r="L48">
        <v>1348</v>
      </c>
      <c r="N48">
        <v>1009</v>
      </c>
      <c r="O48" t="s">
        <v>28</v>
      </c>
      <c r="P48" t="s">
        <v>28</v>
      </c>
      <c r="Q48">
        <v>1000</v>
      </c>
      <c r="X48">
        <v>7.62E-3</v>
      </c>
      <c r="Y48">
        <v>11978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7.62E-3</v>
      </c>
      <c r="AH48">
        <v>2</v>
      </c>
      <c r="AI48">
        <v>35823345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ROW(Source!A108)</f>
        <v>108</v>
      </c>
      <c r="B49">
        <v>35823276</v>
      </c>
      <c r="C49">
        <v>35823275</v>
      </c>
      <c r="D49">
        <v>29364679</v>
      </c>
      <c r="E49">
        <v>1</v>
      </c>
      <c r="F49">
        <v>1</v>
      </c>
      <c r="G49">
        <v>1</v>
      </c>
      <c r="H49">
        <v>1</v>
      </c>
      <c r="I49" t="s">
        <v>383</v>
      </c>
      <c r="J49" t="s">
        <v>3</v>
      </c>
      <c r="K49" t="s">
        <v>384</v>
      </c>
      <c r="L49">
        <v>1369</v>
      </c>
      <c r="N49">
        <v>1013</v>
      </c>
      <c r="O49" t="s">
        <v>295</v>
      </c>
      <c r="P49" t="s">
        <v>295</v>
      </c>
      <c r="Q49">
        <v>1</v>
      </c>
      <c r="X49">
        <v>70.64</v>
      </c>
      <c r="Y49">
        <v>0</v>
      </c>
      <c r="Z49">
        <v>0</v>
      </c>
      <c r="AA49">
        <v>0</v>
      </c>
      <c r="AB49">
        <v>323.88</v>
      </c>
      <c r="AC49">
        <v>0</v>
      </c>
      <c r="AD49">
        <v>1</v>
      </c>
      <c r="AE49">
        <v>1</v>
      </c>
      <c r="AF49" t="s">
        <v>118</v>
      </c>
      <c r="AG49">
        <v>81.23599999999999</v>
      </c>
      <c r="AH49">
        <v>2</v>
      </c>
      <c r="AI49">
        <v>35823276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ROW(Source!A108)</f>
        <v>108</v>
      </c>
      <c r="B50">
        <v>35823277</v>
      </c>
      <c r="C50">
        <v>35823275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296</v>
      </c>
      <c r="J50" t="s">
        <v>3</v>
      </c>
      <c r="K50" t="s">
        <v>297</v>
      </c>
      <c r="L50">
        <v>608254</v>
      </c>
      <c r="N50">
        <v>1013</v>
      </c>
      <c r="O50" t="s">
        <v>298</v>
      </c>
      <c r="P50" t="s">
        <v>298</v>
      </c>
      <c r="Q50">
        <v>1</v>
      </c>
      <c r="X50">
        <v>0.88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3</v>
      </c>
      <c r="AG50">
        <v>0.88</v>
      </c>
      <c r="AH50">
        <v>2</v>
      </c>
      <c r="AI50">
        <v>35823277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ROW(Source!A108)</f>
        <v>108</v>
      </c>
      <c r="B51">
        <v>35823278</v>
      </c>
      <c r="C51">
        <v>35823275</v>
      </c>
      <c r="D51">
        <v>29172362</v>
      </c>
      <c r="E51">
        <v>1</v>
      </c>
      <c r="F51">
        <v>1</v>
      </c>
      <c r="G51">
        <v>1</v>
      </c>
      <c r="H51">
        <v>2</v>
      </c>
      <c r="I51" t="s">
        <v>385</v>
      </c>
      <c r="J51" t="s">
        <v>386</v>
      </c>
      <c r="K51" t="s">
        <v>387</v>
      </c>
      <c r="L51">
        <v>1368</v>
      </c>
      <c r="N51">
        <v>1011</v>
      </c>
      <c r="O51" t="s">
        <v>302</v>
      </c>
      <c r="P51" t="s">
        <v>302</v>
      </c>
      <c r="Q51">
        <v>1</v>
      </c>
      <c r="X51">
        <v>0.88</v>
      </c>
      <c r="Y51">
        <v>0</v>
      </c>
      <c r="Z51">
        <v>134.65</v>
      </c>
      <c r="AA51">
        <v>13.5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0.88</v>
      </c>
      <c r="AH51">
        <v>2</v>
      </c>
      <c r="AI51">
        <v>35823278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ROW(Source!A108)</f>
        <v>108</v>
      </c>
      <c r="B52">
        <v>35823279</v>
      </c>
      <c r="C52">
        <v>35823275</v>
      </c>
      <c r="D52">
        <v>29174500</v>
      </c>
      <c r="E52">
        <v>1</v>
      </c>
      <c r="F52">
        <v>1</v>
      </c>
      <c r="G52">
        <v>1</v>
      </c>
      <c r="H52">
        <v>2</v>
      </c>
      <c r="I52" t="s">
        <v>388</v>
      </c>
      <c r="J52" t="s">
        <v>389</v>
      </c>
      <c r="K52" t="s">
        <v>390</v>
      </c>
      <c r="L52">
        <v>1368</v>
      </c>
      <c r="N52">
        <v>1011</v>
      </c>
      <c r="O52" t="s">
        <v>302</v>
      </c>
      <c r="P52" t="s">
        <v>302</v>
      </c>
      <c r="Q52">
        <v>1</v>
      </c>
      <c r="X52">
        <v>16.38</v>
      </c>
      <c r="Y52">
        <v>0</v>
      </c>
      <c r="Z52">
        <v>1.95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16.38</v>
      </c>
      <c r="AH52">
        <v>2</v>
      </c>
      <c r="AI52">
        <v>35823279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ROW(Source!A108)</f>
        <v>108</v>
      </c>
      <c r="B53">
        <v>35823280</v>
      </c>
      <c r="C53">
        <v>35823275</v>
      </c>
      <c r="D53">
        <v>29174913</v>
      </c>
      <c r="E53">
        <v>1</v>
      </c>
      <c r="F53">
        <v>1</v>
      </c>
      <c r="G53">
        <v>1</v>
      </c>
      <c r="H53">
        <v>2</v>
      </c>
      <c r="I53" t="s">
        <v>342</v>
      </c>
      <c r="J53" t="s">
        <v>343</v>
      </c>
      <c r="K53" t="s">
        <v>344</v>
      </c>
      <c r="L53">
        <v>1368</v>
      </c>
      <c r="N53">
        <v>1011</v>
      </c>
      <c r="O53" t="s">
        <v>302</v>
      </c>
      <c r="P53" t="s">
        <v>302</v>
      </c>
      <c r="Q53">
        <v>1</v>
      </c>
      <c r="X53">
        <v>0.87</v>
      </c>
      <c r="Y53">
        <v>0</v>
      </c>
      <c r="Z53">
        <v>87.17</v>
      </c>
      <c r="AA53">
        <v>11.6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0.87</v>
      </c>
      <c r="AH53">
        <v>2</v>
      </c>
      <c r="AI53">
        <v>35823280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ROW(Source!A108)</f>
        <v>108</v>
      </c>
      <c r="B54">
        <v>35823281</v>
      </c>
      <c r="C54">
        <v>35823275</v>
      </c>
      <c r="D54">
        <v>29114269</v>
      </c>
      <c r="E54">
        <v>1</v>
      </c>
      <c r="F54">
        <v>1</v>
      </c>
      <c r="G54">
        <v>1</v>
      </c>
      <c r="H54">
        <v>3</v>
      </c>
      <c r="I54" t="s">
        <v>391</v>
      </c>
      <c r="J54" t="s">
        <v>392</v>
      </c>
      <c r="K54" t="s">
        <v>393</v>
      </c>
      <c r="L54">
        <v>1348</v>
      </c>
      <c r="N54">
        <v>1009</v>
      </c>
      <c r="O54" t="s">
        <v>28</v>
      </c>
      <c r="P54" t="s">
        <v>28</v>
      </c>
      <c r="Q54">
        <v>1000</v>
      </c>
      <c r="X54">
        <v>3.0599999999999998E-3</v>
      </c>
      <c r="Y54">
        <v>12429.99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3.0599999999999998E-3</v>
      </c>
      <c r="AH54">
        <v>2</v>
      </c>
      <c r="AI54">
        <v>35823281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ROW(Source!A108)</f>
        <v>108</v>
      </c>
      <c r="B55">
        <v>35823282</v>
      </c>
      <c r="C55">
        <v>35823275</v>
      </c>
      <c r="D55">
        <v>29110838</v>
      </c>
      <c r="E55">
        <v>1</v>
      </c>
      <c r="F55">
        <v>1</v>
      </c>
      <c r="G55">
        <v>1</v>
      </c>
      <c r="H55">
        <v>3</v>
      </c>
      <c r="I55" t="s">
        <v>394</v>
      </c>
      <c r="J55" t="s">
        <v>395</v>
      </c>
      <c r="K55" t="s">
        <v>396</v>
      </c>
      <c r="L55">
        <v>1346</v>
      </c>
      <c r="N55">
        <v>1009</v>
      </c>
      <c r="O55" t="s">
        <v>188</v>
      </c>
      <c r="P55" t="s">
        <v>188</v>
      </c>
      <c r="Q55">
        <v>1</v>
      </c>
      <c r="X55">
        <v>0.31</v>
      </c>
      <c r="Y55">
        <v>30.5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0.31</v>
      </c>
      <c r="AH55">
        <v>2</v>
      </c>
      <c r="AI55">
        <v>35823282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ROW(Source!A108)</f>
        <v>108</v>
      </c>
      <c r="B56">
        <v>35823283</v>
      </c>
      <c r="C56">
        <v>35823275</v>
      </c>
      <c r="D56">
        <v>29114470</v>
      </c>
      <c r="E56">
        <v>1</v>
      </c>
      <c r="F56">
        <v>1</v>
      </c>
      <c r="G56">
        <v>1</v>
      </c>
      <c r="H56">
        <v>3</v>
      </c>
      <c r="I56" t="s">
        <v>397</v>
      </c>
      <c r="J56" t="s">
        <v>398</v>
      </c>
      <c r="K56" t="s">
        <v>399</v>
      </c>
      <c r="L56">
        <v>1355</v>
      </c>
      <c r="N56">
        <v>1010</v>
      </c>
      <c r="O56" t="s">
        <v>41</v>
      </c>
      <c r="P56" t="s">
        <v>41</v>
      </c>
      <c r="Q56">
        <v>100</v>
      </c>
      <c r="X56">
        <v>4.08</v>
      </c>
      <c r="Y56">
        <v>86.24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4.08</v>
      </c>
      <c r="AH56">
        <v>2</v>
      </c>
      <c r="AI56">
        <v>35823283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ROW(Source!A108)</f>
        <v>108</v>
      </c>
      <c r="B57">
        <v>35823284</v>
      </c>
      <c r="C57">
        <v>35823275</v>
      </c>
      <c r="D57">
        <v>29164111</v>
      </c>
      <c r="E57">
        <v>1</v>
      </c>
      <c r="F57">
        <v>1</v>
      </c>
      <c r="G57">
        <v>1</v>
      </c>
      <c r="H57">
        <v>3</v>
      </c>
      <c r="I57" t="s">
        <v>400</v>
      </c>
      <c r="J57" t="s">
        <v>401</v>
      </c>
      <c r="K57" t="s">
        <v>402</v>
      </c>
      <c r="L57">
        <v>1355</v>
      </c>
      <c r="N57">
        <v>1010</v>
      </c>
      <c r="O57" t="s">
        <v>41</v>
      </c>
      <c r="P57" t="s">
        <v>41</v>
      </c>
      <c r="Q57">
        <v>100</v>
      </c>
      <c r="X57">
        <v>1.02</v>
      </c>
      <c r="Y57">
        <v>100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1.02</v>
      </c>
      <c r="AH57">
        <v>2</v>
      </c>
      <c r="AI57">
        <v>35823284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ROW(Source!A108)</f>
        <v>108</v>
      </c>
      <c r="B58">
        <v>35823285</v>
      </c>
      <c r="C58">
        <v>35823275</v>
      </c>
      <c r="D58">
        <v>29171808</v>
      </c>
      <c r="E58">
        <v>1</v>
      </c>
      <c r="F58">
        <v>1</v>
      </c>
      <c r="G58">
        <v>1</v>
      </c>
      <c r="H58">
        <v>3</v>
      </c>
      <c r="I58" t="s">
        <v>403</v>
      </c>
      <c r="J58" t="s">
        <v>404</v>
      </c>
      <c r="K58" t="s">
        <v>405</v>
      </c>
      <c r="L58">
        <v>1374</v>
      </c>
      <c r="N58">
        <v>1013</v>
      </c>
      <c r="O58" t="s">
        <v>406</v>
      </c>
      <c r="P58" t="s">
        <v>406</v>
      </c>
      <c r="Q58">
        <v>1</v>
      </c>
      <c r="X58">
        <v>14.01</v>
      </c>
      <c r="Y58">
        <v>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14.01</v>
      </c>
      <c r="AH58">
        <v>2</v>
      </c>
      <c r="AI58">
        <v>35823285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ROW(Source!A109)</f>
        <v>109</v>
      </c>
      <c r="B59">
        <v>35822906</v>
      </c>
      <c r="C59">
        <v>35822905</v>
      </c>
      <c r="D59">
        <v>18410280</v>
      </c>
      <c r="E59">
        <v>1</v>
      </c>
      <c r="F59">
        <v>1</v>
      </c>
      <c r="G59">
        <v>1</v>
      </c>
      <c r="H59">
        <v>1</v>
      </c>
      <c r="I59" t="s">
        <v>407</v>
      </c>
      <c r="J59" t="s">
        <v>3</v>
      </c>
      <c r="K59" t="s">
        <v>408</v>
      </c>
      <c r="L59">
        <v>1369</v>
      </c>
      <c r="N59">
        <v>1013</v>
      </c>
      <c r="O59" t="s">
        <v>295</v>
      </c>
      <c r="P59" t="s">
        <v>295</v>
      </c>
      <c r="Q59">
        <v>1</v>
      </c>
      <c r="X59">
        <v>23.6</v>
      </c>
      <c r="Y59">
        <v>0</v>
      </c>
      <c r="Z59">
        <v>0</v>
      </c>
      <c r="AA59">
        <v>0</v>
      </c>
      <c r="AB59">
        <v>310.5</v>
      </c>
      <c r="AC59">
        <v>0</v>
      </c>
      <c r="AD59">
        <v>1</v>
      </c>
      <c r="AE59">
        <v>1</v>
      </c>
      <c r="AF59" t="s">
        <v>118</v>
      </c>
      <c r="AG59">
        <v>27.14</v>
      </c>
      <c r="AH59">
        <v>2</v>
      </c>
      <c r="AI59">
        <v>35822906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ROW(Source!A109)</f>
        <v>109</v>
      </c>
      <c r="B60">
        <v>35822907</v>
      </c>
      <c r="C60">
        <v>35822905</v>
      </c>
      <c r="D60">
        <v>29174913</v>
      </c>
      <c r="E60">
        <v>1</v>
      </c>
      <c r="F60">
        <v>1</v>
      </c>
      <c r="G60">
        <v>1</v>
      </c>
      <c r="H60">
        <v>2</v>
      </c>
      <c r="I60" t="s">
        <v>342</v>
      </c>
      <c r="J60" t="s">
        <v>343</v>
      </c>
      <c r="K60" t="s">
        <v>344</v>
      </c>
      <c r="L60">
        <v>1368</v>
      </c>
      <c r="N60">
        <v>1011</v>
      </c>
      <c r="O60" t="s">
        <v>302</v>
      </c>
      <c r="P60" t="s">
        <v>302</v>
      </c>
      <c r="Q60">
        <v>1</v>
      </c>
      <c r="X60">
        <v>0.06</v>
      </c>
      <c r="Y60">
        <v>0</v>
      </c>
      <c r="Z60">
        <v>87.17</v>
      </c>
      <c r="AA60">
        <v>11.6</v>
      </c>
      <c r="AB60">
        <v>0</v>
      </c>
      <c r="AC60">
        <v>0</v>
      </c>
      <c r="AD60">
        <v>1</v>
      </c>
      <c r="AE60">
        <v>0</v>
      </c>
      <c r="AF60" t="s">
        <v>117</v>
      </c>
      <c r="AG60">
        <v>7.4999999999999997E-2</v>
      </c>
      <c r="AH60">
        <v>2</v>
      </c>
      <c r="AI60">
        <v>35822907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ROW(Source!A109)</f>
        <v>109</v>
      </c>
      <c r="B61">
        <v>35822908</v>
      </c>
      <c r="C61">
        <v>35822905</v>
      </c>
      <c r="D61">
        <v>29109888</v>
      </c>
      <c r="E61">
        <v>1</v>
      </c>
      <c r="F61">
        <v>1</v>
      </c>
      <c r="G61">
        <v>1</v>
      </c>
      <c r="H61">
        <v>3</v>
      </c>
      <c r="I61" t="s">
        <v>409</v>
      </c>
      <c r="J61" t="s">
        <v>410</v>
      </c>
      <c r="K61" t="s">
        <v>411</v>
      </c>
      <c r="L61">
        <v>1301</v>
      </c>
      <c r="N61">
        <v>1003</v>
      </c>
      <c r="O61" t="s">
        <v>162</v>
      </c>
      <c r="P61" t="s">
        <v>162</v>
      </c>
      <c r="Q61">
        <v>1</v>
      </c>
      <c r="X61">
        <v>101</v>
      </c>
      <c r="Y61">
        <v>23.74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101</v>
      </c>
      <c r="AH61">
        <v>2</v>
      </c>
      <c r="AI61">
        <v>35822908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ROW(Source!A109)</f>
        <v>109</v>
      </c>
      <c r="B62">
        <v>35822909</v>
      </c>
      <c r="C62">
        <v>35822905</v>
      </c>
      <c r="D62">
        <v>29145159</v>
      </c>
      <c r="E62">
        <v>1</v>
      </c>
      <c r="F62">
        <v>1</v>
      </c>
      <c r="G62">
        <v>1</v>
      </c>
      <c r="H62">
        <v>3</v>
      </c>
      <c r="I62" t="s">
        <v>412</v>
      </c>
      <c r="J62" t="s">
        <v>413</v>
      </c>
      <c r="K62" t="s">
        <v>414</v>
      </c>
      <c r="L62">
        <v>1339</v>
      </c>
      <c r="N62">
        <v>1007</v>
      </c>
      <c r="O62" t="s">
        <v>311</v>
      </c>
      <c r="P62" t="s">
        <v>311</v>
      </c>
      <c r="Q62">
        <v>1</v>
      </c>
      <c r="X62">
        <v>0.16</v>
      </c>
      <c r="Y62">
        <v>600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0.16</v>
      </c>
      <c r="AH62">
        <v>2</v>
      </c>
      <c r="AI62">
        <v>35822909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ROW(Source!A145)</f>
        <v>145</v>
      </c>
      <c r="B63">
        <v>35823287</v>
      </c>
      <c r="C63">
        <v>35823286</v>
      </c>
      <c r="D63">
        <v>18407150</v>
      </c>
      <c r="E63">
        <v>1</v>
      </c>
      <c r="F63">
        <v>1</v>
      </c>
      <c r="G63">
        <v>1</v>
      </c>
      <c r="H63">
        <v>1</v>
      </c>
      <c r="I63" t="s">
        <v>293</v>
      </c>
      <c r="J63" t="s">
        <v>3</v>
      </c>
      <c r="K63" t="s">
        <v>294</v>
      </c>
      <c r="L63">
        <v>1369</v>
      </c>
      <c r="N63">
        <v>1013</v>
      </c>
      <c r="O63" t="s">
        <v>295</v>
      </c>
      <c r="P63" t="s">
        <v>295</v>
      </c>
      <c r="Q63">
        <v>1</v>
      </c>
      <c r="X63">
        <v>21.19</v>
      </c>
      <c r="Y63">
        <v>0</v>
      </c>
      <c r="Z63">
        <v>0</v>
      </c>
      <c r="AA63">
        <v>0</v>
      </c>
      <c r="AB63">
        <v>278.5</v>
      </c>
      <c r="AC63">
        <v>0</v>
      </c>
      <c r="AD63">
        <v>1</v>
      </c>
      <c r="AE63">
        <v>1</v>
      </c>
      <c r="AF63" t="s">
        <v>118</v>
      </c>
      <c r="AG63">
        <v>24.368500000000001</v>
      </c>
      <c r="AH63">
        <v>2</v>
      </c>
      <c r="AI63">
        <v>35823287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ROW(Source!A145)</f>
        <v>145</v>
      </c>
      <c r="B64">
        <v>35823288</v>
      </c>
      <c r="C64">
        <v>35823286</v>
      </c>
      <c r="D64">
        <v>121548</v>
      </c>
      <c r="E64">
        <v>1</v>
      </c>
      <c r="F64">
        <v>1</v>
      </c>
      <c r="G64">
        <v>1</v>
      </c>
      <c r="H64">
        <v>1</v>
      </c>
      <c r="I64" t="s">
        <v>296</v>
      </c>
      <c r="J64" t="s">
        <v>3</v>
      </c>
      <c r="K64" t="s">
        <v>297</v>
      </c>
      <c r="L64">
        <v>608254</v>
      </c>
      <c r="N64">
        <v>1013</v>
      </c>
      <c r="O64" t="s">
        <v>298</v>
      </c>
      <c r="P64" t="s">
        <v>298</v>
      </c>
      <c r="Q64">
        <v>1</v>
      </c>
      <c r="X64">
        <v>0.04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117</v>
      </c>
      <c r="AG64">
        <v>0.05</v>
      </c>
      <c r="AH64">
        <v>2</v>
      </c>
      <c r="AI64">
        <v>35823288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ROW(Source!A145)</f>
        <v>145</v>
      </c>
      <c r="B65">
        <v>35823289</v>
      </c>
      <c r="C65">
        <v>35823286</v>
      </c>
      <c r="D65">
        <v>29172556</v>
      </c>
      <c r="E65">
        <v>1</v>
      </c>
      <c r="F65">
        <v>1</v>
      </c>
      <c r="G65">
        <v>1</v>
      </c>
      <c r="H65">
        <v>2</v>
      </c>
      <c r="I65" t="s">
        <v>299</v>
      </c>
      <c r="J65" t="s">
        <v>300</v>
      </c>
      <c r="K65" t="s">
        <v>301</v>
      </c>
      <c r="L65">
        <v>1368</v>
      </c>
      <c r="N65">
        <v>1011</v>
      </c>
      <c r="O65" t="s">
        <v>302</v>
      </c>
      <c r="P65" t="s">
        <v>302</v>
      </c>
      <c r="Q65">
        <v>1</v>
      </c>
      <c r="X65">
        <v>0.04</v>
      </c>
      <c r="Y65">
        <v>0</v>
      </c>
      <c r="Z65">
        <v>31.26</v>
      </c>
      <c r="AA65">
        <v>13.5</v>
      </c>
      <c r="AB65">
        <v>0</v>
      </c>
      <c r="AC65">
        <v>0</v>
      </c>
      <c r="AD65">
        <v>1</v>
      </c>
      <c r="AE65">
        <v>0</v>
      </c>
      <c r="AF65" t="s">
        <v>117</v>
      </c>
      <c r="AG65">
        <v>0.05</v>
      </c>
      <c r="AH65">
        <v>2</v>
      </c>
      <c r="AI65">
        <v>35823289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ROW(Source!A145)</f>
        <v>145</v>
      </c>
      <c r="B66">
        <v>35823290</v>
      </c>
      <c r="C66">
        <v>35823286</v>
      </c>
      <c r="D66">
        <v>29174913</v>
      </c>
      <c r="E66">
        <v>1</v>
      </c>
      <c r="F66">
        <v>1</v>
      </c>
      <c r="G66">
        <v>1</v>
      </c>
      <c r="H66">
        <v>2</v>
      </c>
      <c r="I66" t="s">
        <v>342</v>
      </c>
      <c r="J66" t="s">
        <v>343</v>
      </c>
      <c r="K66" t="s">
        <v>344</v>
      </c>
      <c r="L66">
        <v>1368</v>
      </c>
      <c r="N66">
        <v>1011</v>
      </c>
      <c r="O66" t="s">
        <v>302</v>
      </c>
      <c r="P66" t="s">
        <v>302</v>
      </c>
      <c r="Q66">
        <v>1</v>
      </c>
      <c r="X66">
        <v>0.15</v>
      </c>
      <c r="Y66">
        <v>0</v>
      </c>
      <c r="Z66">
        <v>87.17</v>
      </c>
      <c r="AA66">
        <v>11.6</v>
      </c>
      <c r="AB66">
        <v>0</v>
      </c>
      <c r="AC66">
        <v>0</v>
      </c>
      <c r="AD66">
        <v>1</v>
      </c>
      <c r="AE66">
        <v>0</v>
      </c>
      <c r="AF66" t="s">
        <v>117</v>
      </c>
      <c r="AG66">
        <v>0.1875</v>
      </c>
      <c r="AH66">
        <v>2</v>
      </c>
      <c r="AI66">
        <v>35823290</v>
      </c>
      <c r="AJ66">
        <v>65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ROW(Source!A145)</f>
        <v>145</v>
      </c>
      <c r="B67">
        <v>35823291</v>
      </c>
      <c r="C67">
        <v>35823286</v>
      </c>
      <c r="D67">
        <v>29108696</v>
      </c>
      <c r="E67">
        <v>1</v>
      </c>
      <c r="F67">
        <v>1</v>
      </c>
      <c r="G67">
        <v>1</v>
      </c>
      <c r="H67">
        <v>3</v>
      </c>
      <c r="I67" t="s">
        <v>415</v>
      </c>
      <c r="J67" t="s">
        <v>416</v>
      </c>
      <c r="K67" t="s">
        <v>417</v>
      </c>
      <c r="L67">
        <v>1354</v>
      </c>
      <c r="N67">
        <v>1010</v>
      </c>
      <c r="O67" t="s">
        <v>418</v>
      </c>
      <c r="P67" t="s">
        <v>418</v>
      </c>
      <c r="Q67">
        <v>1</v>
      </c>
      <c r="X67">
        <v>56.6</v>
      </c>
      <c r="Y67">
        <v>67.209999999999994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56.6</v>
      </c>
      <c r="AH67">
        <v>2</v>
      </c>
      <c r="AI67">
        <v>35823291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ROW(Source!A145)</f>
        <v>145</v>
      </c>
      <c r="B68">
        <v>35823292</v>
      </c>
      <c r="C68">
        <v>35823286</v>
      </c>
      <c r="D68">
        <v>29109717</v>
      </c>
      <c r="E68">
        <v>1</v>
      </c>
      <c r="F68">
        <v>1</v>
      </c>
      <c r="G68">
        <v>1</v>
      </c>
      <c r="H68">
        <v>3</v>
      </c>
      <c r="I68" t="s">
        <v>459</v>
      </c>
      <c r="J68" t="s">
        <v>460</v>
      </c>
      <c r="K68" t="s">
        <v>461</v>
      </c>
      <c r="L68">
        <v>1301</v>
      </c>
      <c r="N68">
        <v>1003</v>
      </c>
      <c r="O68" t="s">
        <v>162</v>
      </c>
      <c r="P68" t="s">
        <v>162</v>
      </c>
      <c r="Q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0</v>
      </c>
      <c r="AE68">
        <v>0</v>
      </c>
      <c r="AF68" t="s">
        <v>3</v>
      </c>
      <c r="AG68">
        <v>0</v>
      </c>
      <c r="AH68">
        <v>3</v>
      </c>
      <c r="AI68">
        <v>-1</v>
      </c>
      <c r="AJ68" t="s">
        <v>3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ROW(Source!A145)</f>
        <v>145</v>
      </c>
      <c r="B69">
        <v>35823293</v>
      </c>
      <c r="C69">
        <v>35823286</v>
      </c>
      <c r="D69">
        <v>29115197</v>
      </c>
      <c r="E69">
        <v>1</v>
      </c>
      <c r="F69">
        <v>1</v>
      </c>
      <c r="G69">
        <v>1</v>
      </c>
      <c r="H69">
        <v>3</v>
      </c>
      <c r="I69" t="s">
        <v>419</v>
      </c>
      <c r="J69" t="s">
        <v>420</v>
      </c>
      <c r="K69" t="s">
        <v>421</v>
      </c>
      <c r="L69">
        <v>1354</v>
      </c>
      <c r="N69">
        <v>1010</v>
      </c>
      <c r="O69" t="s">
        <v>418</v>
      </c>
      <c r="P69" t="s">
        <v>418</v>
      </c>
      <c r="Q69">
        <v>1</v>
      </c>
      <c r="X69">
        <v>400</v>
      </c>
      <c r="Y69">
        <v>0.5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400</v>
      </c>
      <c r="AH69">
        <v>2</v>
      </c>
      <c r="AI69">
        <v>35823293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ROW(Source!A147)</f>
        <v>147</v>
      </c>
      <c r="B70">
        <v>36511620</v>
      </c>
      <c r="C70">
        <v>35823295</v>
      </c>
      <c r="D70">
        <v>18413230</v>
      </c>
      <c r="E70">
        <v>1</v>
      </c>
      <c r="F70">
        <v>1</v>
      </c>
      <c r="G70">
        <v>1</v>
      </c>
      <c r="H70">
        <v>1</v>
      </c>
      <c r="I70" t="s">
        <v>328</v>
      </c>
      <c r="J70" t="s">
        <v>3</v>
      </c>
      <c r="K70" t="s">
        <v>329</v>
      </c>
      <c r="L70">
        <v>1369</v>
      </c>
      <c r="N70">
        <v>1013</v>
      </c>
      <c r="O70" t="s">
        <v>295</v>
      </c>
      <c r="P70" t="s">
        <v>295</v>
      </c>
      <c r="Q70">
        <v>1</v>
      </c>
      <c r="X70">
        <v>166.47</v>
      </c>
      <c r="Y70">
        <v>0</v>
      </c>
      <c r="Z70">
        <v>0</v>
      </c>
      <c r="AA70">
        <v>0</v>
      </c>
      <c r="AB70">
        <v>299.72000000000003</v>
      </c>
      <c r="AC70">
        <v>0</v>
      </c>
      <c r="AD70">
        <v>1</v>
      </c>
      <c r="AE70">
        <v>1</v>
      </c>
      <c r="AF70" t="s">
        <v>118</v>
      </c>
      <c r="AG70">
        <v>191.44049999999999</v>
      </c>
      <c r="AH70">
        <v>2</v>
      </c>
      <c r="AI70">
        <v>36511620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ROW(Source!A147)</f>
        <v>147</v>
      </c>
      <c r="B71">
        <v>36511621</v>
      </c>
      <c r="C71">
        <v>35823295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296</v>
      </c>
      <c r="J71" t="s">
        <v>3</v>
      </c>
      <c r="K71" t="s">
        <v>297</v>
      </c>
      <c r="L71">
        <v>608254</v>
      </c>
      <c r="N71">
        <v>1013</v>
      </c>
      <c r="O71" t="s">
        <v>298</v>
      </c>
      <c r="P71" t="s">
        <v>298</v>
      </c>
      <c r="Q71">
        <v>1</v>
      </c>
      <c r="X71">
        <v>0.08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2</v>
      </c>
      <c r="AF71" t="s">
        <v>117</v>
      </c>
      <c r="AG71">
        <v>0.1</v>
      </c>
      <c r="AH71">
        <v>2</v>
      </c>
      <c r="AI71">
        <v>36511621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ROW(Source!A147)</f>
        <v>147</v>
      </c>
      <c r="B72">
        <v>36511622</v>
      </c>
      <c r="C72">
        <v>35823295</v>
      </c>
      <c r="D72">
        <v>29172556</v>
      </c>
      <c r="E72">
        <v>1</v>
      </c>
      <c r="F72">
        <v>1</v>
      </c>
      <c r="G72">
        <v>1</v>
      </c>
      <c r="H72">
        <v>2</v>
      </c>
      <c r="I72" t="s">
        <v>299</v>
      </c>
      <c r="J72" t="s">
        <v>422</v>
      </c>
      <c r="K72" t="s">
        <v>301</v>
      </c>
      <c r="L72">
        <v>1368</v>
      </c>
      <c r="N72">
        <v>1011</v>
      </c>
      <c r="O72" t="s">
        <v>302</v>
      </c>
      <c r="P72" t="s">
        <v>302</v>
      </c>
      <c r="Q72">
        <v>1</v>
      </c>
      <c r="X72">
        <v>0.08</v>
      </c>
      <c r="Y72">
        <v>0</v>
      </c>
      <c r="Z72">
        <v>31.26</v>
      </c>
      <c r="AA72">
        <v>13.5</v>
      </c>
      <c r="AB72">
        <v>0</v>
      </c>
      <c r="AC72">
        <v>0</v>
      </c>
      <c r="AD72">
        <v>1</v>
      </c>
      <c r="AE72">
        <v>0</v>
      </c>
      <c r="AF72" t="s">
        <v>117</v>
      </c>
      <c r="AG72">
        <v>0.1</v>
      </c>
      <c r="AH72">
        <v>2</v>
      </c>
      <c r="AI72">
        <v>36511622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ROW(Source!A147)</f>
        <v>147</v>
      </c>
      <c r="B73">
        <v>36511623</v>
      </c>
      <c r="C73">
        <v>35823295</v>
      </c>
      <c r="D73">
        <v>29174591</v>
      </c>
      <c r="E73">
        <v>1</v>
      </c>
      <c r="F73">
        <v>1</v>
      </c>
      <c r="G73">
        <v>1</v>
      </c>
      <c r="H73">
        <v>2</v>
      </c>
      <c r="I73" t="s">
        <v>423</v>
      </c>
      <c r="J73" t="s">
        <v>424</v>
      </c>
      <c r="K73" t="s">
        <v>425</v>
      </c>
      <c r="L73">
        <v>1368</v>
      </c>
      <c r="N73">
        <v>1011</v>
      </c>
      <c r="O73" t="s">
        <v>302</v>
      </c>
      <c r="P73" t="s">
        <v>302</v>
      </c>
      <c r="Q73">
        <v>1</v>
      </c>
      <c r="X73">
        <v>0.26</v>
      </c>
      <c r="Y73">
        <v>0</v>
      </c>
      <c r="Z73">
        <v>0.95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117</v>
      </c>
      <c r="AG73">
        <v>0.32500000000000001</v>
      </c>
      <c r="AH73">
        <v>2</v>
      </c>
      <c r="AI73">
        <v>36511623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ROW(Source!A147)</f>
        <v>147</v>
      </c>
      <c r="B74">
        <v>36511624</v>
      </c>
      <c r="C74">
        <v>35823295</v>
      </c>
      <c r="D74">
        <v>29174913</v>
      </c>
      <c r="E74">
        <v>1</v>
      </c>
      <c r="F74">
        <v>1</v>
      </c>
      <c r="G74">
        <v>1</v>
      </c>
      <c r="H74">
        <v>2</v>
      </c>
      <c r="I74" t="s">
        <v>342</v>
      </c>
      <c r="J74" t="s">
        <v>426</v>
      </c>
      <c r="K74" t="s">
        <v>344</v>
      </c>
      <c r="L74">
        <v>1368</v>
      </c>
      <c r="N74">
        <v>1011</v>
      </c>
      <c r="O74" t="s">
        <v>302</v>
      </c>
      <c r="P74" t="s">
        <v>302</v>
      </c>
      <c r="Q74">
        <v>1</v>
      </c>
      <c r="X74">
        <v>0.5</v>
      </c>
      <c r="Y74">
        <v>0</v>
      </c>
      <c r="Z74">
        <v>87.17</v>
      </c>
      <c r="AA74">
        <v>11.6</v>
      </c>
      <c r="AB74">
        <v>0</v>
      </c>
      <c r="AC74">
        <v>0</v>
      </c>
      <c r="AD74">
        <v>1</v>
      </c>
      <c r="AE74">
        <v>0</v>
      </c>
      <c r="AF74" t="s">
        <v>117</v>
      </c>
      <c r="AG74">
        <v>0.625</v>
      </c>
      <c r="AH74">
        <v>2</v>
      </c>
      <c r="AI74">
        <v>36511624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ROW(Source!A147)</f>
        <v>147</v>
      </c>
      <c r="B75">
        <v>36511625</v>
      </c>
      <c r="C75">
        <v>35823295</v>
      </c>
      <c r="D75">
        <v>29107800</v>
      </c>
      <c r="E75">
        <v>1</v>
      </c>
      <c r="F75">
        <v>1</v>
      </c>
      <c r="G75">
        <v>1</v>
      </c>
      <c r="H75">
        <v>3</v>
      </c>
      <c r="I75" t="s">
        <v>366</v>
      </c>
      <c r="J75" t="s">
        <v>427</v>
      </c>
      <c r="K75" t="s">
        <v>368</v>
      </c>
      <c r="L75">
        <v>1346</v>
      </c>
      <c r="N75">
        <v>1009</v>
      </c>
      <c r="O75" t="s">
        <v>188</v>
      </c>
      <c r="P75" t="s">
        <v>188</v>
      </c>
      <c r="Q75">
        <v>1</v>
      </c>
      <c r="X75">
        <v>0.2</v>
      </c>
      <c r="Y75">
        <v>1.81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0.2</v>
      </c>
      <c r="AH75">
        <v>2</v>
      </c>
      <c r="AI75">
        <v>36511625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ROW(Source!A147)</f>
        <v>147</v>
      </c>
      <c r="B76">
        <v>36511626</v>
      </c>
      <c r="C76">
        <v>35823295</v>
      </c>
      <c r="D76">
        <v>29109411</v>
      </c>
      <c r="E76">
        <v>1</v>
      </c>
      <c r="F76">
        <v>1</v>
      </c>
      <c r="G76">
        <v>1</v>
      </c>
      <c r="H76">
        <v>3</v>
      </c>
      <c r="I76" t="s">
        <v>428</v>
      </c>
      <c r="J76" t="s">
        <v>429</v>
      </c>
      <c r="K76" t="s">
        <v>430</v>
      </c>
      <c r="L76">
        <v>1346</v>
      </c>
      <c r="N76">
        <v>1009</v>
      </c>
      <c r="O76" t="s">
        <v>188</v>
      </c>
      <c r="P76" t="s">
        <v>188</v>
      </c>
      <c r="Q76">
        <v>1</v>
      </c>
      <c r="X76">
        <v>30</v>
      </c>
      <c r="Y76">
        <v>15.95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30</v>
      </c>
      <c r="AH76">
        <v>2</v>
      </c>
      <c r="AI76">
        <v>36511626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ROW(Source!A147)</f>
        <v>147</v>
      </c>
      <c r="B77">
        <v>36511627</v>
      </c>
      <c r="C77">
        <v>35823295</v>
      </c>
      <c r="D77">
        <v>29109535</v>
      </c>
      <c r="E77">
        <v>1</v>
      </c>
      <c r="F77">
        <v>1</v>
      </c>
      <c r="G77">
        <v>1</v>
      </c>
      <c r="H77">
        <v>3</v>
      </c>
      <c r="I77" t="s">
        <v>462</v>
      </c>
      <c r="J77" t="s">
        <v>463</v>
      </c>
      <c r="K77" t="s">
        <v>464</v>
      </c>
      <c r="L77">
        <v>1327</v>
      </c>
      <c r="N77">
        <v>1005</v>
      </c>
      <c r="O77" t="s">
        <v>354</v>
      </c>
      <c r="P77" t="s">
        <v>354</v>
      </c>
      <c r="Q77">
        <v>1</v>
      </c>
      <c r="X77">
        <v>105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 t="s">
        <v>3</v>
      </c>
      <c r="AG77">
        <v>105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ROW(Source!A147)</f>
        <v>147</v>
      </c>
      <c r="B78">
        <v>36511628</v>
      </c>
      <c r="C78">
        <v>35823295</v>
      </c>
      <c r="D78">
        <v>29109265</v>
      </c>
      <c r="E78">
        <v>1</v>
      </c>
      <c r="F78">
        <v>1</v>
      </c>
      <c r="G78">
        <v>1</v>
      </c>
      <c r="H78">
        <v>3</v>
      </c>
      <c r="I78" t="s">
        <v>465</v>
      </c>
      <c r="J78" t="s">
        <v>466</v>
      </c>
      <c r="K78" t="s">
        <v>467</v>
      </c>
      <c r="L78">
        <v>1348</v>
      </c>
      <c r="N78">
        <v>1009</v>
      </c>
      <c r="O78" t="s">
        <v>28</v>
      </c>
      <c r="P78" t="s">
        <v>28</v>
      </c>
      <c r="Q78">
        <v>1000</v>
      </c>
      <c r="X78">
        <v>8.8999999999999999E-3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 t="s">
        <v>3</v>
      </c>
      <c r="AG78">
        <v>8.8999999999999999E-3</v>
      </c>
      <c r="AH78">
        <v>3</v>
      </c>
      <c r="AI78">
        <v>-1</v>
      </c>
      <c r="AJ78" t="s">
        <v>3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ROW(Source!A148)</f>
        <v>148</v>
      </c>
      <c r="B79">
        <v>35839114</v>
      </c>
      <c r="C79">
        <v>35839113</v>
      </c>
      <c r="D79">
        <v>18406804</v>
      </c>
      <c r="E79">
        <v>1</v>
      </c>
      <c r="F79">
        <v>1</v>
      </c>
      <c r="G79">
        <v>1</v>
      </c>
      <c r="H79">
        <v>1</v>
      </c>
      <c r="I79" t="s">
        <v>317</v>
      </c>
      <c r="J79" t="s">
        <v>3</v>
      </c>
      <c r="K79" t="s">
        <v>318</v>
      </c>
      <c r="L79">
        <v>1369</v>
      </c>
      <c r="N79">
        <v>1013</v>
      </c>
      <c r="O79" t="s">
        <v>295</v>
      </c>
      <c r="P79" t="s">
        <v>295</v>
      </c>
      <c r="Q79">
        <v>1</v>
      </c>
      <c r="X79">
        <v>22.82</v>
      </c>
      <c r="Y79">
        <v>0</v>
      </c>
      <c r="Z79">
        <v>0</v>
      </c>
      <c r="AA79">
        <v>0</v>
      </c>
      <c r="AB79">
        <v>254.67</v>
      </c>
      <c r="AC79">
        <v>0</v>
      </c>
      <c r="AD79">
        <v>1</v>
      </c>
      <c r="AE79">
        <v>1</v>
      </c>
      <c r="AF79" t="s">
        <v>3</v>
      </c>
      <c r="AG79">
        <v>22.82</v>
      </c>
      <c r="AH79">
        <v>2</v>
      </c>
      <c r="AI79">
        <v>35839114</v>
      </c>
      <c r="AJ79">
        <v>76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ROW(Source!A149)</f>
        <v>149</v>
      </c>
      <c r="B80">
        <v>35822981</v>
      </c>
      <c r="C80">
        <v>35822980</v>
      </c>
      <c r="D80">
        <v>18407546</v>
      </c>
      <c r="E80">
        <v>1</v>
      </c>
      <c r="F80">
        <v>1</v>
      </c>
      <c r="G80">
        <v>1</v>
      </c>
      <c r="H80">
        <v>1</v>
      </c>
      <c r="I80" t="s">
        <v>431</v>
      </c>
      <c r="J80" t="s">
        <v>3</v>
      </c>
      <c r="K80" t="s">
        <v>432</v>
      </c>
      <c r="L80">
        <v>1369</v>
      </c>
      <c r="N80">
        <v>1013</v>
      </c>
      <c r="O80" t="s">
        <v>295</v>
      </c>
      <c r="P80" t="s">
        <v>295</v>
      </c>
      <c r="Q80">
        <v>1</v>
      </c>
      <c r="X80">
        <v>74.239999999999995</v>
      </c>
      <c r="Y80">
        <v>0</v>
      </c>
      <c r="Z80">
        <v>0</v>
      </c>
      <c r="AA80">
        <v>0</v>
      </c>
      <c r="AB80">
        <v>306.91000000000003</v>
      </c>
      <c r="AC80">
        <v>0</v>
      </c>
      <c r="AD80">
        <v>1</v>
      </c>
      <c r="AE80">
        <v>1</v>
      </c>
      <c r="AF80" t="s">
        <v>118</v>
      </c>
      <c r="AG80">
        <v>85.375999999999991</v>
      </c>
      <c r="AH80">
        <v>2</v>
      </c>
      <c r="AI80">
        <v>35822981</v>
      </c>
      <c r="AJ80">
        <v>77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ROW(Source!A149)</f>
        <v>149</v>
      </c>
      <c r="B81">
        <v>35822982</v>
      </c>
      <c r="C81">
        <v>35822980</v>
      </c>
      <c r="D81">
        <v>121548</v>
      </c>
      <c r="E81">
        <v>1</v>
      </c>
      <c r="F81">
        <v>1</v>
      </c>
      <c r="G81">
        <v>1</v>
      </c>
      <c r="H81">
        <v>1</v>
      </c>
      <c r="I81" t="s">
        <v>296</v>
      </c>
      <c r="J81" t="s">
        <v>3</v>
      </c>
      <c r="K81" t="s">
        <v>297</v>
      </c>
      <c r="L81">
        <v>608254</v>
      </c>
      <c r="N81">
        <v>1013</v>
      </c>
      <c r="O81" t="s">
        <v>298</v>
      </c>
      <c r="P81" t="s">
        <v>298</v>
      </c>
      <c r="Q81">
        <v>1</v>
      </c>
      <c r="X81">
        <v>5.0199999999999996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2</v>
      </c>
      <c r="AF81" t="s">
        <v>117</v>
      </c>
      <c r="AG81">
        <v>6.2749999999999995</v>
      </c>
      <c r="AH81">
        <v>2</v>
      </c>
      <c r="AI81">
        <v>35822982</v>
      </c>
      <c r="AJ81">
        <v>78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ROW(Source!A149)</f>
        <v>149</v>
      </c>
      <c r="B82">
        <v>35822983</v>
      </c>
      <c r="C82">
        <v>35822980</v>
      </c>
      <c r="D82">
        <v>29172556</v>
      </c>
      <c r="E82">
        <v>1</v>
      </c>
      <c r="F82">
        <v>1</v>
      </c>
      <c r="G82">
        <v>1</v>
      </c>
      <c r="H82">
        <v>2</v>
      </c>
      <c r="I82" t="s">
        <v>299</v>
      </c>
      <c r="J82" t="s">
        <v>300</v>
      </c>
      <c r="K82" t="s">
        <v>301</v>
      </c>
      <c r="L82">
        <v>1368</v>
      </c>
      <c r="N82">
        <v>1011</v>
      </c>
      <c r="O82" t="s">
        <v>302</v>
      </c>
      <c r="P82" t="s">
        <v>302</v>
      </c>
      <c r="Q82">
        <v>1</v>
      </c>
      <c r="X82">
        <v>0.26</v>
      </c>
      <c r="Y82">
        <v>0</v>
      </c>
      <c r="Z82">
        <v>31.26</v>
      </c>
      <c r="AA82">
        <v>13.5</v>
      </c>
      <c r="AB82">
        <v>0</v>
      </c>
      <c r="AC82">
        <v>0</v>
      </c>
      <c r="AD82">
        <v>1</v>
      </c>
      <c r="AE82">
        <v>0</v>
      </c>
      <c r="AF82" t="s">
        <v>117</v>
      </c>
      <c r="AG82">
        <v>0.32500000000000001</v>
      </c>
      <c r="AH82">
        <v>2</v>
      </c>
      <c r="AI82">
        <v>35822983</v>
      </c>
      <c r="AJ82">
        <v>79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ROW(Source!A149)</f>
        <v>149</v>
      </c>
      <c r="B83">
        <v>35822984</v>
      </c>
      <c r="C83">
        <v>35822980</v>
      </c>
      <c r="D83">
        <v>29173156</v>
      </c>
      <c r="E83">
        <v>1</v>
      </c>
      <c r="F83">
        <v>1</v>
      </c>
      <c r="G83">
        <v>1</v>
      </c>
      <c r="H83">
        <v>2</v>
      </c>
      <c r="I83" t="s">
        <v>433</v>
      </c>
      <c r="J83" t="s">
        <v>434</v>
      </c>
      <c r="K83" t="s">
        <v>435</v>
      </c>
      <c r="L83">
        <v>1368</v>
      </c>
      <c r="N83">
        <v>1011</v>
      </c>
      <c r="O83" t="s">
        <v>302</v>
      </c>
      <c r="P83" t="s">
        <v>302</v>
      </c>
      <c r="Q83">
        <v>1</v>
      </c>
      <c r="X83">
        <v>4.76</v>
      </c>
      <c r="Y83">
        <v>0</v>
      </c>
      <c r="Z83">
        <v>15.3</v>
      </c>
      <c r="AA83">
        <v>8.91</v>
      </c>
      <c r="AB83">
        <v>0</v>
      </c>
      <c r="AC83">
        <v>0</v>
      </c>
      <c r="AD83">
        <v>1</v>
      </c>
      <c r="AE83">
        <v>0</v>
      </c>
      <c r="AF83" t="s">
        <v>117</v>
      </c>
      <c r="AG83">
        <v>5.9499999999999993</v>
      </c>
      <c r="AH83">
        <v>2</v>
      </c>
      <c r="AI83">
        <v>35822984</v>
      </c>
      <c r="AJ83">
        <v>80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ROW(Source!A149)</f>
        <v>149</v>
      </c>
      <c r="B84">
        <v>35822985</v>
      </c>
      <c r="C84">
        <v>35822980</v>
      </c>
      <c r="D84">
        <v>29114338</v>
      </c>
      <c r="E84">
        <v>1</v>
      </c>
      <c r="F84">
        <v>1</v>
      </c>
      <c r="G84">
        <v>1</v>
      </c>
      <c r="H84">
        <v>3</v>
      </c>
      <c r="I84" t="s">
        <v>436</v>
      </c>
      <c r="J84" t="s">
        <v>437</v>
      </c>
      <c r="K84" t="s">
        <v>438</v>
      </c>
      <c r="L84">
        <v>1348</v>
      </c>
      <c r="N84">
        <v>1009</v>
      </c>
      <c r="O84" t="s">
        <v>28</v>
      </c>
      <c r="P84" t="s">
        <v>28</v>
      </c>
      <c r="Q84">
        <v>1000</v>
      </c>
      <c r="X84">
        <v>1.2E-4</v>
      </c>
      <c r="Y84">
        <v>8475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1.2E-4</v>
      </c>
      <c r="AH84">
        <v>2</v>
      </c>
      <c r="AI84">
        <v>35822985</v>
      </c>
      <c r="AJ84">
        <v>81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ROW(Source!A149)</f>
        <v>149</v>
      </c>
      <c r="B85">
        <v>35822986</v>
      </c>
      <c r="C85">
        <v>35822980</v>
      </c>
      <c r="D85">
        <v>29112827</v>
      </c>
      <c r="E85">
        <v>1</v>
      </c>
      <c r="F85">
        <v>1</v>
      </c>
      <c r="G85">
        <v>1</v>
      </c>
      <c r="H85">
        <v>3</v>
      </c>
      <c r="I85" t="s">
        <v>439</v>
      </c>
      <c r="J85" t="s">
        <v>440</v>
      </c>
      <c r="K85" t="s">
        <v>441</v>
      </c>
      <c r="L85">
        <v>1327</v>
      </c>
      <c r="N85">
        <v>1005</v>
      </c>
      <c r="O85" t="s">
        <v>354</v>
      </c>
      <c r="P85" t="s">
        <v>354</v>
      </c>
      <c r="Q85">
        <v>1</v>
      </c>
      <c r="X85">
        <v>5.28</v>
      </c>
      <c r="Y85">
        <v>28.25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5.28</v>
      </c>
      <c r="AH85">
        <v>2</v>
      </c>
      <c r="AI85">
        <v>35822986</v>
      </c>
      <c r="AJ85">
        <v>82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ROW(Source!A149)</f>
        <v>149</v>
      </c>
      <c r="B86">
        <v>35822987</v>
      </c>
      <c r="C86">
        <v>35822980</v>
      </c>
      <c r="D86">
        <v>29145213</v>
      </c>
      <c r="E86">
        <v>1</v>
      </c>
      <c r="F86">
        <v>1</v>
      </c>
      <c r="G86">
        <v>1</v>
      </c>
      <c r="H86">
        <v>3</v>
      </c>
      <c r="I86" t="s">
        <v>442</v>
      </c>
      <c r="J86" t="s">
        <v>443</v>
      </c>
      <c r="K86" t="s">
        <v>444</v>
      </c>
      <c r="L86">
        <v>1339</v>
      </c>
      <c r="N86">
        <v>1007</v>
      </c>
      <c r="O86" t="s">
        <v>311</v>
      </c>
      <c r="P86" t="s">
        <v>311</v>
      </c>
      <c r="Q86">
        <v>1</v>
      </c>
      <c r="X86">
        <v>0.2</v>
      </c>
      <c r="Y86">
        <v>517.89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0.2</v>
      </c>
      <c r="AH86">
        <v>2</v>
      </c>
      <c r="AI86">
        <v>35822987</v>
      </c>
      <c r="AJ86">
        <v>83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ROW(Source!A149)</f>
        <v>149</v>
      </c>
      <c r="B87">
        <v>35822988</v>
      </c>
      <c r="C87">
        <v>35822980</v>
      </c>
      <c r="D87">
        <v>29145216</v>
      </c>
      <c r="E87">
        <v>1</v>
      </c>
      <c r="F87">
        <v>1</v>
      </c>
      <c r="G87">
        <v>1</v>
      </c>
      <c r="H87">
        <v>3</v>
      </c>
      <c r="I87" t="s">
        <v>445</v>
      </c>
      <c r="J87" t="s">
        <v>446</v>
      </c>
      <c r="K87" t="s">
        <v>447</v>
      </c>
      <c r="L87">
        <v>1339</v>
      </c>
      <c r="N87">
        <v>1007</v>
      </c>
      <c r="O87" t="s">
        <v>311</v>
      </c>
      <c r="P87" t="s">
        <v>311</v>
      </c>
      <c r="Q87">
        <v>1</v>
      </c>
      <c r="X87">
        <v>1.58</v>
      </c>
      <c r="Y87">
        <v>477.5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1.58</v>
      </c>
      <c r="AH87">
        <v>2</v>
      </c>
      <c r="AI87">
        <v>35822988</v>
      </c>
      <c r="AJ87">
        <v>84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ROW(Source!A150)</f>
        <v>150</v>
      </c>
      <c r="B88">
        <v>35822990</v>
      </c>
      <c r="C88">
        <v>35822989</v>
      </c>
      <c r="D88">
        <v>18413638</v>
      </c>
      <c r="E88">
        <v>1</v>
      </c>
      <c r="F88">
        <v>1</v>
      </c>
      <c r="G88">
        <v>1</v>
      </c>
      <c r="H88">
        <v>1</v>
      </c>
      <c r="I88" t="s">
        <v>448</v>
      </c>
      <c r="J88" t="s">
        <v>3</v>
      </c>
      <c r="K88" t="s">
        <v>449</v>
      </c>
      <c r="L88">
        <v>1369</v>
      </c>
      <c r="N88">
        <v>1013</v>
      </c>
      <c r="O88" t="s">
        <v>295</v>
      </c>
      <c r="P88" t="s">
        <v>295</v>
      </c>
      <c r="Q88">
        <v>1</v>
      </c>
      <c r="X88">
        <v>58.72</v>
      </c>
      <c r="Y88">
        <v>0</v>
      </c>
      <c r="Z88">
        <v>0</v>
      </c>
      <c r="AA88">
        <v>0</v>
      </c>
      <c r="AB88">
        <v>342.82</v>
      </c>
      <c r="AC88">
        <v>0</v>
      </c>
      <c r="AD88">
        <v>1</v>
      </c>
      <c r="AE88">
        <v>1</v>
      </c>
      <c r="AF88" t="s">
        <v>118</v>
      </c>
      <c r="AG88">
        <v>67.527999999999992</v>
      </c>
      <c r="AH88">
        <v>2</v>
      </c>
      <c r="AI88">
        <v>35822990</v>
      </c>
      <c r="AJ88">
        <v>85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ROW(Source!A150)</f>
        <v>150</v>
      </c>
      <c r="B89">
        <v>35822991</v>
      </c>
      <c r="C89">
        <v>35822989</v>
      </c>
      <c r="D89">
        <v>121548</v>
      </c>
      <c r="E89">
        <v>1</v>
      </c>
      <c r="F89">
        <v>1</v>
      </c>
      <c r="G89">
        <v>1</v>
      </c>
      <c r="H89">
        <v>1</v>
      </c>
      <c r="I89" t="s">
        <v>296</v>
      </c>
      <c r="J89" t="s">
        <v>3</v>
      </c>
      <c r="K89" t="s">
        <v>297</v>
      </c>
      <c r="L89">
        <v>608254</v>
      </c>
      <c r="N89">
        <v>1013</v>
      </c>
      <c r="O89" t="s">
        <v>298</v>
      </c>
      <c r="P89" t="s">
        <v>298</v>
      </c>
      <c r="Q89">
        <v>1</v>
      </c>
      <c r="X89">
        <v>0.06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117</v>
      </c>
      <c r="AG89">
        <v>7.4999999999999997E-2</v>
      </c>
      <c r="AH89">
        <v>2</v>
      </c>
      <c r="AI89">
        <v>35822991</v>
      </c>
      <c r="AJ89">
        <v>86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ROW(Source!A150)</f>
        <v>150</v>
      </c>
      <c r="B90">
        <v>35822992</v>
      </c>
      <c r="C90">
        <v>35822989</v>
      </c>
      <c r="D90">
        <v>29172556</v>
      </c>
      <c r="E90">
        <v>1</v>
      </c>
      <c r="F90">
        <v>1</v>
      </c>
      <c r="G90">
        <v>1</v>
      </c>
      <c r="H90">
        <v>2</v>
      </c>
      <c r="I90" t="s">
        <v>299</v>
      </c>
      <c r="J90" t="s">
        <v>300</v>
      </c>
      <c r="K90" t="s">
        <v>301</v>
      </c>
      <c r="L90">
        <v>1368</v>
      </c>
      <c r="N90">
        <v>1011</v>
      </c>
      <c r="O90" t="s">
        <v>302</v>
      </c>
      <c r="P90" t="s">
        <v>302</v>
      </c>
      <c r="Q90">
        <v>1</v>
      </c>
      <c r="X90">
        <v>0.06</v>
      </c>
      <c r="Y90">
        <v>0</v>
      </c>
      <c r="Z90">
        <v>31.26</v>
      </c>
      <c r="AA90">
        <v>13.5</v>
      </c>
      <c r="AB90">
        <v>0</v>
      </c>
      <c r="AC90">
        <v>0</v>
      </c>
      <c r="AD90">
        <v>1</v>
      </c>
      <c r="AE90">
        <v>0</v>
      </c>
      <c r="AF90" t="s">
        <v>117</v>
      </c>
      <c r="AG90">
        <v>7.4999999999999997E-2</v>
      </c>
      <c r="AH90">
        <v>2</v>
      </c>
      <c r="AI90">
        <v>35822992</v>
      </c>
      <c r="AJ90">
        <v>87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ROW(Source!A150)</f>
        <v>150</v>
      </c>
      <c r="B91">
        <v>35822993</v>
      </c>
      <c r="C91">
        <v>35822989</v>
      </c>
      <c r="D91">
        <v>29174500</v>
      </c>
      <c r="E91">
        <v>1</v>
      </c>
      <c r="F91">
        <v>1</v>
      </c>
      <c r="G91">
        <v>1</v>
      </c>
      <c r="H91">
        <v>2</v>
      </c>
      <c r="I91" t="s">
        <v>388</v>
      </c>
      <c r="J91" t="s">
        <v>389</v>
      </c>
      <c r="K91" t="s">
        <v>390</v>
      </c>
      <c r="L91">
        <v>1368</v>
      </c>
      <c r="N91">
        <v>1011</v>
      </c>
      <c r="O91" t="s">
        <v>302</v>
      </c>
      <c r="P91" t="s">
        <v>302</v>
      </c>
      <c r="Q91">
        <v>1</v>
      </c>
      <c r="X91">
        <v>1.33</v>
      </c>
      <c r="Y91">
        <v>0</v>
      </c>
      <c r="Z91">
        <v>1.95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117</v>
      </c>
      <c r="AG91">
        <v>1.6625000000000001</v>
      </c>
      <c r="AH91">
        <v>2</v>
      </c>
      <c r="AI91">
        <v>35822993</v>
      </c>
      <c r="AJ91">
        <v>88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ROW(Source!A150)</f>
        <v>150</v>
      </c>
      <c r="B92">
        <v>35822994</v>
      </c>
      <c r="C92">
        <v>35822989</v>
      </c>
      <c r="D92">
        <v>29174913</v>
      </c>
      <c r="E92">
        <v>1</v>
      </c>
      <c r="F92">
        <v>1</v>
      </c>
      <c r="G92">
        <v>1</v>
      </c>
      <c r="H92">
        <v>2</v>
      </c>
      <c r="I92" t="s">
        <v>342</v>
      </c>
      <c r="J92" t="s">
        <v>343</v>
      </c>
      <c r="K92" t="s">
        <v>344</v>
      </c>
      <c r="L92">
        <v>1368</v>
      </c>
      <c r="N92">
        <v>1011</v>
      </c>
      <c r="O92" t="s">
        <v>302</v>
      </c>
      <c r="P92" t="s">
        <v>302</v>
      </c>
      <c r="Q92">
        <v>1</v>
      </c>
      <c r="X92">
        <v>0.38</v>
      </c>
      <c r="Y92">
        <v>0</v>
      </c>
      <c r="Z92">
        <v>87.17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117</v>
      </c>
      <c r="AG92">
        <v>0.47499999999999998</v>
      </c>
      <c r="AH92">
        <v>2</v>
      </c>
      <c r="AI92">
        <v>35822994</v>
      </c>
      <c r="AJ92">
        <v>89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ROW(Source!A150)</f>
        <v>150</v>
      </c>
      <c r="B93">
        <v>35822995</v>
      </c>
      <c r="C93">
        <v>35822989</v>
      </c>
      <c r="D93">
        <v>29122830</v>
      </c>
      <c r="E93">
        <v>1</v>
      </c>
      <c r="F93">
        <v>1</v>
      </c>
      <c r="G93">
        <v>1</v>
      </c>
      <c r="H93">
        <v>3</v>
      </c>
      <c r="I93" t="s">
        <v>183</v>
      </c>
      <c r="J93" t="s">
        <v>185</v>
      </c>
      <c r="K93" t="s">
        <v>184</v>
      </c>
      <c r="L93">
        <v>1348</v>
      </c>
      <c r="N93">
        <v>1009</v>
      </c>
      <c r="O93" t="s">
        <v>28</v>
      </c>
      <c r="P93" t="s">
        <v>28</v>
      </c>
      <c r="Q93">
        <v>1000</v>
      </c>
      <c r="X93">
        <v>1.6E-2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 t="s">
        <v>3</v>
      </c>
      <c r="AG93">
        <v>1.6E-2</v>
      </c>
      <c r="AH93">
        <v>2</v>
      </c>
      <c r="AI93">
        <v>35822995</v>
      </c>
      <c r="AJ93">
        <v>90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ROW(Source!A150)</f>
        <v>150</v>
      </c>
      <c r="B94">
        <v>35822996</v>
      </c>
      <c r="C94">
        <v>35822989</v>
      </c>
      <c r="D94">
        <v>29145224</v>
      </c>
      <c r="E94">
        <v>1</v>
      </c>
      <c r="F94">
        <v>1</v>
      </c>
      <c r="G94">
        <v>1</v>
      </c>
      <c r="H94">
        <v>3</v>
      </c>
      <c r="I94" t="s">
        <v>450</v>
      </c>
      <c r="J94" t="s">
        <v>451</v>
      </c>
      <c r="K94" t="s">
        <v>452</v>
      </c>
      <c r="L94">
        <v>1348</v>
      </c>
      <c r="N94">
        <v>1009</v>
      </c>
      <c r="O94" t="s">
        <v>28</v>
      </c>
      <c r="P94" t="s">
        <v>28</v>
      </c>
      <c r="Q94">
        <v>1000</v>
      </c>
      <c r="X94">
        <v>0.36</v>
      </c>
      <c r="Y94">
        <v>25016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0.36</v>
      </c>
      <c r="AH94">
        <v>2</v>
      </c>
      <c r="AI94">
        <v>35822996</v>
      </c>
      <c r="AJ94">
        <v>91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ROW(Source!A150)</f>
        <v>150</v>
      </c>
      <c r="B95">
        <v>35822997</v>
      </c>
      <c r="C95">
        <v>35822989</v>
      </c>
      <c r="D95">
        <v>29150040</v>
      </c>
      <c r="E95">
        <v>1</v>
      </c>
      <c r="F95">
        <v>1</v>
      </c>
      <c r="G95">
        <v>1</v>
      </c>
      <c r="H95">
        <v>3</v>
      </c>
      <c r="I95" t="s">
        <v>325</v>
      </c>
      <c r="J95" t="s">
        <v>326</v>
      </c>
      <c r="K95" t="s">
        <v>327</v>
      </c>
      <c r="L95">
        <v>1339</v>
      </c>
      <c r="N95">
        <v>1007</v>
      </c>
      <c r="O95" t="s">
        <v>311</v>
      </c>
      <c r="P95" t="s">
        <v>311</v>
      </c>
      <c r="Q95">
        <v>1</v>
      </c>
      <c r="X95">
        <v>6.2E-2</v>
      </c>
      <c r="Y95">
        <v>2.44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6.2E-2</v>
      </c>
      <c r="AH95">
        <v>2</v>
      </c>
      <c r="AI95">
        <v>35822997</v>
      </c>
      <c r="AJ95">
        <v>92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ROW(Source!A153)</f>
        <v>153</v>
      </c>
      <c r="B96">
        <v>35823001</v>
      </c>
      <c r="C96">
        <v>35823000</v>
      </c>
      <c r="D96">
        <v>18413638</v>
      </c>
      <c r="E96">
        <v>1</v>
      </c>
      <c r="F96">
        <v>1</v>
      </c>
      <c r="G96">
        <v>1</v>
      </c>
      <c r="H96">
        <v>1</v>
      </c>
      <c r="I96" t="s">
        <v>448</v>
      </c>
      <c r="J96" t="s">
        <v>3</v>
      </c>
      <c r="K96" t="s">
        <v>449</v>
      </c>
      <c r="L96">
        <v>1369</v>
      </c>
      <c r="N96">
        <v>1013</v>
      </c>
      <c r="O96" t="s">
        <v>295</v>
      </c>
      <c r="P96" t="s">
        <v>295</v>
      </c>
      <c r="Q96">
        <v>1</v>
      </c>
      <c r="X96">
        <v>22.55</v>
      </c>
      <c r="Y96">
        <v>0</v>
      </c>
      <c r="Z96">
        <v>0</v>
      </c>
      <c r="AA96">
        <v>0</v>
      </c>
      <c r="AB96">
        <v>342.82</v>
      </c>
      <c r="AC96">
        <v>0</v>
      </c>
      <c r="AD96">
        <v>1</v>
      </c>
      <c r="AE96">
        <v>1</v>
      </c>
      <c r="AF96" t="s">
        <v>118</v>
      </c>
      <c r="AG96">
        <v>25.932499999999997</v>
      </c>
      <c r="AH96">
        <v>2</v>
      </c>
      <c r="AI96">
        <v>35823001</v>
      </c>
      <c r="AJ96">
        <v>93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ROW(Source!A189)</f>
        <v>189</v>
      </c>
      <c r="B97">
        <v>35823073</v>
      </c>
      <c r="C97">
        <v>35823072</v>
      </c>
      <c r="D97">
        <v>18407546</v>
      </c>
      <c r="E97">
        <v>1</v>
      </c>
      <c r="F97">
        <v>1</v>
      </c>
      <c r="G97">
        <v>1</v>
      </c>
      <c r="H97">
        <v>1</v>
      </c>
      <c r="I97" t="s">
        <v>431</v>
      </c>
      <c r="J97" t="s">
        <v>3</v>
      </c>
      <c r="K97" t="s">
        <v>432</v>
      </c>
      <c r="L97">
        <v>1369</v>
      </c>
      <c r="N97">
        <v>1013</v>
      </c>
      <c r="O97" t="s">
        <v>295</v>
      </c>
      <c r="P97" t="s">
        <v>295</v>
      </c>
      <c r="Q97">
        <v>1</v>
      </c>
      <c r="X97">
        <v>102.46</v>
      </c>
      <c r="Y97">
        <v>0</v>
      </c>
      <c r="Z97">
        <v>0</v>
      </c>
      <c r="AA97">
        <v>0</v>
      </c>
      <c r="AB97">
        <v>306.91000000000003</v>
      </c>
      <c r="AC97">
        <v>0</v>
      </c>
      <c r="AD97">
        <v>1</v>
      </c>
      <c r="AE97">
        <v>1</v>
      </c>
      <c r="AF97" t="s">
        <v>118</v>
      </c>
      <c r="AG97">
        <v>117.82899999999998</v>
      </c>
      <c r="AH97">
        <v>2</v>
      </c>
      <c r="AI97">
        <v>35823073</v>
      </c>
      <c r="AJ97">
        <v>94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ROW(Source!A189)</f>
        <v>189</v>
      </c>
      <c r="B98">
        <v>35823074</v>
      </c>
      <c r="C98">
        <v>35823072</v>
      </c>
      <c r="D98">
        <v>121548</v>
      </c>
      <c r="E98">
        <v>1</v>
      </c>
      <c r="F98">
        <v>1</v>
      </c>
      <c r="G98">
        <v>1</v>
      </c>
      <c r="H98">
        <v>1</v>
      </c>
      <c r="I98" t="s">
        <v>296</v>
      </c>
      <c r="J98" t="s">
        <v>3</v>
      </c>
      <c r="K98" t="s">
        <v>297</v>
      </c>
      <c r="L98">
        <v>608254</v>
      </c>
      <c r="N98">
        <v>1013</v>
      </c>
      <c r="O98" t="s">
        <v>298</v>
      </c>
      <c r="P98" t="s">
        <v>298</v>
      </c>
      <c r="Q98">
        <v>1</v>
      </c>
      <c r="X98">
        <v>0.76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117</v>
      </c>
      <c r="AG98">
        <v>0.95</v>
      </c>
      <c r="AH98">
        <v>2</v>
      </c>
      <c r="AI98">
        <v>35823074</v>
      </c>
      <c r="AJ98">
        <v>95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ROW(Source!A189)</f>
        <v>189</v>
      </c>
      <c r="B99">
        <v>35823075</v>
      </c>
      <c r="C99">
        <v>35823072</v>
      </c>
      <c r="D99">
        <v>29172556</v>
      </c>
      <c r="E99">
        <v>1</v>
      </c>
      <c r="F99">
        <v>1</v>
      </c>
      <c r="G99">
        <v>1</v>
      </c>
      <c r="H99">
        <v>2</v>
      </c>
      <c r="I99" t="s">
        <v>299</v>
      </c>
      <c r="J99" t="s">
        <v>300</v>
      </c>
      <c r="K99" t="s">
        <v>301</v>
      </c>
      <c r="L99">
        <v>1368</v>
      </c>
      <c r="N99">
        <v>1011</v>
      </c>
      <c r="O99" t="s">
        <v>302</v>
      </c>
      <c r="P99" t="s">
        <v>302</v>
      </c>
      <c r="Q99">
        <v>1</v>
      </c>
      <c r="X99">
        <v>0.76</v>
      </c>
      <c r="Y99">
        <v>0</v>
      </c>
      <c r="Z99">
        <v>31.26</v>
      </c>
      <c r="AA99">
        <v>13.5</v>
      </c>
      <c r="AB99">
        <v>0</v>
      </c>
      <c r="AC99">
        <v>0</v>
      </c>
      <c r="AD99">
        <v>1</v>
      </c>
      <c r="AE99">
        <v>0</v>
      </c>
      <c r="AF99" t="s">
        <v>117</v>
      </c>
      <c r="AG99">
        <v>0.95</v>
      </c>
      <c r="AH99">
        <v>2</v>
      </c>
      <c r="AI99">
        <v>35823075</v>
      </c>
      <c r="AJ99">
        <v>96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ROW(Source!A189)</f>
        <v>189</v>
      </c>
      <c r="B100">
        <v>35823076</v>
      </c>
      <c r="C100">
        <v>35823072</v>
      </c>
      <c r="D100">
        <v>29174500</v>
      </c>
      <c r="E100">
        <v>1</v>
      </c>
      <c r="F100">
        <v>1</v>
      </c>
      <c r="G100">
        <v>1</v>
      </c>
      <c r="H100">
        <v>2</v>
      </c>
      <c r="I100" t="s">
        <v>388</v>
      </c>
      <c r="J100" t="s">
        <v>389</v>
      </c>
      <c r="K100" t="s">
        <v>390</v>
      </c>
      <c r="L100">
        <v>1368</v>
      </c>
      <c r="N100">
        <v>1011</v>
      </c>
      <c r="O100" t="s">
        <v>302</v>
      </c>
      <c r="P100" t="s">
        <v>302</v>
      </c>
      <c r="Q100">
        <v>1</v>
      </c>
      <c r="X100">
        <v>5.35</v>
      </c>
      <c r="Y100">
        <v>0</v>
      </c>
      <c r="Z100">
        <v>1.95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117</v>
      </c>
      <c r="AG100">
        <v>6.6875</v>
      </c>
      <c r="AH100">
        <v>2</v>
      </c>
      <c r="AI100">
        <v>35823076</v>
      </c>
      <c r="AJ100">
        <v>97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ROW(Source!A189)</f>
        <v>189</v>
      </c>
      <c r="B101">
        <v>35823077</v>
      </c>
      <c r="C101">
        <v>35823072</v>
      </c>
      <c r="D101">
        <v>29174913</v>
      </c>
      <c r="E101">
        <v>1</v>
      </c>
      <c r="F101">
        <v>1</v>
      </c>
      <c r="G101">
        <v>1</v>
      </c>
      <c r="H101">
        <v>2</v>
      </c>
      <c r="I101" t="s">
        <v>342</v>
      </c>
      <c r="J101" t="s">
        <v>343</v>
      </c>
      <c r="K101" t="s">
        <v>344</v>
      </c>
      <c r="L101">
        <v>1368</v>
      </c>
      <c r="N101">
        <v>1011</v>
      </c>
      <c r="O101" t="s">
        <v>302</v>
      </c>
      <c r="P101" t="s">
        <v>302</v>
      </c>
      <c r="Q101">
        <v>1</v>
      </c>
      <c r="X101">
        <v>4.58</v>
      </c>
      <c r="Y101">
        <v>0</v>
      </c>
      <c r="Z101">
        <v>87.17</v>
      </c>
      <c r="AA101">
        <v>11.6</v>
      </c>
      <c r="AB101">
        <v>0</v>
      </c>
      <c r="AC101">
        <v>0</v>
      </c>
      <c r="AD101">
        <v>1</v>
      </c>
      <c r="AE101">
        <v>0</v>
      </c>
      <c r="AF101" t="s">
        <v>117</v>
      </c>
      <c r="AG101">
        <v>5.7249999999999996</v>
      </c>
      <c r="AH101">
        <v>2</v>
      </c>
      <c r="AI101">
        <v>35823077</v>
      </c>
      <c r="AJ101">
        <v>98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ROW(Source!A189)</f>
        <v>189</v>
      </c>
      <c r="B102">
        <v>35823078</v>
      </c>
      <c r="C102">
        <v>35823072</v>
      </c>
      <c r="D102">
        <v>29109671</v>
      </c>
      <c r="E102">
        <v>1</v>
      </c>
      <c r="F102">
        <v>1</v>
      </c>
      <c r="G102">
        <v>1</v>
      </c>
      <c r="H102">
        <v>3</v>
      </c>
      <c r="I102" t="s">
        <v>453</v>
      </c>
      <c r="J102" t="s">
        <v>454</v>
      </c>
      <c r="K102" t="s">
        <v>455</v>
      </c>
      <c r="L102">
        <v>1327</v>
      </c>
      <c r="N102">
        <v>1005</v>
      </c>
      <c r="O102" t="s">
        <v>354</v>
      </c>
      <c r="P102" t="s">
        <v>354</v>
      </c>
      <c r="Q102">
        <v>1</v>
      </c>
      <c r="X102">
        <v>103</v>
      </c>
      <c r="Y102">
        <v>51.95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103</v>
      </c>
      <c r="AH102">
        <v>2</v>
      </c>
      <c r="AI102">
        <v>35823078</v>
      </c>
      <c r="AJ102">
        <v>99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12 гр. ТЕР МО'!Заголовки_для_печати</vt:lpstr>
      <vt:lpstr>'Дефектная ведомость'!Область_печати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2021-07-12T08:39:06Z</dcterms:created>
  <dcterms:modified xsi:type="dcterms:W3CDTF">2021-07-12T11:22:59Z</dcterms:modified>
</cp:coreProperties>
</file>