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 activeTab="1"/>
  </bookViews>
  <sheets>
    <sheet name="Смета 12 гр. ТЕР МО" sheetId="5" r:id="rId1"/>
    <sheet name="Дефектная ведомость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'Дефектная ведомость'!$9:$9</definedName>
    <definedName name="_xlnm.Print_Titles" localSheetId="0">'Смета 12 гр. ТЕР МО'!$40:$40</definedName>
    <definedName name="_xlnm.Print_Area" localSheetId="1">'Дефектная ведомость'!$A$1:$E$60</definedName>
    <definedName name="_xlnm.Print_Area" localSheetId="0">'Смета 12 гр. ТЕР МО'!$A$1:$L$329</definedName>
  </definedNames>
  <calcPr calcId="125725"/>
</workbook>
</file>

<file path=xl/calcChain.xml><?xml version="1.0" encoding="utf-8"?>
<calcChain xmlns="http://schemas.openxmlformats.org/spreadsheetml/2006/main">
  <c r="D55" i="6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A11"/>
  <c r="A10"/>
  <c r="A3"/>
  <c r="A2"/>
  <c r="AF315" i="5"/>
  <c r="I327"/>
  <c r="I324"/>
  <c r="I321"/>
  <c r="D327"/>
  <c r="D324"/>
  <c r="D321"/>
  <c r="C318"/>
  <c r="C317"/>
  <c r="A315"/>
  <c r="A311"/>
  <c r="A307"/>
  <c r="L305"/>
  <c r="Q305" s="1"/>
  <c r="Y305"/>
  <c r="X305"/>
  <c r="W305"/>
  <c r="K304"/>
  <c r="J305" s="1"/>
  <c r="P305" s="1"/>
  <c r="J304"/>
  <c r="H304"/>
  <c r="Z305" s="1"/>
  <c r="G304"/>
  <c r="F304"/>
  <c r="V304"/>
  <c r="T304"/>
  <c r="U304"/>
  <c r="S304"/>
  <c r="E304"/>
  <c r="D304"/>
  <c r="I304"/>
  <c r="C304"/>
  <c r="A304"/>
  <c r="L303"/>
  <c r="Q303" s="1"/>
  <c r="Z303"/>
  <c r="Y303"/>
  <c r="X303"/>
  <c r="L302"/>
  <c r="G302"/>
  <c r="E302"/>
  <c r="J301"/>
  <c r="F301"/>
  <c r="E301"/>
  <c r="J300"/>
  <c r="F300"/>
  <c r="E300"/>
  <c r="K299"/>
  <c r="J299"/>
  <c r="H299"/>
  <c r="G299"/>
  <c r="F299"/>
  <c r="K298"/>
  <c r="J298"/>
  <c r="H298"/>
  <c r="R298" s="1"/>
  <c r="G298"/>
  <c r="F298"/>
  <c r="K297"/>
  <c r="J297"/>
  <c r="H297"/>
  <c r="G297"/>
  <c r="F297"/>
  <c r="K296"/>
  <c r="J296"/>
  <c r="H296"/>
  <c r="R296" s="1"/>
  <c r="G296"/>
  <c r="F296"/>
  <c r="C295"/>
  <c r="V294"/>
  <c r="K301" s="1"/>
  <c r="T294"/>
  <c r="K300" s="1"/>
  <c r="U294"/>
  <c r="H301" s="1"/>
  <c r="S294"/>
  <c r="H300" s="1"/>
  <c r="F294"/>
  <c r="E294"/>
  <c r="D294"/>
  <c r="I294"/>
  <c r="C294"/>
  <c r="A294"/>
  <c r="L293"/>
  <c r="Q293" s="1"/>
  <c r="Z293"/>
  <c r="Y293"/>
  <c r="X293"/>
  <c r="L292"/>
  <c r="G292"/>
  <c r="E292"/>
  <c r="J291"/>
  <c r="F291"/>
  <c r="E291"/>
  <c r="J290"/>
  <c r="F290"/>
  <c r="E290"/>
  <c r="K289"/>
  <c r="J289"/>
  <c r="H289"/>
  <c r="G289"/>
  <c r="F289"/>
  <c r="K288"/>
  <c r="J288"/>
  <c r="R288"/>
  <c r="H288"/>
  <c r="G288"/>
  <c r="F288"/>
  <c r="K287"/>
  <c r="J287"/>
  <c r="H287"/>
  <c r="G287"/>
  <c r="F287"/>
  <c r="K286"/>
  <c r="J286"/>
  <c r="H286"/>
  <c r="R286" s="1"/>
  <c r="G286"/>
  <c r="F286"/>
  <c r="C285"/>
  <c r="V284"/>
  <c r="K291" s="1"/>
  <c r="T284"/>
  <c r="K290" s="1"/>
  <c r="U284"/>
  <c r="H291" s="1"/>
  <c r="S284"/>
  <c r="H290" s="1"/>
  <c r="F284"/>
  <c r="E284"/>
  <c r="D284"/>
  <c r="I284"/>
  <c r="C284"/>
  <c r="A284"/>
  <c r="Q283"/>
  <c r="L283"/>
  <c r="Z283"/>
  <c r="Y283"/>
  <c r="X283"/>
  <c r="K281"/>
  <c r="L282"/>
  <c r="G282"/>
  <c r="E282"/>
  <c r="J281"/>
  <c r="E281"/>
  <c r="J280"/>
  <c r="E280"/>
  <c r="K279"/>
  <c r="J279"/>
  <c r="H279"/>
  <c r="G279"/>
  <c r="F279"/>
  <c r="K278"/>
  <c r="J278"/>
  <c r="H278"/>
  <c r="R278" s="1"/>
  <c r="G278"/>
  <c r="F278"/>
  <c r="K277"/>
  <c r="J277"/>
  <c r="H277"/>
  <c r="G277"/>
  <c r="F277"/>
  <c r="K276"/>
  <c r="J283" s="1"/>
  <c r="P283" s="1"/>
  <c r="J276"/>
  <c r="H276"/>
  <c r="R276" s="1"/>
  <c r="G276"/>
  <c r="F276"/>
  <c r="C275"/>
  <c r="V274"/>
  <c r="T274"/>
  <c r="K280" s="1"/>
  <c r="U274"/>
  <c r="H281" s="1"/>
  <c r="S274"/>
  <c r="H280" s="1"/>
  <c r="F274"/>
  <c r="E274"/>
  <c r="D274"/>
  <c r="I274"/>
  <c r="C274"/>
  <c r="B274"/>
  <c r="A274"/>
  <c r="L273"/>
  <c r="Q273" s="1"/>
  <c r="Z273"/>
  <c r="Y273"/>
  <c r="X273"/>
  <c r="K272"/>
  <c r="J273" s="1"/>
  <c r="P273" s="1"/>
  <c r="J272"/>
  <c r="H272"/>
  <c r="G273" s="1"/>
  <c r="O273" s="1"/>
  <c r="G272"/>
  <c r="F272"/>
  <c r="V272"/>
  <c r="T272"/>
  <c r="U272"/>
  <c r="S272"/>
  <c r="E272"/>
  <c r="D272"/>
  <c r="I272"/>
  <c r="C272"/>
  <c r="B272"/>
  <c r="A272"/>
  <c r="L271"/>
  <c r="Q271" s="1"/>
  <c r="Z271"/>
  <c r="Y271"/>
  <c r="X271"/>
  <c r="L270"/>
  <c r="G270"/>
  <c r="E270"/>
  <c r="J269"/>
  <c r="F269"/>
  <c r="E269"/>
  <c r="J268"/>
  <c r="F268"/>
  <c r="E268"/>
  <c r="K267"/>
  <c r="J267"/>
  <c r="H267"/>
  <c r="G267"/>
  <c r="F267"/>
  <c r="K266"/>
  <c r="J266"/>
  <c r="R266"/>
  <c r="H266"/>
  <c r="G266"/>
  <c r="F266"/>
  <c r="K265"/>
  <c r="J265"/>
  <c r="H265"/>
  <c r="G265"/>
  <c r="F265"/>
  <c r="K264"/>
  <c r="J264"/>
  <c r="H264"/>
  <c r="R264" s="1"/>
  <c r="G264"/>
  <c r="F264"/>
  <c r="C263"/>
  <c r="V262"/>
  <c r="K269" s="1"/>
  <c r="T262"/>
  <c r="K268" s="1"/>
  <c r="U262"/>
  <c r="H269" s="1"/>
  <c r="S262"/>
  <c r="H268" s="1"/>
  <c r="F262"/>
  <c r="E262"/>
  <c r="D262"/>
  <c r="I262"/>
  <c r="C262"/>
  <c r="A262"/>
  <c r="L261"/>
  <c r="Q261" s="1"/>
  <c r="Z261"/>
  <c r="Y261"/>
  <c r="X261"/>
  <c r="K260"/>
  <c r="J260"/>
  <c r="Z260"/>
  <c r="Y260"/>
  <c r="X260"/>
  <c r="H260"/>
  <c r="W260" s="1"/>
  <c r="F260"/>
  <c r="V260"/>
  <c r="T260"/>
  <c r="U260"/>
  <c r="S260"/>
  <c r="H257" s="1"/>
  <c r="E260"/>
  <c r="D260"/>
  <c r="C260"/>
  <c r="B260"/>
  <c r="A260"/>
  <c r="L259"/>
  <c r="G259"/>
  <c r="E259"/>
  <c r="J258"/>
  <c r="E258"/>
  <c r="J257"/>
  <c r="E257"/>
  <c r="K256"/>
  <c r="J256"/>
  <c r="H256"/>
  <c r="G256"/>
  <c r="F256"/>
  <c r="K255"/>
  <c r="J255"/>
  <c r="H255"/>
  <c r="G255"/>
  <c r="F255"/>
  <c r="K254"/>
  <c r="J254"/>
  <c r="H254"/>
  <c r="R254" s="1"/>
  <c r="G254"/>
  <c r="F254"/>
  <c r="C253"/>
  <c r="V252"/>
  <c r="T252"/>
  <c r="K257" s="1"/>
  <c r="U252"/>
  <c r="H258" s="1"/>
  <c r="S252"/>
  <c r="F252"/>
  <c r="E252"/>
  <c r="D252"/>
  <c r="I252"/>
  <c r="C252"/>
  <c r="B252"/>
  <c r="A252"/>
  <c r="L251"/>
  <c r="Q251" s="1"/>
  <c r="Z251"/>
  <c r="Y251"/>
  <c r="X251"/>
  <c r="K250"/>
  <c r="J250"/>
  <c r="Z250"/>
  <c r="Y250"/>
  <c r="X250"/>
  <c r="H250"/>
  <c r="W250" s="1"/>
  <c r="F250"/>
  <c r="V250"/>
  <c r="T250"/>
  <c r="U250"/>
  <c r="S250"/>
  <c r="E250"/>
  <c r="D250"/>
  <c r="C250"/>
  <c r="B250"/>
  <c r="A250"/>
  <c r="L249"/>
  <c r="G249"/>
  <c r="E249"/>
  <c r="J248"/>
  <c r="F248"/>
  <c r="E248"/>
  <c r="J247"/>
  <c r="F247"/>
  <c r="E247"/>
  <c r="K246"/>
  <c r="J246"/>
  <c r="H246"/>
  <c r="G246"/>
  <c r="F246"/>
  <c r="K245"/>
  <c r="J245"/>
  <c r="H245"/>
  <c r="R245" s="1"/>
  <c r="G245"/>
  <c r="F245"/>
  <c r="K244"/>
  <c r="J244"/>
  <c r="H244"/>
  <c r="G244"/>
  <c r="F244"/>
  <c r="K243"/>
  <c r="J243"/>
  <c r="H243"/>
  <c r="R243" s="1"/>
  <c r="G243"/>
  <c r="F243"/>
  <c r="C242"/>
  <c r="V241"/>
  <c r="K248" s="1"/>
  <c r="T241"/>
  <c r="K247" s="1"/>
  <c r="U241"/>
  <c r="H248" s="1"/>
  <c r="S241"/>
  <c r="H247" s="1"/>
  <c r="F241"/>
  <c r="E241"/>
  <c r="D241"/>
  <c r="I241"/>
  <c r="C241"/>
  <c r="A241"/>
  <c r="L240"/>
  <c r="Q240" s="1"/>
  <c r="Z240"/>
  <c r="Y240"/>
  <c r="X240"/>
  <c r="K239"/>
  <c r="J239"/>
  <c r="Z239"/>
  <c r="Y239"/>
  <c r="X239"/>
  <c r="W239"/>
  <c r="H239"/>
  <c r="F239"/>
  <c r="V239"/>
  <c r="K237" s="1"/>
  <c r="T239"/>
  <c r="U239"/>
  <c r="S239"/>
  <c r="E239"/>
  <c r="D239"/>
  <c r="C239"/>
  <c r="B239"/>
  <c r="A239"/>
  <c r="L238"/>
  <c r="G238"/>
  <c r="E238"/>
  <c r="J237"/>
  <c r="F237"/>
  <c r="E237"/>
  <c r="J236"/>
  <c r="F236"/>
  <c r="E236"/>
  <c r="K235"/>
  <c r="J235"/>
  <c r="H235"/>
  <c r="G235"/>
  <c r="F235"/>
  <c r="K234"/>
  <c r="J234"/>
  <c r="H234"/>
  <c r="G234"/>
  <c r="F234"/>
  <c r="K233"/>
  <c r="J233"/>
  <c r="H233"/>
  <c r="G233"/>
  <c r="F233"/>
  <c r="V232"/>
  <c r="T232"/>
  <c r="K236" s="1"/>
  <c r="U232"/>
  <c r="H237" s="1"/>
  <c r="S232"/>
  <c r="H236" s="1"/>
  <c r="F232"/>
  <c r="E232"/>
  <c r="D232"/>
  <c r="I232"/>
  <c r="C232"/>
  <c r="A232"/>
  <c r="L231"/>
  <c r="Q231" s="1"/>
  <c r="Z231"/>
  <c r="Y231"/>
  <c r="X231"/>
  <c r="K230"/>
  <c r="J230"/>
  <c r="Z230"/>
  <c r="Y230"/>
  <c r="X230"/>
  <c r="H230"/>
  <c r="W230" s="1"/>
  <c r="F230"/>
  <c r="V230"/>
  <c r="T230"/>
  <c r="U230"/>
  <c r="S230"/>
  <c r="E230"/>
  <c r="D230"/>
  <c r="C230"/>
  <c r="B230"/>
  <c r="A230"/>
  <c r="L229"/>
  <c r="G229"/>
  <c r="E229"/>
  <c r="J228"/>
  <c r="E228"/>
  <c r="J227"/>
  <c r="E227"/>
  <c r="K226"/>
  <c r="J226"/>
  <c r="H226"/>
  <c r="R226" s="1"/>
  <c r="G226"/>
  <c r="F226"/>
  <c r="C225"/>
  <c r="V224"/>
  <c r="T224"/>
  <c r="K227" s="1"/>
  <c r="U224"/>
  <c r="S224"/>
  <c r="H227" s="1"/>
  <c r="F224"/>
  <c r="E224"/>
  <c r="D224"/>
  <c r="I224"/>
  <c r="C224"/>
  <c r="B224"/>
  <c r="A224"/>
  <c r="L223"/>
  <c r="Q223" s="1"/>
  <c r="Z223"/>
  <c r="Y223"/>
  <c r="X223"/>
  <c r="L222"/>
  <c r="G222"/>
  <c r="E222"/>
  <c r="J221"/>
  <c r="F221"/>
  <c r="E221"/>
  <c r="J220"/>
  <c r="F220"/>
  <c r="E220"/>
  <c r="K219"/>
  <c r="J219"/>
  <c r="H219"/>
  <c r="G219"/>
  <c r="F219"/>
  <c r="K218"/>
  <c r="J218"/>
  <c r="H218"/>
  <c r="R218" s="1"/>
  <c r="G218"/>
  <c r="F218"/>
  <c r="K217"/>
  <c r="J217"/>
  <c r="H217"/>
  <c r="G217"/>
  <c r="F217"/>
  <c r="K216"/>
  <c r="J216"/>
  <c r="H216"/>
  <c r="R216" s="1"/>
  <c r="G216"/>
  <c r="F216"/>
  <c r="C215"/>
  <c r="V214"/>
  <c r="K221" s="1"/>
  <c r="T214"/>
  <c r="K220" s="1"/>
  <c r="U214"/>
  <c r="H221" s="1"/>
  <c r="S214"/>
  <c r="H220" s="1"/>
  <c r="F214"/>
  <c r="E214"/>
  <c r="D214"/>
  <c r="I214"/>
  <c r="C214"/>
  <c r="A214"/>
  <c r="L213"/>
  <c r="Q213" s="1"/>
  <c r="Z213"/>
  <c r="Y213"/>
  <c r="X213"/>
  <c r="L212"/>
  <c r="G212"/>
  <c r="E212"/>
  <c r="J211"/>
  <c r="F211"/>
  <c r="E211"/>
  <c r="J210"/>
  <c r="F210"/>
  <c r="E210"/>
  <c r="K209"/>
  <c r="J209"/>
  <c r="H209"/>
  <c r="G209"/>
  <c r="F209"/>
  <c r="K208"/>
  <c r="J208"/>
  <c r="H208"/>
  <c r="R208" s="1"/>
  <c r="G208"/>
  <c r="F208"/>
  <c r="K207"/>
  <c r="J207"/>
  <c r="H207"/>
  <c r="G207"/>
  <c r="F207"/>
  <c r="K206"/>
  <c r="J206"/>
  <c r="H206"/>
  <c r="R206" s="1"/>
  <c r="G206"/>
  <c r="F206"/>
  <c r="C205"/>
  <c r="V204"/>
  <c r="K211" s="1"/>
  <c r="T204"/>
  <c r="K210" s="1"/>
  <c r="U204"/>
  <c r="H211" s="1"/>
  <c r="S204"/>
  <c r="H210" s="1"/>
  <c r="F204"/>
  <c r="E204"/>
  <c r="D204"/>
  <c r="I204"/>
  <c r="C204"/>
  <c r="A204"/>
  <c r="L203"/>
  <c r="Q203" s="1"/>
  <c r="Z203"/>
  <c r="Y203"/>
  <c r="X203"/>
  <c r="K202"/>
  <c r="J202"/>
  <c r="Z202"/>
  <c r="Y202"/>
  <c r="X202"/>
  <c r="H202"/>
  <c r="W202" s="1"/>
  <c r="F202"/>
  <c r="V202"/>
  <c r="T202"/>
  <c r="U202"/>
  <c r="S202"/>
  <c r="E202"/>
  <c r="D202"/>
  <c r="C202"/>
  <c r="B202"/>
  <c r="A202"/>
  <c r="L201"/>
  <c r="G201"/>
  <c r="E201"/>
  <c r="J200"/>
  <c r="E200"/>
  <c r="J199"/>
  <c r="E199"/>
  <c r="K198"/>
  <c r="J198"/>
  <c r="H198"/>
  <c r="R198" s="1"/>
  <c r="G198"/>
  <c r="F198"/>
  <c r="K197"/>
  <c r="J197"/>
  <c r="H197"/>
  <c r="G197"/>
  <c r="F197"/>
  <c r="K196"/>
  <c r="J196"/>
  <c r="H196"/>
  <c r="G196"/>
  <c r="F196"/>
  <c r="C195"/>
  <c r="V194"/>
  <c r="K200" s="1"/>
  <c r="T194"/>
  <c r="K199" s="1"/>
  <c r="U194"/>
  <c r="H200" s="1"/>
  <c r="S194"/>
  <c r="F194"/>
  <c r="E194"/>
  <c r="D194"/>
  <c r="I194"/>
  <c r="C194"/>
  <c r="B194"/>
  <c r="A194"/>
  <c r="A193"/>
  <c r="A189"/>
  <c r="L187"/>
  <c r="Q187" s="1"/>
  <c r="Z187"/>
  <c r="Y187"/>
  <c r="X187"/>
  <c r="K186"/>
  <c r="J186"/>
  <c r="Z186"/>
  <c r="Y186"/>
  <c r="X186"/>
  <c r="H186"/>
  <c r="W186" s="1"/>
  <c r="F186"/>
  <c r="V186"/>
  <c r="T186"/>
  <c r="U186"/>
  <c r="S186"/>
  <c r="E186"/>
  <c r="D186"/>
  <c r="C186"/>
  <c r="B186"/>
  <c r="A186"/>
  <c r="K185"/>
  <c r="J185"/>
  <c r="Z185"/>
  <c r="Y185"/>
  <c r="X185"/>
  <c r="H185"/>
  <c r="W185" s="1"/>
  <c r="F185"/>
  <c r="V185"/>
  <c r="T185"/>
  <c r="U185"/>
  <c r="S185"/>
  <c r="E185"/>
  <c r="D185"/>
  <c r="C185"/>
  <c r="B185"/>
  <c r="A185"/>
  <c r="L184"/>
  <c r="G184"/>
  <c r="E184"/>
  <c r="J183"/>
  <c r="F183"/>
  <c r="E183"/>
  <c r="J182"/>
  <c r="F182"/>
  <c r="E182"/>
  <c r="K181"/>
  <c r="J181"/>
  <c r="H181"/>
  <c r="G181"/>
  <c r="F181"/>
  <c r="K180"/>
  <c r="J180"/>
  <c r="H180"/>
  <c r="R180" s="1"/>
  <c r="G180"/>
  <c r="F180"/>
  <c r="K179"/>
  <c r="J179"/>
  <c r="H179"/>
  <c r="G179"/>
  <c r="F179"/>
  <c r="K178"/>
  <c r="J178"/>
  <c r="H178"/>
  <c r="G178"/>
  <c r="F178"/>
  <c r="C177"/>
  <c r="V176"/>
  <c r="K183" s="1"/>
  <c r="T176"/>
  <c r="K182" s="1"/>
  <c r="U176"/>
  <c r="S176"/>
  <c r="F176"/>
  <c r="E176"/>
  <c r="D176"/>
  <c r="I176"/>
  <c r="C176"/>
  <c r="A176"/>
  <c r="L175"/>
  <c r="Q175" s="1"/>
  <c r="Z175"/>
  <c r="Y175"/>
  <c r="X175"/>
  <c r="K174"/>
  <c r="J174"/>
  <c r="Z174"/>
  <c r="Y174"/>
  <c r="X174"/>
  <c r="W174"/>
  <c r="H174"/>
  <c r="F174"/>
  <c r="V174"/>
  <c r="T174"/>
  <c r="U174"/>
  <c r="S174"/>
  <c r="E174"/>
  <c r="D174"/>
  <c r="C174"/>
  <c r="B174"/>
  <c r="A174"/>
  <c r="L173"/>
  <c r="G173"/>
  <c r="E173"/>
  <c r="J172"/>
  <c r="F172"/>
  <c r="E172"/>
  <c r="J171"/>
  <c r="F171"/>
  <c r="E171"/>
  <c r="K170"/>
  <c r="J170"/>
  <c r="H170"/>
  <c r="G170"/>
  <c r="F170"/>
  <c r="K169"/>
  <c r="J169"/>
  <c r="H169"/>
  <c r="R169" s="1"/>
  <c r="G169"/>
  <c r="F169"/>
  <c r="K168"/>
  <c r="J168"/>
  <c r="H168"/>
  <c r="G168"/>
  <c r="F168"/>
  <c r="K167"/>
  <c r="J167"/>
  <c r="H167"/>
  <c r="R167" s="1"/>
  <c r="G167"/>
  <c r="F167"/>
  <c r="C166"/>
  <c r="V165"/>
  <c r="K172" s="1"/>
  <c r="T165"/>
  <c r="K171" s="1"/>
  <c r="U165"/>
  <c r="H172" s="1"/>
  <c r="S165"/>
  <c r="H171" s="1"/>
  <c r="F165"/>
  <c r="E165"/>
  <c r="D165"/>
  <c r="I165"/>
  <c r="C165"/>
  <c r="A165"/>
  <c r="Q164"/>
  <c r="L164"/>
  <c r="Z164"/>
  <c r="Y164"/>
  <c r="X164"/>
  <c r="L163"/>
  <c r="G163"/>
  <c r="E163"/>
  <c r="J162"/>
  <c r="F162"/>
  <c r="E162"/>
  <c r="J161"/>
  <c r="F161"/>
  <c r="E161"/>
  <c r="K160"/>
  <c r="J160"/>
  <c r="H160"/>
  <c r="R160" s="1"/>
  <c r="G160"/>
  <c r="F160"/>
  <c r="C159"/>
  <c r="V158"/>
  <c r="K162" s="1"/>
  <c r="T158"/>
  <c r="K161" s="1"/>
  <c r="U158"/>
  <c r="H162" s="1"/>
  <c r="S158"/>
  <c r="H161" s="1"/>
  <c r="F158"/>
  <c r="E158"/>
  <c r="D158"/>
  <c r="I158"/>
  <c r="C158"/>
  <c r="A158"/>
  <c r="L157"/>
  <c r="Q157" s="1"/>
  <c r="Z157"/>
  <c r="Y157"/>
  <c r="X157"/>
  <c r="L156"/>
  <c r="G156"/>
  <c r="E156"/>
  <c r="J155"/>
  <c r="F155"/>
  <c r="E155"/>
  <c r="J154"/>
  <c r="F154"/>
  <c r="E154"/>
  <c r="K153"/>
  <c r="J153"/>
  <c r="H153"/>
  <c r="G153"/>
  <c r="F153"/>
  <c r="K152"/>
  <c r="J152"/>
  <c r="H152"/>
  <c r="R152" s="1"/>
  <c r="G152"/>
  <c r="F152"/>
  <c r="K151"/>
  <c r="J151"/>
  <c r="H151"/>
  <c r="G151"/>
  <c r="F151"/>
  <c r="K150"/>
  <c r="J150"/>
  <c r="H150"/>
  <c r="R150" s="1"/>
  <c r="G150"/>
  <c r="F150"/>
  <c r="C149"/>
  <c r="V148"/>
  <c r="K155" s="1"/>
  <c r="T148"/>
  <c r="K154" s="1"/>
  <c r="U148"/>
  <c r="H155" s="1"/>
  <c r="S148"/>
  <c r="H154" s="1"/>
  <c r="F148"/>
  <c r="E148"/>
  <c r="D148"/>
  <c r="I148"/>
  <c r="C148"/>
  <c r="A148"/>
  <c r="Q147"/>
  <c r="L147"/>
  <c r="Z147"/>
  <c r="Y147"/>
  <c r="X147"/>
  <c r="L146"/>
  <c r="G146"/>
  <c r="E146"/>
  <c r="J145"/>
  <c r="F145"/>
  <c r="E145"/>
  <c r="J144"/>
  <c r="F144"/>
  <c r="E144"/>
  <c r="K143"/>
  <c r="J143"/>
  <c r="H143"/>
  <c r="G143"/>
  <c r="F143"/>
  <c r="K142"/>
  <c r="J142"/>
  <c r="R142"/>
  <c r="H142"/>
  <c r="G142"/>
  <c r="F142"/>
  <c r="K141"/>
  <c r="J141"/>
  <c r="H141"/>
  <c r="G141"/>
  <c r="F141"/>
  <c r="K140"/>
  <c r="J140"/>
  <c r="R140"/>
  <c r="H140"/>
  <c r="G140"/>
  <c r="F140"/>
  <c r="C139"/>
  <c r="V138"/>
  <c r="K145" s="1"/>
  <c r="T138"/>
  <c r="K144" s="1"/>
  <c r="U138"/>
  <c r="H145" s="1"/>
  <c r="S138"/>
  <c r="H144" s="1"/>
  <c r="F138"/>
  <c r="E138"/>
  <c r="D138"/>
  <c r="I138"/>
  <c r="C138"/>
  <c r="A138"/>
  <c r="L137"/>
  <c r="Q137" s="1"/>
  <c r="Z137"/>
  <c r="Y137"/>
  <c r="X137"/>
  <c r="L136"/>
  <c r="G136"/>
  <c r="E136"/>
  <c r="J135"/>
  <c r="F135"/>
  <c r="E135"/>
  <c r="J134"/>
  <c r="F134"/>
  <c r="E134"/>
  <c r="K133"/>
  <c r="J133"/>
  <c r="H133"/>
  <c r="G133"/>
  <c r="F133"/>
  <c r="K132"/>
  <c r="J132"/>
  <c r="R132"/>
  <c r="H132"/>
  <c r="G132"/>
  <c r="F132"/>
  <c r="K131"/>
  <c r="J131"/>
  <c r="H131"/>
  <c r="G131"/>
  <c r="F131"/>
  <c r="K130"/>
  <c r="J130"/>
  <c r="H130"/>
  <c r="R130" s="1"/>
  <c r="G130"/>
  <c r="F130"/>
  <c r="C129"/>
  <c r="V128"/>
  <c r="K135" s="1"/>
  <c r="T128"/>
  <c r="K134" s="1"/>
  <c r="U128"/>
  <c r="H135" s="1"/>
  <c r="S128"/>
  <c r="H134" s="1"/>
  <c r="F128"/>
  <c r="E128"/>
  <c r="D128"/>
  <c r="I128"/>
  <c r="C128"/>
  <c r="A128"/>
  <c r="L127"/>
  <c r="Q127" s="1"/>
  <c r="Z127"/>
  <c r="Y127"/>
  <c r="X127"/>
  <c r="L126"/>
  <c r="G126"/>
  <c r="E126"/>
  <c r="J125"/>
  <c r="F125"/>
  <c r="E125"/>
  <c r="J124"/>
  <c r="F124"/>
  <c r="E124"/>
  <c r="K123"/>
  <c r="J123"/>
  <c r="H123"/>
  <c r="G123"/>
  <c r="F123"/>
  <c r="K122"/>
  <c r="J122"/>
  <c r="H122"/>
  <c r="R122" s="1"/>
  <c r="G122"/>
  <c r="F122"/>
  <c r="K121"/>
  <c r="J121"/>
  <c r="H121"/>
  <c r="G121"/>
  <c r="F121"/>
  <c r="K120"/>
  <c r="J120"/>
  <c r="H120"/>
  <c r="R120" s="1"/>
  <c r="G120"/>
  <c r="F120"/>
  <c r="C119"/>
  <c r="V118"/>
  <c r="K125" s="1"/>
  <c r="T118"/>
  <c r="K124" s="1"/>
  <c r="U118"/>
  <c r="H125" s="1"/>
  <c r="S118"/>
  <c r="H124" s="1"/>
  <c r="F118"/>
  <c r="E118"/>
  <c r="D118"/>
  <c r="I118"/>
  <c r="C118"/>
  <c r="B118"/>
  <c r="A118"/>
  <c r="L117"/>
  <c r="Q117" s="1"/>
  <c r="Z117"/>
  <c r="Y117"/>
  <c r="X117"/>
  <c r="K116"/>
  <c r="J116"/>
  <c r="Z116"/>
  <c r="Y116"/>
  <c r="X116"/>
  <c r="H116"/>
  <c r="W116" s="1"/>
  <c r="F116"/>
  <c r="V116"/>
  <c r="T116"/>
  <c r="U116"/>
  <c r="S116"/>
  <c r="E116"/>
  <c r="D116"/>
  <c r="C116"/>
  <c r="B116"/>
  <c r="A116"/>
  <c r="L115"/>
  <c r="G115"/>
  <c r="E115"/>
  <c r="J114"/>
  <c r="F114"/>
  <c r="E114"/>
  <c r="J113"/>
  <c r="F113"/>
  <c r="E113"/>
  <c r="K112"/>
  <c r="J112"/>
  <c r="H112"/>
  <c r="G112"/>
  <c r="F112"/>
  <c r="K111"/>
  <c r="J111"/>
  <c r="H111"/>
  <c r="R111" s="1"/>
  <c r="G111"/>
  <c r="F111"/>
  <c r="K110"/>
  <c r="J110"/>
  <c r="H110"/>
  <c r="G110"/>
  <c r="F110"/>
  <c r="K109"/>
  <c r="J109"/>
  <c r="H109"/>
  <c r="R109" s="1"/>
  <c r="G109"/>
  <c r="F109"/>
  <c r="C108"/>
  <c r="V107"/>
  <c r="T107"/>
  <c r="K113" s="1"/>
  <c r="U107"/>
  <c r="H114" s="1"/>
  <c r="S107"/>
  <c r="F107"/>
  <c r="E107"/>
  <c r="D107"/>
  <c r="I107"/>
  <c r="C107"/>
  <c r="A107"/>
  <c r="L106"/>
  <c r="Q106" s="1"/>
  <c r="Z106"/>
  <c r="Y106"/>
  <c r="X106"/>
  <c r="K105"/>
  <c r="J105"/>
  <c r="Z105"/>
  <c r="Y105"/>
  <c r="X105"/>
  <c r="H105"/>
  <c r="W105" s="1"/>
  <c r="F105"/>
  <c r="V105"/>
  <c r="T105"/>
  <c r="U105"/>
  <c r="S105"/>
  <c r="E105"/>
  <c r="D105"/>
  <c r="C105"/>
  <c r="B105"/>
  <c r="A105"/>
  <c r="K104"/>
  <c r="J104"/>
  <c r="Z104"/>
  <c r="Y104"/>
  <c r="X104"/>
  <c r="W104"/>
  <c r="H104"/>
  <c r="F104"/>
  <c r="V104"/>
  <c r="T104"/>
  <c r="U104"/>
  <c r="S104"/>
  <c r="E104"/>
  <c r="D104"/>
  <c r="C104"/>
  <c r="B104"/>
  <c r="A104"/>
  <c r="L103"/>
  <c r="G103"/>
  <c r="E103"/>
  <c r="J102"/>
  <c r="F102"/>
  <c r="E102"/>
  <c r="J101"/>
  <c r="F101"/>
  <c r="E101"/>
  <c r="K100"/>
  <c r="J100"/>
  <c r="H100"/>
  <c r="G100"/>
  <c r="F100"/>
  <c r="K99"/>
  <c r="J99"/>
  <c r="H99"/>
  <c r="G99"/>
  <c r="F99"/>
  <c r="K98"/>
  <c r="J98"/>
  <c r="H98"/>
  <c r="R98" s="1"/>
  <c r="G98"/>
  <c r="F98"/>
  <c r="V97"/>
  <c r="K102" s="1"/>
  <c r="T97"/>
  <c r="U97"/>
  <c r="H102" s="1"/>
  <c r="S97"/>
  <c r="H101" s="1"/>
  <c r="F97"/>
  <c r="E97"/>
  <c r="D97"/>
  <c r="I97"/>
  <c r="C97"/>
  <c r="A97"/>
  <c r="L96"/>
  <c r="Q96" s="1"/>
  <c r="Z96"/>
  <c r="Y96"/>
  <c r="X96"/>
  <c r="K95"/>
  <c r="J95"/>
  <c r="Z95"/>
  <c r="Y95"/>
  <c r="X95"/>
  <c r="H95"/>
  <c r="W95" s="1"/>
  <c r="F95"/>
  <c r="V95"/>
  <c r="T95"/>
  <c r="U95"/>
  <c r="S95"/>
  <c r="E95"/>
  <c r="D95"/>
  <c r="C95"/>
  <c r="B95"/>
  <c r="A95"/>
  <c r="L94"/>
  <c r="G94"/>
  <c r="E94"/>
  <c r="J93"/>
  <c r="F93"/>
  <c r="E93"/>
  <c r="J92"/>
  <c r="F92"/>
  <c r="E92"/>
  <c r="K91"/>
  <c r="J91"/>
  <c r="H91"/>
  <c r="R91" s="1"/>
  <c r="G91"/>
  <c r="F91"/>
  <c r="K90"/>
  <c r="J90"/>
  <c r="H90"/>
  <c r="G90"/>
  <c r="F90"/>
  <c r="K89"/>
  <c r="J89"/>
  <c r="H89"/>
  <c r="R89" s="1"/>
  <c r="G89"/>
  <c r="F89"/>
  <c r="C88"/>
  <c r="V87"/>
  <c r="K93" s="1"/>
  <c r="T87"/>
  <c r="K92" s="1"/>
  <c r="U87"/>
  <c r="H93" s="1"/>
  <c r="S87"/>
  <c r="H92" s="1"/>
  <c r="F87"/>
  <c r="E87"/>
  <c r="D87"/>
  <c r="I87"/>
  <c r="C87"/>
  <c r="B87"/>
  <c r="A87"/>
  <c r="L86"/>
  <c r="Q86" s="1"/>
  <c r="Z86"/>
  <c r="Y86"/>
  <c r="X86"/>
  <c r="L85"/>
  <c r="G85"/>
  <c r="E85"/>
  <c r="J84"/>
  <c r="F84"/>
  <c r="E84"/>
  <c r="J83"/>
  <c r="F83"/>
  <c r="E83"/>
  <c r="K82"/>
  <c r="J82"/>
  <c r="H82"/>
  <c r="G82"/>
  <c r="F82"/>
  <c r="K81"/>
  <c r="J81"/>
  <c r="H81"/>
  <c r="G81"/>
  <c r="F81"/>
  <c r="K80"/>
  <c r="J80"/>
  <c r="H80"/>
  <c r="R80" s="1"/>
  <c r="G80"/>
  <c r="F80"/>
  <c r="V79"/>
  <c r="K84" s="1"/>
  <c r="T79"/>
  <c r="K83" s="1"/>
  <c r="U79"/>
  <c r="H84" s="1"/>
  <c r="S79"/>
  <c r="H83" s="1"/>
  <c r="F79"/>
  <c r="E79"/>
  <c r="D79"/>
  <c r="I79"/>
  <c r="C79"/>
  <c r="A79"/>
  <c r="A78"/>
  <c r="A74"/>
  <c r="L72"/>
  <c r="Q72" s="1"/>
  <c r="Z72"/>
  <c r="Y72"/>
  <c r="X72"/>
  <c r="K71"/>
  <c r="J71"/>
  <c r="Z71"/>
  <c r="Y71"/>
  <c r="X71"/>
  <c r="W71"/>
  <c r="H71"/>
  <c r="F71"/>
  <c r="V71"/>
  <c r="T71"/>
  <c r="U71"/>
  <c r="S71"/>
  <c r="E71"/>
  <c r="D71"/>
  <c r="C71"/>
  <c r="B71"/>
  <c r="A71"/>
  <c r="L70"/>
  <c r="G70"/>
  <c r="E70"/>
  <c r="J69"/>
  <c r="E69"/>
  <c r="J68"/>
  <c r="E68"/>
  <c r="K67"/>
  <c r="J67"/>
  <c r="H67"/>
  <c r="R67" s="1"/>
  <c r="G67"/>
  <c r="F67"/>
  <c r="K66"/>
  <c r="J66"/>
  <c r="H66"/>
  <c r="G66"/>
  <c r="F66"/>
  <c r="K65"/>
  <c r="J65"/>
  <c r="H65"/>
  <c r="R65" s="1"/>
  <c r="G65"/>
  <c r="F65"/>
  <c r="C64"/>
  <c r="V63"/>
  <c r="T63"/>
  <c r="K68" s="1"/>
  <c r="U63"/>
  <c r="H69" s="1"/>
  <c r="S63"/>
  <c r="F63"/>
  <c r="E63"/>
  <c r="D63"/>
  <c r="I63"/>
  <c r="C63"/>
  <c r="B63"/>
  <c r="A63"/>
  <c r="L62"/>
  <c r="Q62" s="1"/>
  <c r="Z62"/>
  <c r="Y62"/>
  <c r="X62"/>
  <c r="K61"/>
  <c r="J61"/>
  <c r="Z61"/>
  <c r="Y61"/>
  <c r="X61"/>
  <c r="H61"/>
  <c r="W61" s="1"/>
  <c r="F61"/>
  <c r="V61"/>
  <c r="T61"/>
  <c r="U61"/>
  <c r="S61"/>
  <c r="E61"/>
  <c r="D61"/>
  <c r="C61"/>
  <c r="B61"/>
  <c r="A61"/>
  <c r="L60"/>
  <c r="G60"/>
  <c r="E60"/>
  <c r="J59"/>
  <c r="E59"/>
  <c r="J58"/>
  <c r="E58"/>
  <c r="K57"/>
  <c r="J57"/>
  <c r="H57"/>
  <c r="R57" s="1"/>
  <c r="G57"/>
  <c r="F57"/>
  <c r="K56"/>
  <c r="J56"/>
  <c r="H56"/>
  <c r="G56"/>
  <c r="F56"/>
  <c r="K55"/>
  <c r="J55"/>
  <c r="R55"/>
  <c r="H55"/>
  <c r="G55"/>
  <c r="F55"/>
  <c r="C54"/>
  <c r="V53"/>
  <c r="T53"/>
  <c r="K58" s="1"/>
  <c r="U53"/>
  <c r="H59" s="1"/>
  <c r="S53"/>
  <c r="H58" s="1"/>
  <c r="F53"/>
  <c r="E53"/>
  <c r="D53"/>
  <c r="I53"/>
  <c r="C53"/>
  <c r="B53"/>
  <c r="A53"/>
  <c r="L52"/>
  <c r="Q52" s="1"/>
  <c r="Z52"/>
  <c r="Y52"/>
  <c r="X52"/>
  <c r="K51"/>
  <c r="J51"/>
  <c r="Z51"/>
  <c r="Y51"/>
  <c r="G29" s="1"/>
  <c r="X51"/>
  <c r="G28" s="1"/>
  <c r="H51"/>
  <c r="W51" s="1"/>
  <c r="F51"/>
  <c r="V51"/>
  <c r="T51"/>
  <c r="K48" s="1"/>
  <c r="U51"/>
  <c r="S51"/>
  <c r="E51"/>
  <c r="D51"/>
  <c r="C51"/>
  <c r="B51"/>
  <c r="A51"/>
  <c r="L50"/>
  <c r="G50"/>
  <c r="E50"/>
  <c r="J49"/>
  <c r="E49"/>
  <c r="J48"/>
  <c r="E48"/>
  <c r="K47"/>
  <c r="J47"/>
  <c r="H47"/>
  <c r="R47" s="1"/>
  <c r="G47"/>
  <c r="F47"/>
  <c r="C46"/>
  <c r="V45"/>
  <c r="K49" s="1"/>
  <c r="T45"/>
  <c r="U45"/>
  <c r="H49" s="1"/>
  <c r="S45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1" i="3"/>
  <c r="CY1"/>
  <c r="CZ1"/>
  <c r="DA1"/>
  <c r="DB1"/>
  <c r="DC1"/>
  <c r="A2"/>
  <c r="CY2"/>
  <c r="CZ2"/>
  <c r="DA2"/>
  <c r="DB2"/>
  <c r="DC2"/>
  <c r="A3"/>
  <c r="CY3"/>
  <c r="CZ3"/>
  <c r="DB3" s="1"/>
  <c r="DA3"/>
  <c r="DC3"/>
  <c r="A4"/>
  <c r="CY4"/>
  <c r="CZ4"/>
  <c r="DB4" s="1"/>
  <c r="DA4"/>
  <c r="DC4"/>
  <c r="A5"/>
  <c r="CY5"/>
  <c r="CZ5"/>
  <c r="DA5"/>
  <c r="DB5"/>
  <c r="DC5"/>
  <c r="A6"/>
  <c r="CY6"/>
  <c r="CZ6"/>
  <c r="DB6" s="1"/>
  <c r="DA6"/>
  <c r="DC6"/>
  <c r="A7"/>
  <c r="CY7"/>
  <c r="CZ7"/>
  <c r="DB7" s="1"/>
  <c r="DA7"/>
  <c r="DC7"/>
  <c r="A8"/>
  <c r="CY8"/>
  <c r="CZ8"/>
  <c r="DB8" s="1"/>
  <c r="DA8"/>
  <c r="DC8"/>
  <c r="A9"/>
  <c r="CY9"/>
  <c r="CZ9"/>
  <c r="DA9"/>
  <c r="DB9"/>
  <c r="DC9"/>
  <c r="A10"/>
  <c r="CY10"/>
  <c r="CZ10"/>
  <c r="DA10"/>
  <c r="DB10"/>
  <c r="DC10"/>
  <c r="A11"/>
  <c r="CY11"/>
  <c r="CZ11"/>
  <c r="DB11" s="1"/>
  <c r="DA11"/>
  <c r="DC11"/>
  <c r="A12"/>
  <c r="CX12"/>
  <c r="CY12"/>
  <c r="CZ12"/>
  <c r="DB12" s="1"/>
  <c r="DA12"/>
  <c r="DC12"/>
  <c r="A13"/>
  <c r="CX13"/>
  <c r="CY13"/>
  <c r="CZ13"/>
  <c r="DA13"/>
  <c r="DB13"/>
  <c r="DC13"/>
  <c r="A14"/>
  <c r="CX14"/>
  <c r="CY14"/>
  <c r="CZ14"/>
  <c r="DA14"/>
  <c r="DB14"/>
  <c r="DC14"/>
  <c r="A15"/>
  <c r="CX15"/>
  <c r="CY15"/>
  <c r="CZ15"/>
  <c r="DB15" s="1"/>
  <c r="DA15"/>
  <c r="DC15"/>
  <c r="A16"/>
  <c r="CX16"/>
  <c r="CY16"/>
  <c r="CZ16"/>
  <c r="DB16" s="1"/>
  <c r="DA16"/>
  <c r="DC16"/>
  <c r="A17"/>
  <c r="CY17"/>
  <c r="CZ17"/>
  <c r="DA17"/>
  <c r="DB17"/>
  <c r="DC17"/>
  <c r="A18"/>
  <c r="CY18"/>
  <c r="CZ18"/>
  <c r="DA18"/>
  <c r="DB18"/>
  <c r="DC18"/>
  <c r="A19"/>
  <c r="CY19"/>
  <c r="CZ19"/>
  <c r="DB19" s="1"/>
  <c r="DA19"/>
  <c r="DC19"/>
  <c r="A20"/>
  <c r="CY20"/>
  <c r="CZ20"/>
  <c r="DB20" s="1"/>
  <c r="DA20"/>
  <c r="DC20"/>
  <c r="A21"/>
  <c r="CY21"/>
  <c r="CZ21"/>
  <c r="DA21"/>
  <c r="DB21"/>
  <c r="DC21"/>
  <c r="A22"/>
  <c r="CY22"/>
  <c r="CZ22"/>
  <c r="DA22"/>
  <c r="DB22"/>
  <c r="DC22"/>
  <c r="A23"/>
  <c r="CY23"/>
  <c r="CZ23"/>
  <c r="DB23" s="1"/>
  <c r="DA23"/>
  <c r="DC23"/>
  <c r="A24"/>
  <c r="CY24"/>
  <c r="CZ24"/>
  <c r="DB24" s="1"/>
  <c r="DA24"/>
  <c r="DC24"/>
  <c r="A25"/>
  <c r="CY25"/>
  <c r="CZ25"/>
  <c r="DA25"/>
  <c r="DB25"/>
  <c r="DC25"/>
  <c r="A26"/>
  <c r="CY26"/>
  <c r="CZ26"/>
  <c r="DA26"/>
  <c r="DB26"/>
  <c r="DC26"/>
  <c r="A27"/>
  <c r="CY27"/>
  <c r="CZ27"/>
  <c r="DB27" s="1"/>
  <c r="DA27"/>
  <c r="DC27"/>
  <c r="A28"/>
  <c r="CY28"/>
  <c r="CZ28"/>
  <c r="DB28" s="1"/>
  <c r="DA28"/>
  <c r="DC28"/>
  <c r="A29"/>
  <c r="CY29"/>
  <c r="CZ29"/>
  <c r="DA29"/>
  <c r="DB29"/>
  <c r="DC29"/>
  <c r="A30"/>
  <c r="CY30"/>
  <c r="CZ30"/>
  <c r="DA30"/>
  <c r="DB30"/>
  <c r="DC30"/>
  <c r="A31"/>
  <c r="CY31"/>
  <c r="CZ31"/>
  <c r="DB31" s="1"/>
  <c r="DA31"/>
  <c r="DC31"/>
  <c r="A32"/>
  <c r="CY32"/>
  <c r="CZ32"/>
  <c r="DB32" s="1"/>
  <c r="DA32"/>
  <c r="DC32"/>
  <c r="A33"/>
  <c r="CY33"/>
  <c r="CZ33"/>
  <c r="DA33"/>
  <c r="DB33"/>
  <c r="DC33"/>
  <c r="A34"/>
  <c r="CY34"/>
  <c r="CZ34"/>
  <c r="DA34"/>
  <c r="DB34"/>
  <c r="DC34"/>
  <c r="A35"/>
  <c r="CY35"/>
  <c r="CZ35"/>
  <c r="DB35" s="1"/>
  <c r="DA35"/>
  <c r="DC35"/>
  <c r="A36"/>
  <c r="CY36"/>
  <c r="CZ36"/>
  <c r="DB36" s="1"/>
  <c r="DA36"/>
  <c r="DC36"/>
  <c r="A37"/>
  <c r="CY37"/>
  <c r="CZ37"/>
  <c r="DA37"/>
  <c r="DB37"/>
  <c r="DC37"/>
  <c r="A38"/>
  <c r="CY38"/>
  <c r="CZ38"/>
  <c r="DA38"/>
  <c r="DB38"/>
  <c r="DC38"/>
  <c r="A39"/>
  <c r="CY39"/>
  <c r="CZ39"/>
  <c r="DB39" s="1"/>
  <c r="DA39"/>
  <c r="DC39"/>
  <c r="A40"/>
  <c r="CY40"/>
  <c r="CZ40"/>
  <c r="DB40" s="1"/>
  <c r="DA40"/>
  <c r="DC40"/>
  <c r="A41"/>
  <c r="CX41"/>
  <c r="CY41"/>
  <c r="CZ41"/>
  <c r="DA41"/>
  <c r="DB41"/>
  <c r="DC41"/>
  <c r="A42"/>
  <c r="CX42"/>
  <c r="CY42"/>
  <c r="CZ42"/>
  <c r="DA42"/>
  <c r="DB42"/>
  <c r="DC42"/>
  <c r="A43"/>
  <c r="CX43"/>
  <c r="CY43"/>
  <c r="CZ43"/>
  <c r="DB43" s="1"/>
  <c r="DA43"/>
  <c r="DC43"/>
  <c r="A44"/>
  <c r="CX44"/>
  <c r="CY44"/>
  <c r="CZ44"/>
  <c r="DB44" s="1"/>
  <c r="DA44"/>
  <c r="DC44"/>
  <c r="A45"/>
  <c r="CX45"/>
  <c r="CY45"/>
  <c r="CZ45"/>
  <c r="DA45"/>
  <c r="DB45"/>
  <c r="DC45"/>
  <c r="A46"/>
  <c r="CX46"/>
  <c r="CY46"/>
  <c r="CZ46"/>
  <c r="DA46"/>
  <c r="DB46"/>
  <c r="DC46"/>
  <c r="A47"/>
  <c r="CX47"/>
  <c r="CY47"/>
  <c r="CZ47"/>
  <c r="DB47" s="1"/>
  <c r="DA47"/>
  <c r="DC47"/>
  <c r="A48"/>
  <c r="CX48"/>
  <c r="CY48"/>
  <c r="CZ48"/>
  <c r="DB48" s="1"/>
  <c r="DA48"/>
  <c r="DC48"/>
  <c r="A49"/>
  <c r="CX49"/>
  <c r="CY49"/>
  <c r="CZ49"/>
  <c r="DA49"/>
  <c r="DB49"/>
  <c r="DC49"/>
  <c r="A50"/>
  <c r="CX50"/>
  <c r="CY50"/>
  <c r="CZ50"/>
  <c r="DA50"/>
  <c r="DB50"/>
  <c r="DC50"/>
  <c r="A51"/>
  <c r="CY51"/>
  <c r="CZ51"/>
  <c r="DB51" s="1"/>
  <c r="DA51"/>
  <c r="DC51"/>
  <c r="A52"/>
  <c r="CY52"/>
  <c r="CZ52"/>
  <c r="DB52" s="1"/>
  <c r="DA52"/>
  <c r="DC52"/>
  <c r="A53"/>
  <c r="CY53"/>
  <c r="CZ53"/>
  <c r="DA53"/>
  <c r="DB53"/>
  <c r="DC53"/>
  <c r="A54"/>
  <c r="CY54"/>
  <c r="CZ54"/>
  <c r="DA54"/>
  <c r="DB54"/>
  <c r="DC54"/>
  <c r="A55"/>
  <c r="CY55"/>
  <c r="CZ55"/>
  <c r="DB55" s="1"/>
  <c r="DA55"/>
  <c r="DC55"/>
  <c r="A56"/>
  <c r="CY56"/>
  <c r="CZ56"/>
  <c r="DB56" s="1"/>
  <c r="DA56"/>
  <c r="DC56"/>
  <c r="A57"/>
  <c r="CY57"/>
  <c r="CZ57"/>
  <c r="DA57"/>
  <c r="DB57"/>
  <c r="DC57"/>
  <c r="A58"/>
  <c r="CY58"/>
  <c r="CZ58"/>
  <c r="DA58"/>
  <c r="DB58"/>
  <c r="DC58"/>
  <c r="A59"/>
  <c r="CY59"/>
  <c r="CZ59"/>
  <c r="DB59" s="1"/>
  <c r="DA59"/>
  <c r="DC59"/>
  <c r="A60"/>
  <c r="CY60"/>
  <c r="CZ60"/>
  <c r="DB60" s="1"/>
  <c r="DA60"/>
  <c r="DC60"/>
  <c r="A61"/>
  <c r="CY61"/>
  <c r="CZ61"/>
  <c r="DA61"/>
  <c r="DB61"/>
  <c r="DC61"/>
  <c r="A62"/>
  <c r="CY62"/>
  <c r="CZ62"/>
  <c r="DA62"/>
  <c r="DB62"/>
  <c r="DC62"/>
  <c r="A63"/>
  <c r="CY63"/>
  <c r="CZ63"/>
  <c r="DB63" s="1"/>
  <c r="DA63"/>
  <c r="DC63"/>
  <c r="A64"/>
  <c r="CY64"/>
  <c r="CZ64"/>
  <c r="DB64" s="1"/>
  <c r="DA64"/>
  <c r="DC64"/>
  <c r="A65"/>
  <c r="CY65"/>
  <c r="CZ65"/>
  <c r="DA65"/>
  <c r="DB65"/>
  <c r="DC65"/>
  <c r="A66"/>
  <c r="CY66"/>
  <c r="CZ66"/>
  <c r="DA66"/>
  <c r="DB66"/>
  <c r="DC66"/>
  <c r="A67"/>
  <c r="CY67"/>
  <c r="CZ67"/>
  <c r="DB67" s="1"/>
  <c r="DA67"/>
  <c r="DC67"/>
  <c r="A68"/>
  <c r="CY68"/>
  <c r="CZ68"/>
  <c r="DB68" s="1"/>
  <c r="DA68"/>
  <c r="DC68"/>
  <c r="A69"/>
  <c r="CY69"/>
  <c r="CZ69"/>
  <c r="DA69"/>
  <c r="DB69"/>
  <c r="DC69"/>
  <c r="A70"/>
  <c r="CY70"/>
  <c r="CZ70"/>
  <c r="DA70"/>
  <c r="DB70"/>
  <c r="DC70"/>
  <c r="A71"/>
  <c r="CY71"/>
  <c r="CZ71"/>
  <c r="DB71" s="1"/>
  <c r="DA71"/>
  <c r="DC71"/>
  <c r="A72"/>
  <c r="CY72"/>
  <c r="CZ72"/>
  <c r="DB72" s="1"/>
  <c r="DA72"/>
  <c r="DC72"/>
  <c r="A73"/>
  <c r="CY73"/>
  <c r="CZ73"/>
  <c r="DA73"/>
  <c r="DB73"/>
  <c r="DC73"/>
  <c r="A74"/>
  <c r="CY74"/>
  <c r="CZ74"/>
  <c r="DA74"/>
  <c r="DB74"/>
  <c r="DC74"/>
  <c r="A75"/>
  <c r="CY75"/>
  <c r="CZ75"/>
  <c r="DB75" s="1"/>
  <c r="DA75"/>
  <c r="DC75"/>
  <c r="A76"/>
  <c r="CY76"/>
  <c r="CZ76"/>
  <c r="DB76" s="1"/>
  <c r="DA76"/>
  <c r="DC76"/>
  <c r="A77"/>
  <c r="CY77"/>
  <c r="CZ77"/>
  <c r="DA77"/>
  <c r="DB77"/>
  <c r="DC77"/>
  <c r="A78"/>
  <c r="CY78"/>
  <c r="CZ78"/>
  <c r="DA78"/>
  <c r="DB78"/>
  <c r="DC78"/>
  <c r="A79"/>
  <c r="CY79"/>
  <c r="CZ79"/>
  <c r="DB79" s="1"/>
  <c r="DA79"/>
  <c r="DC79"/>
  <c r="A80"/>
  <c r="CY80"/>
  <c r="CZ80"/>
  <c r="DB80" s="1"/>
  <c r="DA80"/>
  <c r="DC80"/>
  <c r="A81"/>
  <c r="CY81"/>
  <c r="CZ81"/>
  <c r="DA81"/>
  <c r="DB81"/>
  <c r="DC81"/>
  <c r="A82"/>
  <c r="CY82"/>
  <c r="CZ82"/>
  <c r="DA82"/>
  <c r="DB82"/>
  <c r="DC82"/>
  <c r="A83"/>
  <c r="CY83"/>
  <c r="CZ83"/>
  <c r="DB83" s="1"/>
  <c r="DA83"/>
  <c r="DC83"/>
  <c r="A84"/>
  <c r="CY84"/>
  <c r="CZ84"/>
  <c r="DB84" s="1"/>
  <c r="DA84"/>
  <c r="DC84"/>
  <c r="A85"/>
  <c r="CY85"/>
  <c r="CZ85"/>
  <c r="DA85"/>
  <c r="DB85"/>
  <c r="DC85"/>
  <c r="A86"/>
  <c r="CY86"/>
  <c r="CZ86"/>
  <c r="DA86"/>
  <c r="DB86"/>
  <c r="DC86"/>
  <c r="A87"/>
  <c r="CY87"/>
  <c r="CZ87"/>
  <c r="DB87" s="1"/>
  <c r="DA87"/>
  <c r="DC87"/>
  <c r="A88"/>
  <c r="CY88"/>
  <c r="CZ88"/>
  <c r="DB88" s="1"/>
  <c r="DA88"/>
  <c r="DC88"/>
  <c r="A89"/>
  <c r="CY89"/>
  <c r="CZ89"/>
  <c r="DA89"/>
  <c r="DB89"/>
  <c r="DC89"/>
  <c r="A90"/>
  <c r="CY90"/>
  <c r="CZ90"/>
  <c r="DA90"/>
  <c r="DB90"/>
  <c r="DC90"/>
  <c r="A91"/>
  <c r="CY91"/>
  <c r="CZ91"/>
  <c r="DB91" s="1"/>
  <c r="DA91"/>
  <c r="DC91"/>
  <c r="A92"/>
  <c r="CY92"/>
  <c r="CZ92"/>
  <c r="DB92" s="1"/>
  <c r="DA92"/>
  <c r="DC92"/>
  <c r="A93"/>
  <c r="CY93"/>
  <c r="CZ93"/>
  <c r="DA93"/>
  <c r="DB93"/>
  <c r="DC93"/>
  <c r="A94"/>
  <c r="CY94"/>
  <c r="CZ94"/>
  <c r="DA94"/>
  <c r="DB94"/>
  <c r="DC94"/>
  <c r="A95"/>
  <c r="CY95"/>
  <c r="CZ95"/>
  <c r="DB95" s="1"/>
  <c r="DA95"/>
  <c r="DC95"/>
  <c r="A96"/>
  <c r="CY96"/>
  <c r="CZ96"/>
  <c r="DB96" s="1"/>
  <c r="DA96"/>
  <c r="DC96"/>
  <c r="A97"/>
  <c r="CY97"/>
  <c r="CZ97"/>
  <c r="DA97"/>
  <c r="DB97"/>
  <c r="DC97"/>
  <c r="A98"/>
  <c r="CY98"/>
  <c r="CZ98"/>
  <c r="DA98"/>
  <c r="DB98"/>
  <c r="DC98"/>
  <c r="A99"/>
  <c r="CY99"/>
  <c r="CZ99"/>
  <c r="DB99" s="1"/>
  <c r="DA99"/>
  <c r="DC99"/>
  <c r="A100"/>
  <c r="CY100"/>
  <c r="CZ100"/>
  <c r="DB100" s="1"/>
  <c r="DA100"/>
  <c r="DC100"/>
  <c r="A101"/>
  <c r="CY101"/>
  <c r="CZ101"/>
  <c r="DA101"/>
  <c r="DB101"/>
  <c r="DC101"/>
  <c r="A102"/>
  <c r="CY102"/>
  <c r="CZ102"/>
  <c r="DA102"/>
  <c r="DB102"/>
  <c r="DC102"/>
  <c r="A103"/>
  <c r="CY103"/>
  <c r="CZ103"/>
  <c r="DB103" s="1"/>
  <c r="DA103"/>
  <c r="DC103"/>
  <c r="A104"/>
  <c r="CY104"/>
  <c r="CZ104"/>
  <c r="DB104" s="1"/>
  <c r="DA104"/>
  <c r="DC104"/>
  <c r="A105"/>
  <c r="CY105"/>
  <c r="CZ105"/>
  <c r="DA105"/>
  <c r="DB105"/>
  <c r="DC105"/>
  <c r="A106"/>
  <c r="CY106"/>
  <c r="CZ106"/>
  <c r="DA106"/>
  <c r="DB106"/>
  <c r="DC106"/>
  <c r="A107"/>
  <c r="CY107"/>
  <c r="CZ107"/>
  <c r="DB107" s="1"/>
  <c r="DA107"/>
  <c r="DC107"/>
  <c r="A108"/>
  <c r="CY108"/>
  <c r="CZ108"/>
  <c r="DB108" s="1"/>
  <c r="DA108"/>
  <c r="DC108"/>
  <c r="A109"/>
  <c r="CY109"/>
  <c r="CZ109"/>
  <c r="DA109"/>
  <c r="DB109"/>
  <c r="DC109"/>
  <c r="A110"/>
  <c r="CY110"/>
  <c r="CZ110"/>
  <c r="DA110"/>
  <c r="DB110"/>
  <c r="DC110"/>
  <c r="A111"/>
  <c r="CY111"/>
  <c r="CZ111"/>
  <c r="DB111" s="1"/>
  <c r="DA111"/>
  <c r="DC111"/>
  <c r="A112"/>
  <c r="CY112"/>
  <c r="CZ112"/>
  <c r="DB112" s="1"/>
  <c r="DA112"/>
  <c r="DC112"/>
  <c r="A113"/>
  <c r="CY113"/>
  <c r="CZ113"/>
  <c r="DA113"/>
  <c r="DB113"/>
  <c r="DC113"/>
  <c r="A114"/>
  <c r="CY114"/>
  <c r="CZ114"/>
  <c r="DA114"/>
  <c r="DB114"/>
  <c r="DC114"/>
  <c r="A115"/>
  <c r="CY115"/>
  <c r="CZ115"/>
  <c r="DB115" s="1"/>
  <c r="DA115"/>
  <c r="DC115"/>
  <c r="A116"/>
  <c r="CY116"/>
  <c r="CZ116"/>
  <c r="DB116" s="1"/>
  <c r="DA116"/>
  <c r="DC116"/>
  <c r="A117"/>
  <c r="CY117"/>
  <c r="CZ117"/>
  <c r="DA117"/>
  <c r="DB117"/>
  <c r="DC117"/>
  <c r="A118"/>
  <c r="CY118"/>
  <c r="CZ118"/>
  <c r="DA118"/>
  <c r="DB118"/>
  <c r="DC118"/>
  <c r="A119"/>
  <c r="CY119"/>
  <c r="CZ119"/>
  <c r="DB119" s="1"/>
  <c r="DA119"/>
  <c r="DC119"/>
  <c r="A120"/>
  <c r="CY120"/>
  <c r="CZ120"/>
  <c r="DB120" s="1"/>
  <c r="DA120"/>
  <c r="DC120"/>
  <c r="A121"/>
  <c r="CY121"/>
  <c r="CZ121"/>
  <c r="DA121"/>
  <c r="DB121"/>
  <c r="DC121"/>
  <c r="A122"/>
  <c r="CY122"/>
  <c r="CZ122"/>
  <c r="DA122"/>
  <c r="DB122"/>
  <c r="DC122"/>
  <c r="A123"/>
  <c r="CY123"/>
  <c r="CZ123"/>
  <c r="DB123" s="1"/>
  <c r="DA123"/>
  <c r="DC123"/>
  <c r="A124"/>
  <c r="CY124"/>
  <c r="CZ124"/>
  <c r="DB124" s="1"/>
  <c r="DA124"/>
  <c r="DC124"/>
  <c r="A125"/>
  <c r="CY125"/>
  <c r="CZ125"/>
  <c r="DA125"/>
  <c r="DB125"/>
  <c r="DC125"/>
  <c r="A126"/>
  <c r="CY126"/>
  <c r="CZ126"/>
  <c r="DA126"/>
  <c r="DB126"/>
  <c r="DC126"/>
  <c r="A127"/>
  <c r="CY127"/>
  <c r="CZ127"/>
  <c r="DB127" s="1"/>
  <c r="DA127"/>
  <c r="DC127"/>
  <c r="A128"/>
  <c r="CY128"/>
  <c r="CZ128"/>
  <c r="DB128" s="1"/>
  <c r="DA128"/>
  <c r="DC128"/>
  <c r="A129"/>
  <c r="CY129"/>
  <c r="CZ129"/>
  <c r="DA129"/>
  <c r="DB129"/>
  <c r="DC129"/>
  <c r="A130"/>
  <c r="CY130"/>
  <c r="CZ130"/>
  <c r="DA130"/>
  <c r="DB130"/>
  <c r="DC130"/>
  <c r="A131"/>
  <c r="CY131"/>
  <c r="CZ131"/>
  <c r="DB131" s="1"/>
  <c r="DA131"/>
  <c r="DC131"/>
  <c r="A132"/>
  <c r="CY132"/>
  <c r="CZ132"/>
  <c r="DB132" s="1"/>
  <c r="DA132"/>
  <c r="DC132"/>
  <c r="A133"/>
  <c r="CY133"/>
  <c r="CZ133"/>
  <c r="DA133"/>
  <c r="DB133"/>
  <c r="DC133"/>
  <c r="A134"/>
  <c r="CY134"/>
  <c r="CZ134"/>
  <c r="DA134"/>
  <c r="DB134"/>
  <c r="DC134"/>
  <c r="A135"/>
  <c r="CY135"/>
  <c r="CZ135"/>
  <c r="DB135" s="1"/>
  <c r="DA135"/>
  <c r="DC135"/>
  <c r="A136"/>
  <c r="CY136"/>
  <c r="CZ136"/>
  <c r="DB136" s="1"/>
  <c r="DA136"/>
  <c r="DC136"/>
  <c r="A137"/>
  <c r="CY137"/>
  <c r="CZ137"/>
  <c r="DA137"/>
  <c r="DB137"/>
  <c r="DC137"/>
  <c r="A138"/>
  <c r="CY138"/>
  <c r="CZ138"/>
  <c r="DA138"/>
  <c r="DB138"/>
  <c r="DC138"/>
  <c r="A139"/>
  <c r="CX139"/>
  <c r="CY139"/>
  <c r="CZ139"/>
  <c r="DB139" s="1"/>
  <c r="DA139"/>
  <c r="DC139"/>
  <c r="A140"/>
  <c r="CX140"/>
  <c r="CY140"/>
  <c r="CZ140"/>
  <c r="DB140" s="1"/>
  <c r="DA140"/>
  <c r="DC140"/>
  <c r="A141"/>
  <c r="CX141"/>
  <c r="CY141"/>
  <c r="CZ141"/>
  <c r="DA141"/>
  <c r="DB141"/>
  <c r="DC141"/>
  <c r="A142"/>
  <c r="CX142"/>
  <c r="CY142"/>
  <c r="CZ142"/>
  <c r="DA142"/>
  <c r="DB142"/>
  <c r="DC142"/>
  <c r="A143"/>
  <c r="CX143"/>
  <c r="CY143"/>
  <c r="CZ143"/>
  <c r="DB143" s="1"/>
  <c r="DA143"/>
  <c r="DC143"/>
  <c r="A144"/>
  <c r="CX144"/>
  <c r="CY144"/>
  <c r="CZ144"/>
  <c r="DB144" s="1"/>
  <c r="DA144"/>
  <c r="DC144"/>
  <c r="A145"/>
  <c r="CX145"/>
  <c r="CY145"/>
  <c r="CZ145"/>
  <c r="DA145"/>
  <c r="DB145"/>
  <c r="DC145"/>
  <c r="A146"/>
  <c r="CX146"/>
  <c r="CY146"/>
  <c r="CZ146"/>
  <c r="DA146"/>
  <c r="DB146"/>
  <c r="DC146"/>
  <c r="A147"/>
  <c r="CX147"/>
  <c r="CY147"/>
  <c r="CZ147"/>
  <c r="DB147" s="1"/>
  <c r="DA147"/>
  <c r="DC147"/>
  <c r="A148"/>
  <c r="CY148"/>
  <c r="CZ148"/>
  <c r="DB148" s="1"/>
  <c r="DA148"/>
  <c r="DC148"/>
  <c r="A149"/>
  <c r="CY149"/>
  <c r="CZ149"/>
  <c r="DA149"/>
  <c r="DB149"/>
  <c r="DC149"/>
  <c r="A150"/>
  <c r="CY150"/>
  <c r="CZ150"/>
  <c r="DA150"/>
  <c r="DB150"/>
  <c r="DC150"/>
  <c r="A151"/>
  <c r="CY151"/>
  <c r="CZ151"/>
  <c r="DB151" s="1"/>
  <c r="DA151"/>
  <c r="DC151"/>
  <c r="A152"/>
  <c r="CY152"/>
  <c r="CZ152"/>
  <c r="DB152" s="1"/>
  <c r="DA152"/>
  <c r="DC152"/>
  <c r="A153"/>
  <c r="CY153"/>
  <c r="CZ153"/>
  <c r="DA153"/>
  <c r="DB153"/>
  <c r="DC153"/>
  <c r="A154"/>
  <c r="CY154"/>
  <c r="CZ154"/>
  <c r="DA154"/>
  <c r="DB154"/>
  <c r="DC154"/>
  <c r="A155"/>
  <c r="CY155"/>
  <c r="CZ155"/>
  <c r="DB155" s="1"/>
  <c r="DA155"/>
  <c r="DC155"/>
  <c r="A156"/>
  <c r="CY156"/>
  <c r="CZ156"/>
  <c r="DB156" s="1"/>
  <c r="DA156"/>
  <c r="DC156"/>
  <c r="A157"/>
  <c r="CY157"/>
  <c r="CZ157"/>
  <c r="DA157"/>
  <c r="DB157"/>
  <c r="DC157"/>
  <c r="A158"/>
  <c r="CY158"/>
  <c r="CZ158"/>
  <c r="DA158"/>
  <c r="DB158"/>
  <c r="DC158"/>
  <c r="A159"/>
  <c r="CY159"/>
  <c r="CZ159"/>
  <c r="DB159" s="1"/>
  <c r="DA159"/>
  <c r="DC159"/>
  <c r="A160"/>
  <c r="CY160"/>
  <c r="CZ160"/>
  <c r="DB160" s="1"/>
  <c r="DA160"/>
  <c r="DC160"/>
  <c r="A161"/>
  <c r="CY161"/>
  <c r="CZ161"/>
  <c r="DA161"/>
  <c r="DB161"/>
  <c r="DC161"/>
  <c r="A162"/>
  <c r="CY162"/>
  <c r="CZ162"/>
  <c r="DA162"/>
  <c r="DB162"/>
  <c r="DC162"/>
  <c r="A163"/>
  <c r="CY163"/>
  <c r="CZ163"/>
  <c r="DB163" s="1"/>
  <c r="DA163"/>
  <c r="DC163"/>
  <c r="A164"/>
  <c r="CY164"/>
  <c r="CZ164"/>
  <c r="DB164" s="1"/>
  <c r="DA164"/>
  <c r="DC164"/>
  <c r="A165"/>
  <c r="CY165"/>
  <c r="CZ165"/>
  <c r="DA165"/>
  <c r="DB165"/>
  <c r="DC165"/>
  <c r="A166"/>
  <c r="CY166"/>
  <c r="CZ166"/>
  <c r="DA166"/>
  <c r="DB166"/>
  <c r="DC166"/>
  <c r="A167"/>
  <c r="CY167"/>
  <c r="CZ167"/>
  <c r="DB167" s="1"/>
  <c r="DA167"/>
  <c r="DC167"/>
  <c r="A168"/>
  <c r="CY168"/>
  <c r="CZ168"/>
  <c r="DB168" s="1"/>
  <c r="DA168"/>
  <c r="DC168"/>
  <c r="A169"/>
  <c r="CY169"/>
  <c r="CZ169"/>
  <c r="DA169"/>
  <c r="DB169"/>
  <c r="DC169"/>
  <c r="A170"/>
  <c r="CY170"/>
  <c r="CZ170"/>
  <c r="DA170"/>
  <c r="DB170"/>
  <c r="DC170"/>
  <c r="A171"/>
  <c r="CY171"/>
  <c r="CZ171"/>
  <c r="DB171" s="1"/>
  <c r="DA171"/>
  <c r="DC171"/>
  <c r="A172"/>
  <c r="CY172"/>
  <c r="CZ172"/>
  <c r="DB172" s="1"/>
  <c r="DA172"/>
  <c r="DC172"/>
  <c r="A173"/>
  <c r="CY173"/>
  <c r="CZ173"/>
  <c r="DA173"/>
  <c r="DB173"/>
  <c r="DC173"/>
  <c r="A174"/>
  <c r="CY174"/>
  <c r="CZ174"/>
  <c r="DA174"/>
  <c r="DB174"/>
  <c r="DC174"/>
  <c r="A175"/>
  <c r="CY175"/>
  <c r="CZ175"/>
  <c r="DB175" s="1"/>
  <c r="DA175"/>
  <c r="DC175"/>
  <c r="A176"/>
  <c r="CY176"/>
  <c r="CZ176"/>
  <c r="DB176" s="1"/>
  <c r="DA176"/>
  <c r="DC176"/>
  <c r="A177"/>
  <c r="CY177"/>
  <c r="CZ177"/>
  <c r="DA177"/>
  <c r="DB177"/>
  <c r="DC177"/>
  <c r="A178"/>
  <c r="CY178"/>
  <c r="CZ178"/>
  <c r="DA178"/>
  <c r="DB178"/>
  <c r="DC178"/>
  <c r="A179"/>
  <c r="CY179"/>
  <c r="CZ179"/>
  <c r="DB179" s="1"/>
  <c r="DA179"/>
  <c r="DC179"/>
  <c r="A180"/>
  <c r="CY180"/>
  <c r="CZ180"/>
  <c r="DB180" s="1"/>
  <c r="DA180"/>
  <c r="DC180"/>
  <c r="A181"/>
  <c r="CY181"/>
  <c r="CZ181"/>
  <c r="DA181"/>
  <c r="DB181"/>
  <c r="DC181"/>
  <c r="A182"/>
  <c r="CY182"/>
  <c r="CZ182"/>
  <c r="DA182"/>
  <c r="DB182"/>
  <c r="DC182"/>
  <c r="A183"/>
  <c r="CY183"/>
  <c r="CZ183"/>
  <c r="DB183" s="1"/>
  <c r="DA183"/>
  <c r="DC183"/>
  <c r="A184"/>
  <c r="CY184"/>
  <c r="CZ184"/>
  <c r="DB184" s="1"/>
  <c r="DA184"/>
  <c r="DC184"/>
  <c r="A185"/>
  <c r="CY185"/>
  <c r="CZ185"/>
  <c r="DA185"/>
  <c r="DB185"/>
  <c r="DC185"/>
  <c r="A186"/>
  <c r="CY186"/>
  <c r="CZ186"/>
  <c r="DA186"/>
  <c r="DB186"/>
  <c r="DC186"/>
  <c r="A187"/>
  <c r="CY187"/>
  <c r="CZ187"/>
  <c r="DB187" s="1"/>
  <c r="DA187"/>
  <c r="DC187"/>
  <c r="A188"/>
  <c r="CY188"/>
  <c r="CZ188"/>
  <c r="DB188" s="1"/>
  <c r="DA188"/>
  <c r="DC188"/>
  <c r="A189"/>
  <c r="CY189"/>
  <c r="CZ189"/>
  <c r="DA189"/>
  <c r="DB189"/>
  <c r="DC189"/>
  <c r="A190"/>
  <c r="CY190"/>
  <c r="CZ190"/>
  <c r="DA190"/>
  <c r="DB190"/>
  <c r="DC190"/>
  <c r="A191"/>
  <c r="CY191"/>
  <c r="CZ191"/>
  <c r="DB191" s="1"/>
  <c r="DA191"/>
  <c r="DC191"/>
  <c r="A192"/>
  <c r="CY192"/>
  <c r="CZ192"/>
  <c r="DB192" s="1"/>
  <c r="DA192"/>
  <c r="DC192"/>
  <c r="A193"/>
  <c r="CY193"/>
  <c r="CZ193"/>
  <c r="DA193"/>
  <c r="DB193"/>
  <c r="DC193"/>
  <c r="A194"/>
  <c r="CY194"/>
  <c r="CZ194"/>
  <c r="DA194"/>
  <c r="DB194"/>
  <c r="DC194"/>
  <c r="A195"/>
  <c r="CY195"/>
  <c r="CZ195"/>
  <c r="DB195" s="1"/>
  <c r="DA195"/>
  <c r="DC195"/>
  <c r="A196"/>
  <c r="CY196"/>
  <c r="CZ196"/>
  <c r="DB196" s="1"/>
  <c r="DA196"/>
  <c r="DC196"/>
  <c r="A197"/>
  <c r="CY197"/>
  <c r="CZ197"/>
  <c r="DA197"/>
  <c r="DB197"/>
  <c r="DC197"/>
  <c r="A198"/>
  <c r="CY198"/>
  <c r="CZ198"/>
  <c r="DA198"/>
  <c r="DB198"/>
  <c r="DC198"/>
  <c r="A199"/>
  <c r="CY199"/>
  <c r="CZ199"/>
  <c r="DB199" s="1"/>
  <c r="DA199"/>
  <c r="DC199"/>
  <c r="A200"/>
  <c r="CY200"/>
  <c r="CZ200"/>
  <c r="DB200" s="1"/>
  <c r="DA200"/>
  <c r="DC200"/>
  <c r="A201"/>
  <c r="CY201"/>
  <c r="CZ201"/>
  <c r="DA201"/>
  <c r="DB201"/>
  <c r="DC201"/>
  <c r="A202"/>
  <c r="CY202"/>
  <c r="CZ202"/>
  <c r="DA202"/>
  <c r="DB202"/>
  <c r="DC202"/>
  <c r="A203"/>
  <c r="CY203"/>
  <c r="CZ203"/>
  <c r="DB203" s="1"/>
  <c r="DA203"/>
  <c r="DC203"/>
  <c r="A204"/>
  <c r="CY204"/>
  <c r="CZ204"/>
  <c r="DB204" s="1"/>
  <c r="DA204"/>
  <c r="DC204"/>
  <c r="A205"/>
  <c r="CY205"/>
  <c r="CZ205"/>
  <c r="DA205"/>
  <c r="DB205"/>
  <c r="DC205"/>
  <c r="A206"/>
  <c r="CY206"/>
  <c r="CZ206"/>
  <c r="DA206"/>
  <c r="DB206"/>
  <c r="DC206"/>
  <c r="A207"/>
  <c r="CY207"/>
  <c r="CZ207"/>
  <c r="DB207" s="1"/>
  <c r="DA207"/>
  <c r="DC207"/>
  <c r="A208"/>
  <c r="CY208"/>
  <c r="CZ208"/>
  <c r="DB208" s="1"/>
  <c r="DA208"/>
  <c r="DC208"/>
  <c r="A209"/>
  <c r="CY209"/>
  <c r="CZ209"/>
  <c r="DA209"/>
  <c r="DB209"/>
  <c r="DC209"/>
  <c r="A210"/>
  <c r="CY210"/>
  <c r="CZ210"/>
  <c r="DA210"/>
  <c r="DB210"/>
  <c r="DC210"/>
  <c r="A211"/>
  <c r="CY211"/>
  <c r="CZ211"/>
  <c r="DB211" s="1"/>
  <c r="DA211"/>
  <c r="DC211"/>
  <c r="A212"/>
  <c r="CY212"/>
  <c r="CZ212"/>
  <c r="DB212" s="1"/>
  <c r="DA212"/>
  <c r="DC212"/>
  <c r="A213"/>
  <c r="CY213"/>
  <c r="CZ213"/>
  <c r="DA213"/>
  <c r="DB213"/>
  <c r="DC213"/>
  <c r="A214"/>
  <c r="CY214"/>
  <c r="CZ214"/>
  <c r="DA214"/>
  <c r="DB214"/>
  <c r="DC214"/>
  <c r="A215"/>
  <c r="CY215"/>
  <c r="CZ215"/>
  <c r="DB215" s="1"/>
  <c r="DA215"/>
  <c r="DC215"/>
  <c r="A216"/>
  <c r="CY216"/>
  <c r="CZ216"/>
  <c r="DB216" s="1"/>
  <c r="DA216"/>
  <c r="DC216"/>
  <c r="A217"/>
  <c r="CY217"/>
  <c r="CZ217"/>
  <c r="DA217"/>
  <c r="DB217"/>
  <c r="DC217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I28"/>
  <c r="CX2" i="3" s="1"/>
  <c r="K28" i="1"/>
  <c r="AC28"/>
  <c r="AB28" s="1"/>
  <c r="AD28"/>
  <c r="CR28" s="1"/>
  <c r="Q28" s="1"/>
  <c r="AE28"/>
  <c r="AF28"/>
  <c r="AG28"/>
  <c r="AH28"/>
  <c r="CV28" s="1"/>
  <c r="U28" s="1"/>
  <c r="AI28"/>
  <c r="AJ28"/>
  <c r="CQ28"/>
  <c r="P28" s="1"/>
  <c r="CS28"/>
  <c r="R28" s="1"/>
  <c r="CT28"/>
  <c r="S28" s="1"/>
  <c r="CU28"/>
  <c r="T28" s="1"/>
  <c r="CW28"/>
  <c r="V28" s="1"/>
  <c r="CX28"/>
  <c r="W28" s="1"/>
  <c r="FR28"/>
  <c r="GL28"/>
  <c r="GO28"/>
  <c r="GP28"/>
  <c r="GV28"/>
  <c r="HC28" s="1"/>
  <c r="GX28" s="1"/>
  <c r="I29"/>
  <c r="AC29"/>
  <c r="AE29"/>
  <c r="AD29" s="1"/>
  <c r="CR29" s="1"/>
  <c r="Q29" s="1"/>
  <c r="AF29"/>
  <c r="AG29"/>
  <c r="CU29" s="1"/>
  <c r="T29" s="1"/>
  <c r="AH29"/>
  <c r="AI29"/>
  <c r="AJ29"/>
  <c r="CS29"/>
  <c r="R29" s="1"/>
  <c r="CT29"/>
  <c r="S29" s="1"/>
  <c r="CV29"/>
  <c r="U29" s="1"/>
  <c r="CW29"/>
  <c r="V29" s="1"/>
  <c r="CX29"/>
  <c r="W29" s="1"/>
  <c r="FR29"/>
  <c r="GL29"/>
  <c r="GO29"/>
  <c r="GP29"/>
  <c r="GV29"/>
  <c r="HC29"/>
  <c r="GX29" s="1"/>
  <c r="C30"/>
  <c r="D30"/>
  <c r="I30"/>
  <c r="CX6" i="3" s="1"/>
  <c r="K30" i="1"/>
  <c r="AC30"/>
  <c r="AB30" s="1"/>
  <c r="AE30"/>
  <c r="AD30" s="1"/>
  <c r="CR30" s="1"/>
  <c r="Q30" s="1"/>
  <c r="AF30"/>
  <c r="AG30"/>
  <c r="CU30" s="1"/>
  <c r="T30" s="1"/>
  <c r="AH30"/>
  <c r="AI30"/>
  <c r="AJ30"/>
  <c r="CS30"/>
  <c r="R30" s="1"/>
  <c r="CT30"/>
  <c r="S30" s="1"/>
  <c r="CV30"/>
  <c r="U30" s="1"/>
  <c r="CW30"/>
  <c r="V30" s="1"/>
  <c r="CX30"/>
  <c r="W30" s="1"/>
  <c r="FR30"/>
  <c r="GL30"/>
  <c r="GO30"/>
  <c r="GP30"/>
  <c r="GV30"/>
  <c r="HC30"/>
  <c r="GX30" s="1"/>
  <c r="I31"/>
  <c r="AC31"/>
  <c r="AE31"/>
  <c r="AD31" s="1"/>
  <c r="AF31"/>
  <c r="CT31" s="1"/>
  <c r="S31" s="1"/>
  <c r="AG31"/>
  <c r="AH31"/>
  <c r="AI31"/>
  <c r="AJ31"/>
  <c r="CX31" s="1"/>
  <c r="W31" s="1"/>
  <c r="CQ31"/>
  <c r="P31" s="1"/>
  <c r="CS31"/>
  <c r="R31" s="1"/>
  <c r="CU31"/>
  <c r="T31" s="1"/>
  <c r="CV31"/>
  <c r="U31" s="1"/>
  <c r="CW31"/>
  <c r="V31" s="1"/>
  <c r="FR31"/>
  <c r="GL31"/>
  <c r="GO31"/>
  <c r="GP31"/>
  <c r="GV31"/>
  <c r="HC31"/>
  <c r="GX31" s="1"/>
  <c r="C32"/>
  <c r="D32"/>
  <c r="I32"/>
  <c r="CX10" i="3" s="1"/>
  <c r="K32" i="1"/>
  <c r="AC32"/>
  <c r="AE32"/>
  <c r="AD32" s="1"/>
  <c r="AF32"/>
  <c r="CT32" s="1"/>
  <c r="S32" s="1"/>
  <c r="AG32"/>
  <c r="AH32"/>
  <c r="AI32"/>
  <c r="AJ32"/>
  <c r="CX32" s="1"/>
  <c r="W32" s="1"/>
  <c r="CQ32"/>
  <c r="P32" s="1"/>
  <c r="CS32"/>
  <c r="R32" s="1"/>
  <c r="CU32"/>
  <c r="T32" s="1"/>
  <c r="CV32"/>
  <c r="U32" s="1"/>
  <c r="CW32"/>
  <c r="V32" s="1"/>
  <c r="FR32"/>
  <c r="GL32"/>
  <c r="GO32"/>
  <c r="GP32"/>
  <c r="GV32"/>
  <c r="HC32"/>
  <c r="GX32" s="1"/>
  <c r="AC33"/>
  <c r="AE33"/>
  <c r="AD33" s="1"/>
  <c r="AF33"/>
  <c r="CT33" s="1"/>
  <c r="AG33"/>
  <c r="AH33"/>
  <c r="AI33"/>
  <c r="CW33" s="1"/>
  <c r="AJ33"/>
  <c r="CX33" s="1"/>
  <c r="CQ33"/>
  <c r="CU33"/>
  <c r="CV33"/>
  <c r="FR33"/>
  <c r="GL33"/>
  <c r="GO33"/>
  <c r="GP33"/>
  <c r="GV33"/>
  <c r="HC33" s="1"/>
  <c r="B35"/>
  <c r="B26" s="1"/>
  <c r="C35"/>
  <c r="C26" s="1"/>
  <c r="D35"/>
  <c r="D26" s="1"/>
  <c r="F35"/>
  <c r="F26" s="1"/>
  <c r="G35"/>
  <c r="G26" s="1"/>
  <c r="BX35"/>
  <c r="AO35" s="1"/>
  <c r="BY35"/>
  <c r="AP35" s="1"/>
  <c r="BZ35"/>
  <c r="AQ35" s="1"/>
  <c r="CC35"/>
  <c r="AT35" s="1"/>
  <c r="CD35"/>
  <c r="AU35" s="1"/>
  <c r="CG35"/>
  <c r="AX35" s="1"/>
  <c r="CK35"/>
  <c r="BB35" s="1"/>
  <c r="CL35"/>
  <c r="BC35" s="1"/>
  <c r="CM35"/>
  <c r="CM26" s="1"/>
  <c r="D65"/>
  <c r="E67"/>
  <c r="Z67"/>
  <c r="AA67"/>
  <c r="AM67"/>
  <c r="AN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CN67"/>
  <c r="CO67"/>
  <c r="CP67"/>
  <c r="CQ67"/>
  <c r="CR67"/>
  <c r="CS67"/>
  <c r="CT67"/>
  <c r="CU67"/>
  <c r="CV67"/>
  <c r="CW67"/>
  <c r="CX67"/>
  <c r="CY67"/>
  <c r="CZ67"/>
  <c r="DA67"/>
  <c r="DB67"/>
  <c r="DC67"/>
  <c r="DD67"/>
  <c r="DE67"/>
  <c r="DF67"/>
  <c r="DG67"/>
  <c r="DH67"/>
  <c r="DI67"/>
  <c r="DJ67"/>
  <c r="DK67"/>
  <c r="DL67"/>
  <c r="DM67"/>
  <c r="DN67"/>
  <c r="DO67"/>
  <c r="DP67"/>
  <c r="DQ67"/>
  <c r="DR67"/>
  <c r="DS67"/>
  <c r="DT67"/>
  <c r="DU67"/>
  <c r="DV67"/>
  <c r="DW67"/>
  <c r="DX67"/>
  <c r="DY67"/>
  <c r="DZ67"/>
  <c r="EA67"/>
  <c r="EB67"/>
  <c r="EC67"/>
  <c r="ED67"/>
  <c r="EE67"/>
  <c r="EF67"/>
  <c r="EG67"/>
  <c r="EH67"/>
  <c r="EI67"/>
  <c r="EJ67"/>
  <c r="EK67"/>
  <c r="EL67"/>
  <c r="EM67"/>
  <c r="EN67"/>
  <c r="EO67"/>
  <c r="EP67"/>
  <c r="EQ67"/>
  <c r="ER67"/>
  <c r="ES67"/>
  <c r="ET67"/>
  <c r="EU67"/>
  <c r="EV67"/>
  <c r="EW67"/>
  <c r="EX67"/>
  <c r="EY67"/>
  <c r="EZ67"/>
  <c r="FA67"/>
  <c r="FB67"/>
  <c r="FC67"/>
  <c r="FD67"/>
  <c r="FE67"/>
  <c r="FF67"/>
  <c r="FG67"/>
  <c r="FH67"/>
  <c r="FI67"/>
  <c r="FJ67"/>
  <c r="FK67"/>
  <c r="FL67"/>
  <c r="FM67"/>
  <c r="FN67"/>
  <c r="FO67"/>
  <c r="FP67"/>
  <c r="FQ67"/>
  <c r="FR67"/>
  <c r="FS67"/>
  <c r="FT67"/>
  <c r="FU67"/>
  <c r="FV67"/>
  <c r="FW67"/>
  <c r="FX67"/>
  <c r="FY67"/>
  <c r="FZ67"/>
  <c r="GA67"/>
  <c r="GB67"/>
  <c r="GC67"/>
  <c r="GD67"/>
  <c r="GE67"/>
  <c r="GF67"/>
  <c r="GG67"/>
  <c r="GH67"/>
  <c r="GI67"/>
  <c r="GJ67"/>
  <c r="GK67"/>
  <c r="GL67"/>
  <c r="GM67"/>
  <c r="GN67"/>
  <c r="GO67"/>
  <c r="GP67"/>
  <c r="GQ67"/>
  <c r="GR67"/>
  <c r="GS67"/>
  <c r="GT67"/>
  <c r="GU67"/>
  <c r="GV67"/>
  <c r="GW67"/>
  <c r="GX67"/>
  <c r="C69"/>
  <c r="D69"/>
  <c r="AC69"/>
  <c r="AE69"/>
  <c r="AD69" s="1"/>
  <c r="CR69" s="1"/>
  <c r="Q69" s="1"/>
  <c r="AF69"/>
  <c r="AG69"/>
  <c r="AH69"/>
  <c r="AI69"/>
  <c r="CW69" s="1"/>
  <c r="V69" s="1"/>
  <c r="AJ69"/>
  <c r="CQ69"/>
  <c r="P69" s="1"/>
  <c r="CP69" s="1"/>
  <c r="O69" s="1"/>
  <c r="CT69"/>
  <c r="S69" s="1"/>
  <c r="CU69"/>
  <c r="T69" s="1"/>
  <c r="CV69"/>
  <c r="U69" s="1"/>
  <c r="CX69"/>
  <c r="W69" s="1"/>
  <c r="FR69"/>
  <c r="GL69"/>
  <c r="GO69"/>
  <c r="GP69"/>
  <c r="GV69"/>
  <c r="HC69" s="1"/>
  <c r="GX69" s="1"/>
  <c r="C70"/>
  <c r="D70"/>
  <c r="I70"/>
  <c r="CX18" i="3" s="1"/>
  <c r="K70" i="1"/>
  <c r="AC70"/>
  <c r="AB70" s="1"/>
  <c r="AE70"/>
  <c r="AD70" s="1"/>
  <c r="CR70" s="1"/>
  <c r="Q70" s="1"/>
  <c r="AF70"/>
  <c r="AG70"/>
  <c r="AH70"/>
  <c r="AI70"/>
  <c r="CW70" s="1"/>
  <c r="V70" s="1"/>
  <c r="AJ70"/>
  <c r="CQ70"/>
  <c r="P70" s="1"/>
  <c r="CT70"/>
  <c r="S70" s="1"/>
  <c r="CU70"/>
  <c r="T70" s="1"/>
  <c r="CV70"/>
  <c r="U70" s="1"/>
  <c r="CX70"/>
  <c r="W70" s="1"/>
  <c r="FR70"/>
  <c r="GL70"/>
  <c r="GO70"/>
  <c r="GP70"/>
  <c r="GV70"/>
  <c r="HC70" s="1"/>
  <c r="GX70" s="1"/>
  <c r="I71"/>
  <c r="AC71"/>
  <c r="AB71" s="1"/>
  <c r="AD71"/>
  <c r="CR71" s="1"/>
  <c r="Q71" s="1"/>
  <c r="AE71"/>
  <c r="AF71"/>
  <c r="AG71"/>
  <c r="AH71"/>
  <c r="CV71" s="1"/>
  <c r="U71" s="1"/>
  <c r="AI71"/>
  <c r="AJ71"/>
  <c r="CQ71"/>
  <c r="P71" s="1"/>
  <c r="CP71" s="1"/>
  <c r="O71" s="1"/>
  <c r="CS71"/>
  <c r="R71" s="1"/>
  <c r="CT71"/>
  <c r="S71" s="1"/>
  <c r="CU71"/>
  <c r="T71" s="1"/>
  <c r="CW71"/>
  <c r="V71" s="1"/>
  <c r="CX71"/>
  <c r="W71" s="1"/>
  <c r="FR71"/>
  <c r="GL71"/>
  <c r="GO71"/>
  <c r="GP71"/>
  <c r="GV71"/>
  <c r="HC71"/>
  <c r="GX71" s="1"/>
  <c r="C72"/>
  <c r="D72"/>
  <c r="AC72"/>
  <c r="AE72"/>
  <c r="AD72" s="1"/>
  <c r="AF72"/>
  <c r="CT72" s="1"/>
  <c r="S72" s="1"/>
  <c r="AG72"/>
  <c r="AH72"/>
  <c r="AI72"/>
  <c r="AJ72"/>
  <c r="CX72" s="1"/>
  <c r="W72" s="1"/>
  <c r="CQ72"/>
  <c r="P72" s="1"/>
  <c r="CS72"/>
  <c r="R72" s="1"/>
  <c r="CU72"/>
  <c r="T72" s="1"/>
  <c r="CV72"/>
  <c r="U72" s="1"/>
  <c r="CW72"/>
  <c r="V72" s="1"/>
  <c r="FR72"/>
  <c r="GL72"/>
  <c r="GO72"/>
  <c r="GP72"/>
  <c r="GV72"/>
  <c r="HC72"/>
  <c r="GX72" s="1"/>
  <c r="I73"/>
  <c r="AC73"/>
  <c r="AE73"/>
  <c r="AD73" s="1"/>
  <c r="CR73" s="1"/>
  <c r="Q73" s="1"/>
  <c r="AF73"/>
  <c r="AG73"/>
  <c r="AH73"/>
  <c r="AI73"/>
  <c r="CW73" s="1"/>
  <c r="V73" s="1"/>
  <c r="AJ73"/>
  <c r="CQ73"/>
  <c r="P73" s="1"/>
  <c r="CP73" s="1"/>
  <c r="O73" s="1"/>
  <c r="CT73"/>
  <c r="S73" s="1"/>
  <c r="CU73"/>
  <c r="T73" s="1"/>
  <c r="CV73"/>
  <c r="U73" s="1"/>
  <c r="CX73"/>
  <c r="W73" s="1"/>
  <c r="FR73"/>
  <c r="GL73"/>
  <c r="GO73"/>
  <c r="GP73"/>
  <c r="GV73"/>
  <c r="HC73" s="1"/>
  <c r="GX73" s="1"/>
  <c r="I74"/>
  <c r="AC74"/>
  <c r="CQ74" s="1"/>
  <c r="P74" s="1"/>
  <c r="AD74"/>
  <c r="CR74" s="1"/>
  <c r="Q74" s="1"/>
  <c r="AE74"/>
  <c r="AF74"/>
  <c r="AG74"/>
  <c r="CU74" s="1"/>
  <c r="T74" s="1"/>
  <c r="AH74"/>
  <c r="CV74" s="1"/>
  <c r="U74" s="1"/>
  <c r="AI74"/>
  <c r="AJ74"/>
  <c r="CS74"/>
  <c r="R74" s="1"/>
  <c r="CT74"/>
  <c r="S74" s="1"/>
  <c r="CW74"/>
  <c r="V74" s="1"/>
  <c r="CX74"/>
  <c r="W74" s="1"/>
  <c r="FR74"/>
  <c r="GL74"/>
  <c r="GO74"/>
  <c r="GP74"/>
  <c r="GV74"/>
  <c r="HC74"/>
  <c r="GX74" s="1"/>
  <c r="C75"/>
  <c r="D75"/>
  <c r="I75"/>
  <c r="CX54" i="3" s="1"/>
  <c r="K75" i="1"/>
  <c r="AC75"/>
  <c r="CQ75" s="1"/>
  <c r="P75" s="1"/>
  <c r="AE75"/>
  <c r="AD75" s="1"/>
  <c r="CR75" s="1"/>
  <c r="Q75" s="1"/>
  <c r="AF75"/>
  <c r="AG75"/>
  <c r="CU75" s="1"/>
  <c r="T75" s="1"/>
  <c r="AH75"/>
  <c r="AI75"/>
  <c r="AJ75"/>
  <c r="CS75"/>
  <c r="R75" s="1"/>
  <c r="CT75"/>
  <c r="S75" s="1"/>
  <c r="CV75"/>
  <c r="U75" s="1"/>
  <c r="CW75"/>
  <c r="V75" s="1"/>
  <c r="CX75"/>
  <c r="W75" s="1"/>
  <c r="FR75"/>
  <c r="GL75"/>
  <c r="GO75"/>
  <c r="GP75"/>
  <c r="GV75"/>
  <c r="HC75"/>
  <c r="GX75" s="1"/>
  <c r="I76"/>
  <c r="AC76"/>
  <c r="AE76"/>
  <c r="AD76" s="1"/>
  <c r="AF76"/>
  <c r="CT76" s="1"/>
  <c r="S76" s="1"/>
  <c r="AG76"/>
  <c r="AH76"/>
  <c r="AI76"/>
  <c r="AJ76"/>
  <c r="CX76" s="1"/>
  <c r="W76" s="1"/>
  <c r="CQ76"/>
  <c r="P76" s="1"/>
  <c r="CS76"/>
  <c r="R76" s="1"/>
  <c r="CU76"/>
  <c r="T76" s="1"/>
  <c r="CV76"/>
  <c r="U76" s="1"/>
  <c r="CW76"/>
  <c r="V76" s="1"/>
  <c r="FR76"/>
  <c r="GL76"/>
  <c r="GO76"/>
  <c r="GP76"/>
  <c r="GV76"/>
  <c r="HC76"/>
  <c r="GX76" s="1"/>
  <c r="C77"/>
  <c r="D77"/>
  <c r="I77"/>
  <c r="CX70" i="3" s="1"/>
  <c r="K77" i="1"/>
  <c r="AC77"/>
  <c r="CQ77" s="1"/>
  <c r="P77" s="1"/>
  <c r="AE77"/>
  <c r="AD77" s="1"/>
  <c r="AF77"/>
  <c r="CT77" s="1"/>
  <c r="S77" s="1"/>
  <c r="AG77"/>
  <c r="CU77" s="1"/>
  <c r="T77" s="1"/>
  <c r="AH77"/>
  <c r="AI77"/>
  <c r="AJ77"/>
  <c r="CX77" s="1"/>
  <c r="W77" s="1"/>
  <c r="CS77"/>
  <c r="R77" s="1"/>
  <c r="CV77"/>
  <c r="U77" s="1"/>
  <c r="CW77"/>
  <c r="V77" s="1"/>
  <c r="FR77"/>
  <c r="GL77"/>
  <c r="GO77"/>
  <c r="GP77"/>
  <c r="GV77"/>
  <c r="HC77"/>
  <c r="GX77" s="1"/>
  <c r="C78"/>
  <c r="D78"/>
  <c r="I78"/>
  <c r="CX74" i="3" s="1"/>
  <c r="K78" i="1"/>
  <c r="AC78"/>
  <c r="AE78"/>
  <c r="AD78" s="1"/>
  <c r="AF78"/>
  <c r="CT78" s="1"/>
  <c r="S78" s="1"/>
  <c r="CY78" s="1"/>
  <c r="X78" s="1"/>
  <c r="AG78"/>
  <c r="AH78"/>
  <c r="AI78"/>
  <c r="AJ78"/>
  <c r="CX78" s="1"/>
  <c r="W78" s="1"/>
  <c r="CQ78"/>
  <c r="P78" s="1"/>
  <c r="CS78"/>
  <c r="R78" s="1"/>
  <c r="CU78"/>
  <c r="T78" s="1"/>
  <c r="CV78"/>
  <c r="U78" s="1"/>
  <c r="CW78"/>
  <c r="V78" s="1"/>
  <c r="FR78"/>
  <c r="GL78"/>
  <c r="GO78"/>
  <c r="GP78"/>
  <c r="GV78"/>
  <c r="GX78"/>
  <c r="HC78"/>
  <c r="C79"/>
  <c r="D79"/>
  <c r="I79"/>
  <c r="K79"/>
  <c r="AC79"/>
  <c r="AE79"/>
  <c r="AD79" s="1"/>
  <c r="AB79" s="1"/>
  <c r="AF79"/>
  <c r="AG79"/>
  <c r="AH79"/>
  <c r="AI79"/>
  <c r="CW79" s="1"/>
  <c r="V79" s="1"/>
  <c r="AJ79"/>
  <c r="CQ79"/>
  <c r="P79" s="1"/>
  <c r="CR79"/>
  <c r="Q79" s="1"/>
  <c r="CP79" s="1"/>
  <c r="O79" s="1"/>
  <c r="CS79"/>
  <c r="R79" s="1"/>
  <c r="CZ79" s="1"/>
  <c r="Y79" s="1"/>
  <c r="CT79"/>
  <c r="S79" s="1"/>
  <c r="CU79"/>
  <c r="T79" s="1"/>
  <c r="CV79"/>
  <c r="U79" s="1"/>
  <c r="CX79"/>
  <c r="W79" s="1"/>
  <c r="FR79"/>
  <c r="GL79"/>
  <c r="GO79"/>
  <c r="GP79"/>
  <c r="GV79"/>
  <c r="GX79"/>
  <c r="HC79"/>
  <c r="C80"/>
  <c r="D80"/>
  <c r="I80"/>
  <c r="K80"/>
  <c r="AC80"/>
  <c r="CQ80" s="1"/>
  <c r="P80" s="1"/>
  <c r="AE80"/>
  <c r="AD80" s="1"/>
  <c r="CR80" s="1"/>
  <c r="Q80" s="1"/>
  <c r="AF80"/>
  <c r="AG80"/>
  <c r="CU80" s="1"/>
  <c r="T80" s="1"/>
  <c r="AH80"/>
  <c r="AI80"/>
  <c r="AJ80"/>
  <c r="CT80"/>
  <c r="S80" s="1"/>
  <c r="CV80"/>
  <c r="U80" s="1"/>
  <c r="CW80"/>
  <c r="V80" s="1"/>
  <c r="CX80"/>
  <c r="W80" s="1"/>
  <c r="FR80"/>
  <c r="GL80"/>
  <c r="GO80"/>
  <c r="GP80"/>
  <c r="GV80"/>
  <c r="HC80"/>
  <c r="GX80" s="1"/>
  <c r="C81"/>
  <c r="D81"/>
  <c r="I81"/>
  <c r="CX97" i="3" s="1"/>
  <c r="K81" i="1"/>
  <c r="AC81"/>
  <c r="CQ81" s="1"/>
  <c r="P81" s="1"/>
  <c r="AE81"/>
  <c r="AD81" s="1"/>
  <c r="CR81" s="1"/>
  <c r="Q81" s="1"/>
  <c r="AF81"/>
  <c r="AG81"/>
  <c r="CU81" s="1"/>
  <c r="T81" s="1"/>
  <c r="AH81"/>
  <c r="AI81"/>
  <c r="AJ81"/>
  <c r="CS81"/>
  <c r="R81" s="1"/>
  <c r="CT81"/>
  <c r="S81" s="1"/>
  <c r="CV81"/>
  <c r="U81" s="1"/>
  <c r="CW81"/>
  <c r="V81" s="1"/>
  <c r="CX81"/>
  <c r="W81" s="1"/>
  <c r="FR81"/>
  <c r="GL81"/>
  <c r="GO81"/>
  <c r="GP81"/>
  <c r="GV81"/>
  <c r="HC81"/>
  <c r="GX81" s="1"/>
  <c r="C82"/>
  <c r="D82"/>
  <c r="I82"/>
  <c r="K82"/>
  <c r="AC82"/>
  <c r="CQ82" s="1"/>
  <c r="P82" s="1"/>
  <c r="AE82"/>
  <c r="AD82" s="1"/>
  <c r="CR82" s="1"/>
  <c r="Q82" s="1"/>
  <c r="AF82"/>
  <c r="AG82"/>
  <c r="CU82" s="1"/>
  <c r="T82" s="1"/>
  <c r="AH82"/>
  <c r="AI82"/>
  <c r="AJ82"/>
  <c r="CS82"/>
  <c r="R82" s="1"/>
  <c r="CT82"/>
  <c r="S82" s="1"/>
  <c r="CV82"/>
  <c r="U82" s="1"/>
  <c r="CW82"/>
  <c r="V82" s="1"/>
  <c r="CX82"/>
  <c r="W82" s="1"/>
  <c r="FR82"/>
  <c r="GL82"/>
  <c r="GO82"/>
  <c r="GP82"/>
  <c r="GV82"/>
  <c r="HC82"/>
  <c r="GX82" s="1"/>
  <c r="I83"/>
  <c r="AC83"/>
  <c r="AE83"/>
  <c r="AD83" s="1"/>
  <c r="AF83"/>
  <c r="CT83" s="1"/>
  <c r="S83" s="1"/>
  <c r="AG83"/>
  <c r="AH83"/>
  <c r="AI83"/>
  <c r="AJ83"/>
  <c r="CX83" s="1"/>
  <c r="W83" s="1"/>
  <c r="CQ83"/>
  <c r="P83" s="1"/>
  <c r="CS83"/>
  <c r="R83" s="1"/>
  <c r="CU83"/>
  <c r="T83" s="1"/>
  <c r="CV83"/>
  <c r="U83" s="1"/>
  <c r="CW83"/>
  <c r="V83" s="1"/>
  <c r="FR83"/>
  <c r="GL83"/>
  <c r="GO83"/>
  <c r="GP83"/>
  <c r="GV83"/>
  <c r="HC83"/>
  <c r="GX83" s="1"/>
  <c r="C84"/>
  <c r="D84"/>
  <c r="I84"/>
  <c r="K84"/>
  <c r="AC84"/>
  <c r="AE84"/>
  <c r="AD84" s="1"/>
  <c r="AF84"/>
  <c r="CT84" s="1"/>
  <c r="S84" s="1"/>
  <c r="AG84"/>
  <c r="AH84"/>
  <c r="AI84"/>
  <c r="AJ84"/>
  <c r="CX84" s="1"/>
  <c r="W84" s="1"/>
  <c r="CQ84"/>
  <c r="P84" s="1"/>
  <c r="CS84"/>
  <c r="R84" s="1"/>
  <c r="CU84"/>
  <c r="T84" s="1"/>
  <c r="CV84"/>
  <c r="U84" s="1"/>
  <c r="CW84"/>
  <c r="V84" s="1"/>
  <c r="FR84"/>
  <c r="GL84"/>
  <c r="GO84"/>
  <c r="GP84"/>
  <c r="GV84"/>
  <c r="HC84"/>
  <c r="GX84" s="1"/>
  <c r="AC85"/>
  <c r="AE85"/>
  <c r="CS85" s="1"/>
  <c r="AF85"/>
  <c r="AG85"/>
  <c r="AH85"/>
  <c r="AI85"/>
  <c r="CW85" s="1"/>
  <c r="AJ85"/>
  <c r="CQ85"/>
  <c r="CT85"/>
  <c r="CU85"/>
  <c r="CV85"/>
  <c r="CX85"/>
  <c r="FR85"/>
  <c r="GL85"/>
  <c r="GO85"/>
  <c r="GP85"/>
  <c r="GV85"/>
  <c r="HC85" s="1"/>
  <c r="I86"/>
  <c r="AC86"/>
  <c r="AB86" s="1"/>
  <c r="AD86"/>
  <c r="CR86" s="1"/>
  <c r="Q86" s="1"/>
  <c r="AE86"/>
  <c r="AF86"/>
  <c r="AG86"/>
  <c r="AH86"/>
  <c r="CV86" s="1"/>
  <c r="U86" s="1"/>
  <c r="AI86"/>
  <c r="AJ86"/>
  <c r="CQ86"/>
  <c r="P86" s="1"/>
  <c r="CP86" s="1"/>
  <c r="O86" s="1"/>
  <c r="CS86"/>
  <c r="R86" s="1"/>
  <c r="CT86"/>
  <c r="S86" s="1"/>
  <c r="CU86"/>
  <c r="T86" s="1"/>
  <c r="CW86"/>
  <c r="V86" s="1"/>
  <c r="CX86"/>
  <c r="W86" s="1"/>
  <c r="FR86"/>
  <c r="GL86"/>
  <c r="GO86"/>
  <c r="GP86"/>
  <c r="GV86"/>
  <c r="HC86" s="1"/>
  <c r="GX86" s="1"/>
  <c r="B88"/>
  <c r="B67" s="1"/>
  <c r="C88"/>
  <c r="C67" s="1"/>
  <c r="D88"/>
  <c r="D67" s="1"/>
  <c r="F88"/>
  <c r="F67" s="1"/>
  <c r="G88"/>
  <c r="G67" s="1"/>
  <c r="BX88"/>
  <c r="BX67" s="1"/>
  <c r="BY88"/>
  <c r="BY67" s="1"/>
  <c r="BZ88"/>
  <c r="BZ67" s="1"/>
  <c r="CC88"/>
  <c r="CC67" s="1"/>
  <c r="CD88"/>
  <c r="CD67" s="1"/>
  <c r="CG88"/>
  <c r="CG67" s="1"/>
  <c r="CK88"/>
  <c r="CK67" s="1"/>
  <c r="CL88"/>
  <c r="CL67" s="1"/>
  <c r="CM88"/>
  <c r="CM67" s="1"/>
  <c r="D118"/>
  <c r="E120"/>
  <c r="Z120"/>
  <c r="AA120"/>
  <c r="AM120"/>
  <c r="AN120"/>
  <c r="BE120"/>
  <c r="BF120"/>
  <c r="BG120"/>
  <c r="BH120"/>
  <c r="BI120"/>
  <c r="BJ120"/>
  <c r="BK120"/>
  <c r="BL120"/>
  <c r="BM120"/>
  <c r="BN120"/>
  <c r="BO120"/>
  <c r="BP120"/>
  <c r="BQ120"/>
  <c r="BR120"/>
  <c r="BS120"/>
  <c r="BT120"/>
  <c r="BU120"/>
  <c r="BV120"/>
  <c r="BW120"/>
  <c r="CN120"/>
  <c r="CO120"/>
  <c r="CP120"/>
  <c r="CQ120"/>
  <c r="CR120"/>
  <c r="CS120"/>
  <c r="CT120"/>
  <c r="CU120"/>
  <c r="CV120"/>
  <c r="CW120"/>
  <c r="CX120"/>
  <c r="CY120"/>
  <c r="CZ120"/>
  <c r="DA120"/>
  <c r="DB120"/>
  <c r="DC120"/>
  <c r="DD120"/>
  <c r="DE120"/>
  <c r="DF120"/>
  <c r="DG120"/>
  <c r="DH120"/>
  <c r="DI120"/>
  <c r="DJ120"/>
  <c r="DK120"/>
  <c r="DL120"/>
  <c r="DM120"/>
  <c r="DN120"/>
  <c r="DO120"/>
  <c r="DP120"/>
  <c r="DQ120"/>
  <c r="DR120"/>
  <c r="DS120"/>
  <c r="DT120"/>
  <c r="DU120"/>
  <c r="DV120"/>
  <c r="DW120"/>
  <c r="DX120"/>
  <c r="DY120"/>
  <c r="DZ120"/>
  <c r="EA120"/>
  <c r="EB120"/>
  <c r="EC120"/>
  <c r="ED120"/>
  <c r="EE120"/>
  <c r="EF120"/>
  <c r="EG120"/>
  <c r="EH120"/>
  <c r="EI120"/>
  <c r="EJ120"/>
  <c r="EK120"/>
  <c r="EL120"/>
  <c r="EM120"/>
  <c r="EN120"/>
  <c r="EO120"/>
  <c r="EP120"/>
  <c r="EQ120"/>
  <c r="ER120"/>
  <c r="ES120"/>
  <c r="ET120"/>
  <c r="EU120"/>
  <c r="EV120"/>
  <c r="EW120"/>
  <c r="EX120"/>
  <c r="EY120"/>
  <c r="EZ120"/>
  <c r="FA120"/>
  <c r="FB120"/>
  <c r="FC120"/>
  <c r="FD120"/>
  <c r="FE120"/>
  <c r="FF120"/>
  <c r="FG120"/>
  <c r="FH120"/>
  <c r="FI120"/>
  <c r="FJ120"/>
  <c r="FK120"/>
  <c r="FL120"/>
  <c r="FM120"/>
  <c r="FN120"/>
  <c r="FO120"/>
  <c r="FP120"/>
  <c r="FQ120"/>
  <c r="FR120"/>
  <c r="FS120"/>
  <c r="FT120"/>
  <c r="FU120"/>
  <c r="FV120"/>
  <c r="FW120"/>
  <c r="FX120"/>
  <c r="FY120"/>
  <c r="FZ120"/>
  <c r="GA120"/>
  <c r="GB120"/>
  <c r="GC120"/>
  <c r="GD120"/>
  <c r="GE120"/>
  <c r="GF120"/>
  <c r="GG120"/>
  <c r="GH120"/>
  <c r="GI120"/>
  <c r="GJ120"/>
  <c r="GK120"/>
  <c r="GL120"/>
  <c r="GM120"/>
  <c r="GN120"/>
  <c r="GO120"/>
  <c r="GP120"/>
  <c r="GQ120"/>
  <c r="GR120"/>
  <c r="GS120"/>
  <c r="GT120"/>
  <c r="GU120"/>
  <c r="GV120"/>
  <c r="GW120"/>
  <c r="GX120"/>
  <c r="C122"/>
  <c r="D122"/>
  <c r="I122"/>
  <c r="K122"/>
  <c r="AC122"/>
  <c r="CQ122" s="1"/>
  <c r="P122" s="1"/>
  <c r="AD122"/>
  <c r="CR122" s="1"/>
  <c r="Q122" s="1"/>
  <c r="AE122"/>
  <c r="AF122"/>
  <c r="CT122" s="1"/>
  <c r="S122" s="1"/>
  <c r="AG122"/>
  <c r="CU122" s="1"/>
  <c r="T122" s="1"/>
  <c r="AH122"/>
  <c r="CV122" s="1"/>
  <c r="U122" s="1"/>
  <c r="AI122"/>
  <c r="AJ122"/>
  <c r="CX122" s="1"/>
  <c r="W122" s="1"/>
  <c r="CS122"/>
  <c r="R122" s="1"/>
  <c r="CW122"/>
  <c r="V122" s="1"/>
  <c r="FR122"/>
  <c r="GL122"/>
  <c r="GO122"/>
  <c r="GP122"/>
  <c r="GV122"/>
  <c r="HC122"/>
  <c r="GX122" s="1"/>
  <c r="I123"/>
  <c r="AC123"/>
  <c r="AE123"/>
  <c r="AD123" s="1"/>
  <c r="AF123"/>
  <c r="CT123" s="1"/>
  <c r="S123" s="1"/>
  <c r="AG123"/>
  <c r="AH123"/>
  <c r="AI123"/>
  <c r="AJ123"/>
  <c r="CX123" s="1"/>
  <c r="W123" s="1"/>
  <c r="CQ123"/>
  <c r="P123" s="1"/>
  <c r="CS123"/>
  <c r="R123" s="1"/>
  <c r="CU123"/>
  <c r="T123" s="1"/>
  <c r="CV123"/>
  <c r="U123" s="1"/>
  <c r="CW123"/>
  <c r="V123" s="1"/>
  <c r="FR123"/>
  <c r="GL123"/>
  <c r="GO123"/>
  <c r="GP123"/>
  <c r="GV123"/>
  <c r="HC123"/>
  <c r="GX123" s="1"/>
  <c r="C124"/>
  <c r="D124"/>
  <c r="I124"/>
  <c r="K124"/>
  <c r="AC124"/>
  <c r="AE124"/>
  <c r="AD124" s="1"/>
  <c r="AF124"/>
  <c r="CT124" s="1"/>
  <c r="S124" s="1"/>
  <c r="AG124"/>
  <c r="AH124"/>
  <c r="AI124"/>
  <c r="AJ124"/>
  <c r="CX124" s="1"/>
  <c r="W124" s="1"/>
  <c r="CQ124"/>
  <c r="P124" s="1"/>
  <c r="CS124"/>
  <c r="R124" s="1"/>
  <c r="CU124"/>
  <c r="T124" s="1"/>
  <c r="CV124"/>
  <c r="U124" s="1"/>
  <c r="CW124"/>
  <c r="V124" s="1"/>
  <c r="FR124"/>
  <c r="GL124"/>
  <c r="GO124"/>
  <c r="GP124"/>
  <c r="GV124"/>
  <c r="HC124"/>
  <c r="GX124" s="1"/>
  <c r="C125"/>
  <c r="D125"/>
  <c r="I125"/>
  <c r="K125"/>
  <c r="AC125"/>
  <c r="AE125"/>
  <c r="AD125" s="1"/>
  <c r="AF125"/>
  <c r="CT125" s="1"/>
  <c r="S125" s="1"/>
  <c r="AG125"/>
  <c r="AH125"/>
  <c r="AI125"/>
  <c r="AJ125"/>
  <c r="CX125" s="1"/>
  <c r="W125" s="1"/>
  <c r="CQ125"/>
  <c r="P125" s="1"/>
  <c r="CS125"/>
  <c r="R125" s="1"/>
  <c r="CU125"/>
  <c r="T125" s="1"/>
  <c r="CV125"/>
  <c r="U125" s="1"/>
  <c r="CW125"/>
  <c r="V125" s="1"/>
  <c r="FR125"/>
  <c r="GL125"/>
  <c r="GO125"/>
  <c r="GP125"/>
  <c r="GV125"/>
  <c r="HC125"/>
  <c r="GX125" s="1"/>
  <c r="C126"/>
  <c r="D126"/>
  <c r="I126"/>
  <c r="K126"/>
  <c r="AC126"/>
  <c r="AE126"/>
  <c r="AD126" s="1"/>
  <c r="AF126"/>
  <c r="CT126" s="1"/>
  <c r="S126" s="1"/>
  <c r="AG126"/>
  <c r="AH126"/>
  <c r="AI126"/>
  <c r="AJ126"/>
  <c r="CX126" s="1"/>
  <c r="W126" s="1"/>
  <c r="CQ126"/>
  <c r="P126" s="1"/>
  <c r="CS126"/>
  <c r="R126" s="1"/>
  <c r="CU126"/>
  <c r="T126" s="1"/>
  <c r="CV126"/>
  <c r="U126" s="1"/>
  <c r="CW126"/>
  <c r="V126" s="1"/>
  <c r="FR126"/>
  <c r="GL126"/>
  <c r="GO126"/>
  <c r="GP126"/>
  <c r="GV126"/>
  <c r="HC126"/>
  <c r="GX126" s="1"/>
  <c r="AC127"/>
  <c r="AE127"/>
  <c r="CS127" s="1"/>
  <c r="AF127"/>
  <c r="AG127"/>
  <c r="AH127"/>
  <c r="AI127"/>
  <c r="CW127" s="1"/>
  <c r="AJ127"/>
  <c r="CQ127"/>
  <c r="CT127"/>
  <c r="CU127"/>
  <c r="CV127"/>
  <c r="CX127"/>
  <c r="FR127"/>
  <c r="GL127"/>
  <c r="GO127"/>
  <c r="GP127"/>
  <c r="GV127"/>
  <c r="HC127" s="1"/>
  <c r="C128"/>
  <c r="D128"/>
  <c r="AC128"/>
  <c r="CQ128" s="1"/>
  <c r="P128" s="1"/>
  <c r="AE128"/>
  <c r="AD128" s="1"/>
  <c r="CR128" s="1"/>
  <c r="Q128" s="1"/>
  <c r="AF128"/>
  <c r="AG128"/>
  <c r="CU128" s="1"/>
  <c r="T128" s="1"/>
  <c r="AH128"/>
  <c r="AI128"/>
  <c r="AJ128"/>
  <c r="CS128"/>
  <c r="R128" s="1"/>
  <c r="CT128"/>
  <c r="S128" s="1"/>
  <c r="CV128"/>
  <c r="U128" s="1"/>
  <c r="CW128"/>
  <c r="V128" s="1"/>
  <c r="CX128"/>
  <c r="W128" s="1"/>
  <c r="FR128"/>
  <c r="GL128"/>
  <c r="GO128"/>
  <c r="GP128"/>
  <c r="GV128"/>
  <c r="HC128"/>
  <c r="GX128" s="1"/>
  <c r="I129"/>
  <c r="AC129"/>
  <c r="AE129"/>
  <c r="AD129" s="1"/>
  <c r="AF129"/>
  <c r="CT129" s="1"/>
  <c r="S129" s="1"/>
  <c r="AG129"/>
  <c r="AH129"/>
  <c r="AI129"/>
  <c r="AJ129"/>
  <c r="CX129" s="1"/>
  <c r="W129" s="1"/>
  <c r="CQ129"/>
  <c r="P129" s="1"/>
  <c r="CS129"/>
  <c r="R129" s="1"/>
  <c r="CU129"/>
  <c r="T129" s="1"/>
  <c r="CV129"/>
  <c r="U129" s="1"/>
  <c r="CW129"/>
  <c r="V129" s="1"/>
  <c r="FR129"/>
  <c r="GL129"/>
  <c r="GO129"/>
  <c r="GP129"/>
  <c r="GV129"/>
  <c r="HC129"/>
  <c r="GX129" s="1"/>
  <c r="C130"/>
  <c r="D130"/>
  <c r="I130"/>
  <c r="K130"/>
  <c r="AC130"/>
  <c r="CQ130" s="1"/>
  <c r="P130" s="1"/>
  <c r="AE130"/>
  <c r="AD130" s="1"/>
  <c r="AF130"/>
  <c r="CT130" s="1"/>
  <c r="S130" s="1"/>
  <c r="AG130"/>
  <c r="CU130" s="1"/>
  <c r="T130" s="1"/>
  <c r="AH130"/>
  <c r="AI130"/>
  <c r="AJ130"/>
  <c r="CX130" s="1"/>
  <c r="W130" s="1"/>
  <c r="CS130"/>
  <c r="R130" s="1"/>
  <c r="CV130"/>
  <c r="U130" s="1"/>
  <c r="CW130"/>
  <c r="V130" s="1"/>
  <c r="FR130"/>
  <c r="GL130"/>
  <c r="GO130"/>
  <c r="GP130"/>
  <c r="GV130"/>
  <c r="HC130"/>
  <c r="GX130" s="1"/>
  <c r="AC131"/>
  <c r="AE131"/>
  <c r="CS131" s="1"/>
  <c r="AF131"/>
  <c r="CT131" s="1"/>
  <c r="AG131"/>
  <c r="AH131"/>
  <c r="AI131"/>
  <c r="CW131" s="1"/>
  <c r="AJ131"/>
  <c r="CX131" s="1"/>
  <c r="CQ131"/>
  <c r="CU131"/>
  <c r="CV131"/>
  <c r="FR131"/>
  <c r="GL131"/>
  <c r="GO131"/>
  <c r="GP131"/>
  <c r="GV131"/>
  <c r="HC131" s="1"/>
  <c r="C132"/>
  <c r="D132"/>
  <c r="I132"/>
  <c r="K132"/>
  <c r="AC132"/>
  <c r="AE132"/>
  <c r="CS132" s="1"/>
  <c r="R132" s="1"/>
  <c r="AF132"/>
  <c r="CT132" s="1"/>
  <c r="S132" s="1"/>
  <c r="AG132"/>
  <c r="AH132"/>
  <c r="AI132"/>
  <c r="CW132" s="1"/>
  <c r="V132" s="1"/>
  <c r="AJ132"/>
  <c r="CX132" s="1"/>
  <c r="W132" s="1"/>
  <c r="CQ132"/>
  <c r="P132" s="1"/>
  <c r="CU132"/>
  <c r="T132" s="1"/>
  <c r="CV132"/>
  <c r="U132" s="1"/>
  <c r="FR132"/>
  <c r="GL132"/>
  <c r="GO132"/>
  <c r="GP132"/>
  <c r="GV132"/>
  <c r="HC132" s="1"/>
  <c r="GX132" s="1"/>
  <c r="AC133"/>
  <c r="AB133" s="1"/>
  <c r="AD133"/>
  <c r="CR133" s="1"/>
  <c r="AE133"/>
  <c r="AF133"/>
  <c r="AG133"/>
  <c r="AH133"/>
  <c r="CV133" s="1"/>
  <c r="AI133"/>
  <c r="AJ133"/>
  <c r="CQ133"/>
  <c r="CS133"/>
  <c r="CT133"/>
  <c r="CU133"/>
  <c r="CW133"/>
  <c r="CX133"/>
  <c r="FR133"/>
  <c r="GL133"/>
  <c r="GO133"/>
  <c r="GP133"/>
  <c r="GV133"/>
  <c r="HC133" s="1"/>
  <c r="C134"/>
  <c r="D134"/>
  <c r="I134"/>
  <c r="K134"/>
  <c r="AC134"/>
  <c r="AB134" s="1"/>
  <c r="AD134"/>
  <c r="CR134" s="1"/>
  <c r="Q134" s="1"/>
  <c r="AE134"/>
  <c r="AF134"/>
  <c r="AG134"/>
  <c r="AH134"/>
  <c r="CV134" s="1"/>
  <c r="U134" s="1"/>
  <c r="AI134"/>
  <c r="AJ134"/>
  <c r="CQ134"/>
  <c r="P134" s="1"/>
  <c r="CP134" s="1"/>
  <c r="O134" s="1"/>
  <c r="CS134"/>
  <c r="R134" s="1"/>
  <c r="CT134"/>
  <c r="S134" s="1"/>
  <c r="CU134"/>
  <c r="T134" s="1"/>
  <c r="CW134"/>
  <c r="V134" s="1"/>
  <c r="CX134"/>
  <c r="W134" s="1"/>
  <c r="FR134"/>
  <c r="GL134"/>
  <c r="GO134"/>
  <c r="GP134"/>
  <c r="GV134"/>
  <c r="HC134" s="1"/>
  <c r="GX134" s="1"/>
  <c r="AC135"/>
  <c r="AB135" s="1"/>
  <c r="AD135"/>
  <c r="CR135" s="1"/>
  <c r="Q135" s="1"/>
  <c r="AE135"/>
  <c r="AF135"/>
  <c r="AG135"/>
  <c r="CU135" s="1"/>
  <c r="T135" s="1"/>
  <c r="AH135"/>
  <c r="CV135" s="1"/>
  <c r="U135" s="1"/>
  <c r="AI135"/>
  <c r="AJ135"/>
  <c r="CS135"/>
  <c r="R135" s="1"/>
  <c r="CT135"/>
  <c r="S135" s="1"/>
  <c r="CW135"/>
  <c r="V135" s="1"/>
  <c r="CX135"/>
  <c r="W135" s="1"/>
  <c r="FR135"/>
  <c r="GL135"/>
  <c r="GO135"/>
  <c r="GP135"/>
  <c r="GV135"/>
  <c r="HC135" s="1"/>
  <c r="GX135" s="1"/>
  <c r="C136"/>
  <c r="D136"/>
  <c r="I136"/>
  <c r="K136"/>
  <c r="AC136"/>
  <c r="AB136" s="1"/>
  <c r="AD136"/>
  <c r="CR136" s="1"/>
  <c r="Q136" s="1"/>
  <c r="AE136"/>
  <c r="AF136"/>
  <c r="AG136"/>
  <c r="CU136" s="1"/>
  <c r="T136" s="1"/>
  <c r="AH136"/>
  <c r="CV136" s="1"/>
  <c r="U136" s="1"/>
  <c r="AI136"/>
  <c r="AJ136"/>
  <c r="CS136"/>
  <c r="R136" s="1"/>
  <c r="CT136"/>
  <c r="S136" s="1"/>
  <c r="CW136"/>
  <c r="V136" s="1"/>
  <c r="CX136"/>
  <c r="W136" s="1"/>
  <c r="FR136"/>
  <c r="GL136"/>
  <c r="GO136"/>
  <c r="GP136"/>
  <c r="GV136"/>
  <c r="HC136" s="1"/>
  <c r="GX136" s="1"/>
  <c r="C137"/>
  <c r="D137"/>
  <c r="I137"/>
  <c r="K137"/>
  <c r="AC137"/>
  <c r="AB137" s="1"/>
  <c r="AD137"/>
  <c r="CR137" s="1"/>
  <c r="Q137" s="1"/>
  <c r="AE137"/>
  <c r="AF137"/>
  <c r="AG137"/>
  <c r="AH137"/>
  <c r="CV137" s="1"/>
  <c r="U137" s="1"/>
  <c r="AI137"/>
  <c r="AJ137"/>
  <c r="CQ137"/>
  <c r="P137" s="1"/>
  <c r="CP137" s="1"/>
  <c r="O137" s="1"/>
  <c r="CS137"/>
  <c r="R137" s="1"/>
  <c r="CT137"/>
  <c r="S137" s="1"/>
  <c r="CU137"/>
  <c r="T137" s="1"/>
  <c r="CW137"/>
  <c r="V137" s="1"/>
  <c r="CX137"/>
  <c r="W137" s="1"/>
  <c r="FR137"/>
  <c r="GL137"/>
  <c r="GO137"/>
  <c r="GP137"/>
  <c r="GV137"/>
  <c r="HC137" s="1"/>
  <c r="GX137" s="1"/>
  <c r="C138"/>
  <c r="D138"/>
  <c r="I138"/>
  <c r="K138"/>
  <c r="AC138"/>
  <c r="AB138" s="1"/>
  <c r="AD138"/>
  <c r="CR138" s="1"/>
  <c r="Q138" s="1"/>
  <c r="AE138"/>
  <c r="AF138"/>
  <c r="AG138"/>
  <c r="AH138"/>
  <c r="CV138" s="1"/>
  <c r="U138" s="1"/>
  <c r="AI138"/>
  <c r="AJ138"/>
  <c r="CQ138"/>
  <c r="P138" s="1"/>
  <c r="CS138"/>
  <c r="R138" s="1"/>
  <c r="CT138"/>
  <c r="S138" s="1"/>
  <c r="CU138"/>
  <c r="T138" s="1"/>
  <c r="CW138"/>
  <c r="V138" s="1"/>
  <c r="CX138"/>
  <c r="W138" s="1"/>
  <c r="FR138"/>
  <c r="GL138"/>
  <c r="GO138"/>
  <c r="GP138"/>
  <c r="GV138"/>
  <c r="HC138" s="1"/>
  <c r="GX138" s="1"/>
  <c r="AC139"/>
  <c r="AB139" s="1"/>
  <c r="AD139"/>
  <c r="CR139" s="1"/>
  <c r="Q139" s="1"/>
  <c r="AE139"/>
  <c r="AF139"/>
  <c r="AG139"/>
  <c r="AH139"/>
  <c r="CV139" s="1"/>
  <c r="U139" s="1"/>
  <c r="AI139"/>
  <c r="AJ139"/>
  <c r="CQ139"/>
  <c r="P139" s="1"/>
  <c r="CS139"/>
  <c r="R139" s="1"/>
  <c r="CT139"/>
  <c r="S139" s="1"/>
  <c r="CU139"/>
  <c r="T139" s="1"/>
  <c r="CW139"/>
  <c r="V139" s="1"/>
  <c r="CX139"/>
  <c r="W139" s="1"/>
  <c r="FR139"/>
  <c r="GL139"/>
  <c r="GN139"/>
  <c r="GO139"/>
  <c r="GV139"/>
  <c r="HC139" s="1"/>
  <c r="GX139" s="1"/>
  <c r="B141"/>
  <c r="B120" s="1"/>
  <c r="C141"/>
  <c r="C120" s="1"/>
  <c r="D141"/>
  <c r="D120" s="1"/>
  <c r="F141"/>
  <c r="F120" s="1"/>
  <c r="G141"/>
  <c r="G120" s="1"/>
  <c r="BX141"/>
  <c r="AO141" s="1"/>
  <c r="BY141"/>
  <c r="BY120" s="1"/>
  <c r="BZ141"/>
  <c r="AQ141" s="1"/>
  <c r="CC141"/>
  <c r="CC120" s="1"/>
  <c r="CG141"/>
  <c r="CG120" s="1"/>
  <c r="CK141"/>
  <c r="CK120" s="1"/>
  <c r="CL141"/>
  <c r="BC141" s="1"/>
  <c r="CM141"/>
  <c r="BD141" s="1"/>
  <c r="B171"/>
  <c r="B22" s="1"/>
  <c r="C171"/>
  <c r="C22" s="1"/>
  <c r="D171"/>
  <c r="D22" s="1"/>
  <c r="F171"/>
  <c r="F22" s="1"/>
  <c r="G171"/>
  <c r="G22" s="1"/>
  <c r="B201"/>
  <c r="B18" s="1"/>
  <c r="C201"/>
  <c r="C18" s="1"/>
  <c r="D201"/>
  <c r="D18" s="1"/>
  <c r="F201"/>
  <c r="F18" s="1"/>
  <c r="G201"/>
  <c r="G18" s="1"/>
  <c r="H48" i="5" l="1"/>
  <c r="G52" s="1"/>
  <c r="O52" s="1"/>
  <c r="K69"/>
  <c r="H113"/>
  <c r="H182"/>
  <c r="H228"/>
  <c r="W231" s="1"/>
  <c r="K258"/>
  <c r="G30"/>
  <c r="J72"/>
  <c r="P72" s="1"/>
  <c r="L189"/>
  <c r="G106"/>
  <c r="O106" s="1"/>
  <c r="J157"/>
  <c r="P157" s="1"/>
  <c r="G231"/>
  <c r="O231" s="1"/>
  <c r="H68"/>
  <c r="K101"/>
  <c r="K114"/>
  <c r="G86"/>
  <c r="O86" s="1"/>
  <c r="G157"/>
  <c r="O157" s="1"/>
  <c r="J175"/>
  <c r="P175" s="1"/>
  <c r="G305"/>
  <c r="O305" s="1"/>
  <c r="J117"/>
  <c r="P117" s="1"/>
  <c r="G164"/>
  <c r="O164" s="1"/>
  <c r="H183"/>
  <c r="J187"/>
  <c r="P187" s="1"/>
  <c r="J203"/>
  <c r="P203" s="1"/>
  <c r="K228"/>
  <c r="J231" s="1"/>
  <c r="P231" s="1"/>
  <c r="K59"/>
  <c r="J62" s="1"/>
  <c r="P62" s="1"/>
  <c r="H199"/>
  <c r="G203" s="1"/>
  <c r="O203" s="1"/>
  <c r="G137"/>
  <c r="O137" s="1"/>
  <c r="J223"/>
  <c r="P223" s="1"/>
  <c r="J261"/>
  <c r="P261" s="1"/>
  <c r="W293"/>
  <c r="L315"/>
  <c r="L311"/>
  <c r="L74"/>
  <c r="J52"/>
  <c r="P52" s="1"/>
  <c r="G72"/>
  <c r="O72" s="1"/>
  <c r="J106"/>
  <c r="P106" s="1"/>
  <c r="G117"/>
  <c r="O117" s="1"/>
  <c r="J127"/>
  <c r="P127" s="1"/>
  <c r="G147"/>
  <c r="O147" s="1"/>
  <c r="J164"/>
  <c r="P164" s="1"/>
  <c r="J240"/>
  <c r="P240" s="1"/>
  <c r="J251"/>
  <c r="P251" s="1"/>
  <c r="G261"/>
  <c r="O261" s="1"/>
  <c r="J271"/>
  <c r="P271" s="1"/>
  <c r="G283"/>
  <c r="O283" s="1"/>
  <c r="G293"/>
  <c r="O293" s="1"/>
  <c r="G62"/>
  <c r="O62" s="1"/>
  <c r="J96"/>
  <c r="P96" s="1"/>
  <c r="J137"/>
  <c r="P137" s="1"/>
  <c r="G187"/>
  <c r="O187" s="1"/>
  <c r="L307"/>
  <c r="G213"/>
  <c r="O213" s="1"/>
  <c r="G223"/>
  <c r="O223" s="1"/>
  <c r="J293"/>
  <c r="P293" s="1"/>
  <c r="G303"/>
  <c r="O303" s="1"/>
  <c r="J86"/>
  <c r="P86" s="1"/>
  <c r="G96"/>
  <c r="O96" s="1"/>
  <c r="G127"/>
  <c r="O127" s="1"/>
  <c r="J147"/>
  <c r="P147" s="1"/>
  <c r="J213"/>
  <c r="P213" s="1"/>
  <c r="G240"/>
  <c r="O240" s="1"/>
  <c r="G271"/>
  <c r="O271" s="1"/>
  <c r="J303"/>
  <c r="P303" s="1"/>
  <c r="W52"/>
  <c r="W86"/>
  <c r="W106"/>
  <c r="R233"/>
  <c r="W251"/>
  <c r="G251"/>
  <c r="O251" s="1"/>
  <c r="W62"/>
  <c r="W175"/>
  <c r="G175"/>
  <c r="O175" s="1"/>
  <c r="R178"/>
  <c r="R196"/>
  <c r="W240"/>
  <c r="W273"/>
  <c r="W72"/>
  <c r="W127"/>
  <c r="W137"/>
  <c r="W147"/>
  <c r="W157"/>
  <c r="W164"/>
  <c r="W261"/>
  <c r="W271"/>
  <c r="W283"/>
  <c r="W303"/>
  <c r="W96"/>
  <c r="W117"/>
  <c r="W187"/>
  <c r="W203"/>
  <c r="W213"/>
  <c r="W223"/>
  <c r="F151" i="1"/>
  <c r="AQ120"/>
  <c r="CZ139"/>
  <c r="Y139" s="1"/>
  <c r="CY139"/>
  <c r="X139" s="1"/>
  <c r="BD120"/>
  <c r="F166"/>
  <c r="CZ138"/>
  <c r="Y138" s="1"/>
  <c r="CY138"/>
  <c r="X138" s="1"/>
  <c r="CZ134"/>
  <c r="Y134" s="1"/>
  <c r="CY134"/>
  <c r="X134" s="1"/>
  <c r="AB129"/>
  <c r="CR129"/>
  <c r="Q129" s="1"/>
  <c r="CZ128"/>
  <c r="Y128" s="1"/>
  <c r="CY128"/>
  <c r="X128" s="1"/>
  <c r="AB126"/>
  <c r="CR126"/>
  <c r="Q126" s="1"/>
  <c r="AB124"/>
  <c r="CR124"/>
  <c r="Q124" s="1"/>
  <c r="CP122"/>
  <c r="O122" s="1"/>
  <c r="AB84"/>
  <c r="CR84"/>
  <c r="Q84" s="1"/>
  <c r="CZ81"/>
  <c r="Y81" s="1"/>
  <c r="CY81"/>
  <c r="X81" s="1"/>
  <c r="CP128"/>
  <c r="O128" s="1"/>
  <c r="CP81"/>
  <c r="O81" s="1"/>
  <c r="CY79"/>
  <c r="X79" s="1"/>
  <c r="AO120"/>
  <c r="F145"/>
  <c r="CZ137"/>
  <c r="Y137" s="1"/>
  <c r="CY137"/>
  <c r="X137" s="1"/>
  <c r="CY129"/>
  <c r="X129" s="1"/>
  <c r="CZ129"/>
  <c r="Y129" s="1"/>
  <c r="CY126"/>
  <c r="X126" s="1"/>
  <c r="CZ126"/>
  <c r="Y126" s="1"/>
  <c r="CY124"/>
  <c r="X124" s="1"/>
  <c r="CZ124"/>
  <c r="Y124" s="1"/>
  <c r="CZ86"/>
  <c r="Y86" s="1"/>
  <c r="CY86"/>
  <c r="X86" s="1"/>
  <c r="CY84"/>
  <c r="X84" s="1"/>
  <c r="CZ84"/>
  <c r="Y84" s="1"/>
  <c r="CP139"/>
  <c r="O139" s="1"/>
  <c r="CZ135"/>
  <c r="Y135" s="1"/>
  <c r="CY135"/>
  <c r="X135" s="1"/>
  <c r="GN134"/>
  <c r="GM134"/>
  <c r="CZ132"/>
  <c r="Y132" s="1"/>
  <c r="CY132"/>
  <c r="X132" s="1"/>
  <c r="AB130"/>
  <c r="CR130"/>
  <c r="Q130" s="1"/>
  <c r="CP130" s="1"/>
  <c r="O130" s="1"/>
  <c r="AB125"/>
  <c r="CR125"/>
  <c r="Q125" s="1"/>
  <c r="CP125" s="1"/>
  <c r="O125" s="1"/>
  <c r="AB123"/>
  <c r="CR123"/>
  <c r="Q123" s="1"/>
  <c r="CP123" s="1"/>
  <c r="O123" s="1"/>
  <c r="AB83"/>
  <c r="CR83"/>
  <c r="Q83" s="1"/>
  <c r="CP83" s="1"/>
  <c r="O83" s="1"/>
  <c r="CZ82"/>
  <c r="Y82" s="1"/>
  <c r="CY82"/>
  <c r="X82" s="1"/>
  <c r="GN79"/>
  <c r="GM79"/>
  <c r="CP138"/>
  <c r="O138" s="1"/>
  <c r="CP129"/>
  <c r="O129" s="1"/>
  <c r="CP126"/>
  <c r="O126" s="1"/>
  <c r="CP124"/>
  <c r="O124" s="1"/>
  <c r="CP84"/>
  <c r="O84" s="1"/>
  <c r="CP82"/>
  <c r="O82" s="1"/>
  <c r="BC120"/>
  <c r="F157"/>
  <c r="GN137"/>
  <c r="GM137"/>
  <c r="CZ136"/>
  <c r="Y136" s="1"/>
  <c r="CY136"/>
  <c r="X136" s="1"/>
  <c r="CY130"/>
  <c r="X130" s="1"/>
  <c r="CZ130"/>
  <c r="Y130" s="1"/>
  <c r="CY125"/>
  <c r="X125" s="1"/>
  <c r="CZ125"/>
  <c r="Y125" s="1"/>
  <c r="CY123"/>
  <c r="X123" s="1"/>
  <c r="CZ123"/>
  <c r="Y123" s="1"/>
  <c r="CZ122"/>
  <c r="Y122" s="1"/>
  <c r="CY122"/>
  <c r="X122" s="1"/>
  <c r="GN86"/>
  <c r="GM86"/>
  <c r="CY83"/>
  <c r="X83" s="1"/>
  <c r="CZ83"/>
  <c r="Y83" s="1"/>
  <c r="CP80"/>
  <c r="O80" s="1"/>
  <c r="CX150" i="3"/>
  <c r="CX154"/>
  <c r="CX158"/>
  <c r="CX162"/>
  <c r="CX151"/>
  <c r="CX155"/>
  <c r="CX159"/>
  <c r="CX163"/>
  <c r="CX148"/>
  <c r="CX152"/>
  <c r="CX156"/>
  <c r="CX160"/>
  <c r="CX164"/>
  <c r="CX149"/>
  <c r="CX153"/>
  <c r="CX157"/>
  <c r="CX161"/>
  <c r="CX138"/>
  <c r="CX137"/>
  <c r="CX126"/>
  <c r="CX130"/>
  <c r="CX134"/>
  <c r="CX127"/>
  <c r="CX131"/>
  <c r="CX135"/>
  <c r="CX128"/>
  <c r="CX132"/>
  <c r="CX136"/>
  <c r="CX125"/>
  <c r="CX129"/>
  <c r="CX133"/>
  <c r="CX122"/>
  <c r="CX123"/>
  <c r="CX120"/>
  <c r="CX124"/>
  <c r="CX121"/>
  <c r="CX106"/>
  <c r="CX110"/>
  <c r="CX114"/>
  <c r="CX107"/>
  <c r="CX111"/>
  <c r="CX115"/>
  <c r="CX108"/>
  <c r="CX112"/>
  <c r="CX109"/>
  <c r="CX113"/>
  <c r="AB78" i="1"/>
  <c r="CR78"/>
  <c r="Q78" s="1"/>
  <c r="AB77"/>
  <c r="CR77"/>
  <c r="Q77" s="1"/>
  <c r="AB72"/>
  <c r="CR72"/>
  <c r="Q72" s="1"/>
  <c r="AX26"/>
  <c r="F42"/>
  <c r="AP26"/>
  <c r="F44"/>
  <c r="AB33"/>
  <c r="CR33"/>
  <c r="CR31"/>
  <c r="Q31" s="1"/>
  <c r="AB31"/>
  <c r="CZ30"/>
  <c r="Y30" s="1"/>
  <c r="CY30"/>
  <c r="X30" s="1"/>
  <c r="CZ28"/>
  <c r="Y28" s="1"/>
  <c r="CY28"/>
  <c r="X28" s="1"/>
  <c r="BB141"/>
  <c r="AX141"/>
  <c r="AT141"/>
  <c r="AP141"/>
  <c r="AD132"/>
  <c r="AD131"/>
  <c r="AB128"/>
  <c r="AD127"/>
  <c r="AB122"/>
  <c r="CL120"/>
  <c r="BZ120"/>
  <c r="BB88"/>
  <c r="AX88"/>
  <c r="AT88"/>
  <c r="AP88"/>
  <c r="AD85"/>
  <c r="CR85" s="1"/>
  <c r="AB82"/>
  <c r="AB81"/>
  <c r="CS80"/>
  <c r="R80" s="1"/>
  <c r="CY80" s="1"/>
  <c r="X80" s="1"/>
  <c r="AB80"/>
  <c r="CP74"/>
  <c r="O74" s="1"/>
  <c r="CX166" i="3"/>
  <c r="CX167"/>
  <c r="CX168"/>
  <c r="CX165"/>
  <c r="CX169"/>
  <c r="CZ77" i="1"/>
  <c r="Y77" s="1"/>
  <c r="CY77"/>
  <c r="X77" s="1"/>
  <c r="CY74"/>
  <c r="X74" s="1"/>
  <c r="CZ74"/>
  <c r="Y74" s="1"/>
  <c r="CZ72"/>
  <c r="Y72" s="1"/>
  <c r="CY72"/>
  <c r="X72" s="1"/>
  <c r="BB26"/>
  <c r="F48"/>
  <c r="AQ26"/>
  <c r="F45"/>
  <c r="CZ31"/>
  <c r="Y31" s="1"/>
  <c r="CY31"/>
  <c r="X31" s="1"/>
  <c r="CQ136"/>
  <c r="P136" s="1"/>
  <c r="CP136" s="1"/>
  <c r="O136" s="1"/>
  <c r="CQ135"/>
  <c r="P135" s="1"/>
  <c r="CP135" s="1"/>
  <c r="O135" s="1"/>
  <c r="CM120"/>
  <c r="BC88"/>
  <c r="AU88"/>
  <c r="AQ88"/>
  <c r="CX198" i="3"/>
  <c r="CX202"/>
  <c r="CX206"/>
  <c r="CX210"/>
  <c r="CX214"/>
  <c r="CX195"/>
  <c r="CX199"/>
  <c r="CX203"/>
  <c r="CX207"/>
  <c r="CX211"/>
  <c r="CX215"/>
  <c r="CX196"/>
  <c r="CX200"/>
  <c r="CX204"/>
  <c r="CX208"/>
  <c r="CX212"/>
  <c r="CX216"/>
  <c r="CX197"/>
  <c r="CX201"/>
  <c r="CX205"/>
  <c r="CX209"/>
  <c r="CX213"/>
  <c r="CX217"/>
  <c r="CX186"/>
  <c r="CX190"/>
  <c r="CX194"/>
  <c r="CX187"/>
  <c r="CX191"/>
  <c r="CX184"/>
  <c r="CX188"/>
  <c r="CX192"/>
  <c r="CX185"/>
  <c r="CX189"/>
  <c r="CX193"/>
  <c r="CX178"/>
  <c r="CX182"/>
  <c r="CX175"/>
  <c r="CX179"/>
  <c r="CX183"/>
  <c r="CX176"/>
  <c r="CX180"/>
  <c r="CX177"/>
  <c r="CX181"/>
  <c r="CX170"/>
  <c r="CX174"/>
  <c r="CX171"/>
  <c r="CX172"/>
  <c r="CX173"/>
  <c r="CX82"/>
  <c r="CX83"/>
  <c r="CX84"/>
  <c r="CX81"/>
  <c r="CX85"/>
  <c r="AB76" i="1"/>
  <c r="CR76"/>
  <c r="Q76" s="1"/>
  <c r="CP76" s="1"/>
  <c r="O76" s="1"/>
  <c r="CY75"/>
  <c r="X75" s="1"/>
  <c r="CZ75"/>
  <c r="Y75" s="1"/>
  <c r="CY73"/>
  <c r="X73" s="1"/>
  <c r="BC26"/>
  <c r="F51"/>
  <c r="AT26"/>
  <c r="F53"/>
  <c r="CR32"/>
  <c r="Q32" s="1"/>
  <c r="CP32" s="1"/>
  <c r="O32" s="1"/>
  <c r="AB32"/>
  <c r="CZ29"/>
  <c r="Y29" s="1"/>
  <c r="CY29"/>
  <c r="X29" s="1"/>
  <c r="CP28"/>
  <c r="O28" s="1"/>
  <c r="CI141"/>
  <c r="I131"/>
  <c r="T131" s="1"/>
  <c r="I127"/>
  <c r="P127" s="1"/>
  <c r="BX120"/>
  <c r="CI88"/>
  <c r="BD88"/>
  <c r="I85"/>
  <c r="R85" s="1"/>
  <c r="CP78"/>
  <c r="O78" s="1"/>
  <c r="CP75"/>
  <c r="O75" s="1"/>
  <c r="AB73"/>
  <c r="CP72"/>
  <c r="O72" s="1"/>
  <c r="CP70"/>
  <c r="O70" s="1"/>
  <c r="AB69"/>
  <c r="CP31"/>
  <c r="O31" s="1"/>
  <c r="AB29"/>
  <c r="CX118" i="3"/>
  <c r="CX119"/>
  <c r="CX116"/>
  <c r="CX117"/>
  <c r="CX98"/>
  <c r="CX102"/>
  <c r="CX99"/>
  <c r="CX103"/>
  <c r="CX100"/>
  <c r="CX104"/>
  <c r="CX101"/>
  <c r="CX105"/>
  <c r="CX86"/>
  <c r="CX90"/>
  <c r="CX94"/>
  <c r="CX87"/>
  <c r="CX91"/>
  <c r="CX95"/>
  <c r="CX88"/>
  <c r="CX92"/>
  <c r="CX96"/>
  <c r="CX89"/>
  <c r="CX93"/>
  <c r="CZ76" i="1"/>
  <c r="Y76" s="1"/>
  <c r="CY76"/>
  <c r="X76" s="1"/>
  <c r="CY71"/>
  <c r="X71" s="1"/>
  <c r="GN71" s="1"/>
  <c r="CZ71"/>
  <c r="Y71" s="1"/>
  <c r="CZ70"/>
  <c r="Y70" s="1"/>
  <c r="AU26"/>
  <c r="F54"/>
  <c r="F39"/>
  <c r="AO26"/>
  <c r="CZ32"/>
  <c r="Y32" s="1"/>
  <c r="CY32"/>
  <c r="X32" s="1"/>
  <c r="I133"/>
  <c r="Q133" s="1"/>
  <c r="AO88"/>
  <c r="CZ78"/>
  <c r="Y78" s="1"/>
  <c r="CP77"/>
  <c r="O77" s="1"/>
  <c r="T33"/>
  <c r="AG35" s="1"/>
  <c r="CS73"/>
  <c r="R73" s="1"/>
  <c r="CZ73" s="1"/>
  <c r="Y73" s="1"/>
  <c r="CS70"/>
  <c r="R70" s="1"/>
  <c r="CY70" s="1"/>
  <c r="X70" s="1"/>
  <c r="CS69"/>
  <c r="R69" s="1"/>
  <c r="CY69" s="1"/>
  <c r="X69" s="1"/>
  <c r="CI35"/>
  <c r="BD35"/>
  <c r="BX26"/>
  <c r="CX77" i="3"/>
  <c r="CX73"/>
  <c r="CX69"/>
  <c r="CX65"/>
  <c r="CX61"/>
  <c r="CX57"/>
  <c r="CX53"/>
  <c r="CX37"/>
  <c r="CX33"/>
  <c r="CX29"/>
  <c r="CX25"/>
  <c r="CX21"/>
  <c r="CX17"/>
  <c r="CX9"/>
  <c r="CX5"/>
  <c r="CX1"/>
  <c r="AB75" i="1"/>
  <c r="AB74"/>
  <c r="CS33"/>
  <c r="I33"/>
  <c r="S33" s="1"/>
  <c r="CQ30"/>
  <c r="P30" s="1"/>
  <c r="CP30" s="1"/>
  <c r="O30" s="1"/>
  <c r="CQ29"/>
  <c r="P29" s="1"/>
  <c r="CP29" s="1"/>
  <c r="O29" s="1"/>
  <c r="CK26"/>
  <c r="CG26"/>
  <c r="CC26"/>
  <c r="BY26"/>
  <c r="CX80" i="3"/>
  <c r="CX76"/>
  <c r="CX72"/>
  <c r="CX68"/>
  <c r="CX64"/>
  <c r="CX60"/>
  <c r="CX56"/>
  <c r="CX52"/>
  <c r="CX40"/>
  <c r="CX36"/>
  <c r="CX32"/>
  <c r="CX28"/>
  <c r="CX24"/>
  <c r="CX20"/>
  <c r="CX8"/>
  <c r="CX4"/>
  <c r="CL26" i="1"/>
  <c r="CD26"/>
  <c r="BZ26"/>
  <c r="CX79" i="3"/>
  <c r="CX75"/>
  <c r="CX71"/>
  <c r="CX67"/>
  <c r="CX63"/>
  <c r="CX59"/>
  <c r="CX55"/>
  <c r="CX51"/>
  <c r="CX39"/>
  <c r="CX35"/>
  <c r="CX31"/>
  <c r="CX27"/>
  <c r="CX23"/>
  <c r="CX19"/>
  <c r="CX11"/>
  <c r="CX7"/>
  <c r="CX3"/>
  <c r="CX78"/>
  <c r="CX66"/>
  <c r="CX62"/>
  <c r="CX58"/>
  <c r="CX38"/>
  <c r="CX34"/>
  <c r="CX30"/>
  <c r="CX26"/>
  <c r="CX22"/>
  <c r="G74" i="5" l="1"/>
  <c r="G315"/>
  <c r="G32"/>
  <c r="G311"/>
  <c r="J307"/>
  <c r="G27"/>
  <c r="G26"/>
  <c r="J315"/>
  <c r="J311"/>
  <c r="J74"/>
  <c r="G189"/>
  <c r="J189"/>
  <c r="G307"/>
  <c r="AG26" i="1"/>
  <c r="T35"/>
  <c r="GM123"/>
  <c r="GN123"/>
  <c r="GM130"/>
  <c r="GN130"/>
  <c r="GM73"/>
  <c r="GN32"/>
  <c r="GM32"/>
  <c r="GN76"/>
  <c r="GM76"/>
  <c r="GM83"/>
  <c r="GN83"/>
  <c r="GM125"/>
  <c r="GN125"/>
  <c r="AF35"/>
  <c r="GN29"/>
  <c r="GM29"/>
  <c r="GM75"/>
  <c r="GN75"/>
  <c r="CI67"/>
  <c r="AZ88"/>
  <c r="AZ141"/>
  <c r="CI120"/>
  <c r="AQ67"/>
  <c r="F98"/>
  <c r="AQ171"/>
  <c r="GN135"/>
  <c r="GM135"/>
  <c r="AP67"/>
  <c r="AP171"/>
  <c r="F97"/>
  <c r="F159"/>
  <c r="AT120"/>
  <c r="GM84"/>
  <c r="GN84"/>
  <c r="GM124"/>
  <c r="GN124"/>
  <c r="CZ69"/>
  <c r="Y69" s="1"/>
  <c r="U33"/>
  <c r="AH35" s="1"/>
  <c r="GX131"/>
  <c r="T127"/>
  <c r="U131"/>
  <c r="GX127"/>
  <c r="GX133"/>
  <c r="W85"/>
  <c r="AJ88" s="1"/>
  <c r="P131"/>
  <c r="W133"/>
  <c r="CI26"/>
  <c r="AZ35"/>
  <c r="BD26"/>
  <c r="F60"/>
  <c r="BD171"/>
  <c r="AO67"/>
  <c r="AO171"/>
  <c r="F92"/>
  <c r="BD67"/>
  <c r="F113"/>
  <c r="BB67"/>
  <c r="BB171"/>
  <c r="F101"/>
  <c r="AB127"/>
  <c r="CR127"/>
  <c r="Q127" s="1"/>
  <c r="CP127" s="1"/>
  <c r="O127" s="1"/>
  <c r="F150"/>
  <c r="AP120"/>
  <c r="GN82"/>
  <c r="GM82"/>
  <c r="GN128"/>
  <c r="GM128"/>
  <c r="R33"/>
  <c r="AE35" s="1"/>
  <c r="P33"/>
  <c r="GX33"/>
  <c r="CJ35" s="1"/>
  <c r="GM71"/>
  <c r="GN73"/>
  <c r="V33"/>
  <c r="AI35" s="1"/>
  <c r="Q85"/>
  <c r="AD88" s="1"/>
  <c r="W131"/>
  <c r="V133"/>
  <c r="T85"/>
  <c r="AG88" s="1"/>
  <c r="V127"/>
  <c r="AI141" s="1"/>
  <c r="V131"/>
  <c r="CZ80"/>
  <c r="Y80" s="1"/>
  <c r="GX85"/>
  <c r="CJ88" s="1"/>
  <c r="S127"/>
  <c r="S133"/>
  <c r="P85"/>
  <c r="R133"/>
  <c r="GN31"/>
  <c r="GM31"/>
  <c r="GN72"/>
  <c r="GM72"/>
  <c r="GN28"/>
  <c r="GM28"/>
  <c r="BC67"/>
  <c r="F104"/>
  <c r="BC171"/>
  <c r="AX67"/>
  <c r="AX171"/>
  <c r="F95"/>
  <c r="AB132"/>
  <c r="CR132"/>
  <c r="Q132" s="1"/>
  <c r="CP132" s="1"/>
  <c r="O132" s="1"/>
  <c r="F154"/>
  <c r="BB120"/>
  <c r="GN138"/>
  <c r="GM138"/>
  <c r="GN122"/>
  <c r="GM122"/>
  <c r="AE88"/>
  <c r="W33"/>
  <c r="AJ35" s="1"/>
  <c r="Q33"/>
  <c r="AD35" s="1"/>
  <c r="U85"/>
  <c r="AH88" s="1"/>
  <c r="S131"/>
  <c r="P133"/>
  <c r="CP133" s="1"/>
  <c r="O133" s="1"/>
  <c r="V85"/>
  <c r="AI88" s="1"/>
  <c r="R127"/>
  <c r="R131"/>
  <c r="S85"/>
  <c r="W127"/>
  <c r="AJ141" s="1"/>
  <c r="U133"/>
  <c r="GN30"/>
  <c r="GM30"/>
  <c r="GN77"/>
  <c r="GM77"/>
  <c r="GN70"/>
  <c r="GM70"/>
  <c r="GM78"/>
  <c r="GN78"/>
  <c r="AU67"/>
  <c r="F107"/>
  <c r="GN136"/>
  <c r="GM136"/>
  <c r="GM74"/>
  <c r="GN74"/>
  <c r="AT67"/>
  <c r="F106"/>
  <c r="AT171"/>
  <c r="AB131"/>
  <c r="CR131"/>
  <c r="Q131" s="1"/>
  <c r="AX120"/>
  <c r="F148"/>
  <c r="GN80"/>
  <c r="GM80"/>
  <c r="GM126"/>
  <c r="GN126"/>
  <c r="GM129"/>
  <c r="GN129"/>
  <c r="GM139"/>
  <c r="GP139"/>
  <c r="CD141" s="1"/>
  <c r="GN81"/>
  <c r="GM81"/>
  <c r="AC35"/>
  <c r="U127"/>
  <c r="AH141" s="1"/>
  <c r="T133"/>
  <c r="AB85"/>
  <c r="AD67" l="1"/>
  <c r="Q88"/>
  <c r="AU141"/>
  <c r="CD120"/>
  <c r="AJ120"/>
  <c r="W141"/>
  <c r="AI67"/>
  <c r="V88"/>
  <c r="AD26"/>
  <c r="Q35"/>
  <c r="CZ127"/>
  <c r="Y127" s="1"/>
  <c r="CY127"/>
  <c r="X127" s="1"/>
  <c r="GM127" s="1"/>
  <c r="AF141"/>
  <c r="AI120"/>
  <c r="V141"/>
  <c r="AE26"/>
  <c r="R35"/>
  <c r="F46"/>
  <c r="AZ26"/>
  <c r="AZ171"/>
  <c r="AJ67"/>
  <c r="W88"/>
  <c r="AZ67"/>
  <c r="F99"/>
  <c r="U141"/>
  <c r="AH120"/>
  <c r="AH67"/>
  <c r="U88"/>
  <c r="BC22"/>
  <c r="F187"/>
  <c r="BC201"/>
  <c r="CZ133"/>
  <c r="Y133" s="1"/>
  <c r="CY133"/>
  <c r="X133" s="1"/>
  <c r="AI26"/>
  <c r="V35"/>
  <c r="AO22"/>
  <c r="F175"/>
  <c r="AO201"/>
  <c r="AP22"/>
  <c r="F180"/>
  <c r="G16" i="2" s="1"/>
  <c r="G18" s="1"/>
  <c r="AP201" i="1"/>
  <c r="AQ22"/>
  <c r="AQ201"/>
  <c r="F181"/>
  <c r="AZ120"/>
  <c r="F152"/>
  <c r="T26"/>
  <c r="F56"/>
  <c r="AE141"/>
  <c r="CP33"/>
  <c r="O33" s="1"/>
  <c r="CP131"/>
  <c r="O131" s="1"/>
  <c r="AD141"/>
  <c r="GN69"/>
  <c r="CY33"/>
  <c r="X33" s="1"/>
  <c r="AK35" s="1"/>
  <c r="AT22"/>
  <c r="F189"/>
  <c r="F16" i="2" s="1"/>
  <c r="F18" s="1"/>
  <c r="AT201" i="1"/>
  <c r="CZ131"/>
  <c r="Y131" s="1"/>
  <c r="CY131"/>
  <c r="X131" s="1"/>
  <c r="AE67"/>
  <c r="R88"/>
  <c r="GN132"/>
  <c r="GM132"/>
  <c r="CP85"/>
  <c r="O85" s="1"/>
  <c r="AC88"/>
  <c r="BA35"/>
  <c r="CJ26"/>
  <c r="BB22"/>
  <c r="F184"/>
  <c r="BB201"/>
  <c r="AH26"/>
  <c r="U35"/>
  <c r="CJ141"/>
  <c r="GM69"/>
  <c r="CZ33"/>
  <c r="Y33" s="1"/>
  <c r="AL35" s="1"/>
  <c r="CH35"/>
  <c r="AC26"/>
  <c r="CF35"/>
  <c r="P35"/>
  <c r="CE35"/>
  <c r="CZ85"/>
  <c r="Y85" s="1"/>
  <c r="AL88" s="1"/>
  <c r="CY85"/>
  <c r="X85" s="1"/>
  <c r="AK88" s="1"/>
  <c r="AF88"/>
  <c r="GN133"/>
  <c r="GM133"/>
  <c r="W35"/>
  <c r="AJ26"/>
  <c r="AX22"/>
  <c r="F178"/>
  <c r="AX201"/>
  <c r="CJ67"/>
  <c r="BA88"/>
  <c r="AG67"/>
  <c r="T88"/>
  <c r="BD22"/>
  <c r="BD201"/>
  <c r="F196"/>
  <c r="S35"/>
  <c r="AF26"/>
  <c r="AG141"/>
  <c r="AC141"/>
  <c r="AL67" l="1"/>
  <c r="Y88"/>
  <c r="CA141"/>
  <c r="BA141"/>
  <c r="CJ120"/>
  <c r="BB18"/>
  <c r="F214"/>
  <c r="F55"/>
  <c r="BA26"/>
  <c r="AK26"/>
  <c r="X35"/>
  <c r="GN131"/>
  <c r="GM131"/>
  <c r="AP18"/>
  <c r="F210"/>
  <c r="I29" i="5" s="1"/>
  <c r="U120" i="1"/>
  <c r="F163"/>
  <c r="W67"/>
  <c r="F112"/>
  <c r="F47"/>
  <c r="Q26"/>
  <c r="W120"/>
  <c r="F165"/>
  <c r="Q67"/>
  <c r="F100"/>
  <c r="GN127"/>
  <c r="CB141" s="1"/>
  <c r="AE120"/>
  <c r="R141"/>
  <c r="AO18"/>
  <c r="F205"/>
  <c r="V120"/>
  <c r="F164"/>
  <c r="AU120"/>
  <c r="F160"/>
  <c r="AU171"/>
  <c r="AL141"/>
  <c r="Q141"/>
  <c r="AD120"/>
  <c r="AF67"/>
  <c r="S88"/>
  <c r="F38"/>
  <c r="P26"/>
  <c r="AL26"/>
  <c r="Y35"/>
  <c r="U26"/>
  <c r="F57"/>
  <c r="U171"/>
  <c r="GN85"/>
  <c r="GM85"/>
  <c r="AB88"/>
  <c r="AQ18"/>
  <c r="F211"/>
  <c r="V26"/>
  <c r="F58"/>
  <c r="V171"/>
  <c r="BC18"/>
  <c r="F217"/>
  <c r="AZ22"/>
  <c r="F182"/>
  <c r="AZ201"/>
  <c r="V67"/>
  <c r="F111"/>
  <c r="AK141"/>
  <c r="AB141"/>
  <c r="AG120"/>
  <c r="T141"/>
  <c r="AC120"/>
  <c r="CF141"/>
  <c r="P141"/>
  <c r="CE141"/>
  <c r="CH141"/>
  <c r="S26"/>
  <c r="F50"/>
  <c r="T67"/>
  <c r="F109"/>
  <c r="AX18"/>
  <c r="F208"/>
  <c r="W26"/>
  <c r="F59"/>
  <c r="W171"/>
  <c r="AK67"/>
  <c r="X88"/>
  <c r="AW35"/>
  <c r="CF26"/>
  <c r="BD18"/>
  <c r="F226"/>
  <c r="BA67"/>
  <c r="F108"/>
  <c r="CE26"/>
  <c r="AV35"/>
  <c r="AY35"/>
  <c r="CH26"/>
  <c r="AC67"/>
  <c r="CF88"/>
  <c r="P88"/>
  <c r="P171" s="1"/>
  <c r="CE88"/>
  <c r="CH88"/>
  <c r="R67"/>
  <c r="F102"/>
  <c r="AT18"/>
  <c r="F219"/>
  <c r="I28" i="5" s="1"/>
  <c r="GM33" i="1"/>
  <c r="CA35" s="1"/>
  <c r="GN33"/>
  <c r="CB35" s="1"/>
  <c r="AB35"/>
  <c r="U67"/>
  <c r="F110"/>
  <c r="R26"/>
  <c r="F49"/>
  <c r="R171"/>
  <c r="AF120"/>
  <c r="S141"/>
  <c r="CA88"/>
  <c r="CB88"/>
  <c r="P22" l="1"/>
  <c r="F174"/>
  <c r="P201"/>
  <c r="S120"/>
  <c r="F156"/>
  <c r="O35"/>
  <c r="AB26"/>
  <c r="CE67"/>
  <c r="AV88"/>
  <c r="W22"/>
  <c r="W201"/>
  <c r="F195"/>
  <c r="P120"/>
  <c r="F144"/>
  <c r="AS141"/>
  <c r="CB120"/>
  <c r="F61"/>
  <c r="X26"/>
  <c r="BA120"/>
  <c r="F161"/>
  <c r="CB67"/>
  <c r="AS88"/>
  <c r="R22"/>
  <c r="F185"/>
  <c r="R201"/>
  <c r="CH67"/>
  <c r="AY88"/>
  <c r="AV141"/>
  <c r="CE120"/>
  <c r="T120"/>
  <c r="F162"/>
  <c r="AB67"/>
  <c r="O88"/>
  <c r="AU22"/>
  <c r="F190"/>
  <c r="AU201"/>
  <c r="Y67"/>
  <c r="F115"/>
  <c r="S171"/>
  <c r="CA67"/>
  <c r="AR88"/>
  <c r="CA26"/>
  <c r="AR35"/>
  <c r="CF67"/>
  <c r="AW88"/>
  <c r="AV26"/>
  <c r="F40"/>
  <c r="AV171"/>
  <c r="X67"/>
  <c r="F114"/>
  <c r="AY141"/>
  <c r="CH120"/>
  <c r="AK120"/>
  <c r="X141"/>
  <c r="V22"/>
  <c r="F194"/>
  <c r="V201"/>
  <c r="U22"/>
  <c r="F193"/>
  <c r="U201"/>
  <c r="S67"/>
  <c r="F103"/>
  <c r="Y141"/>
  <c r="AL120"/>
  <c r="F155"/>
  <c r="R120"/>
  <c r="BA171"/>
  <c r="T171"/>
  <c r="AS35"/>
  <c r="CB26"/>
  <c r="P67"/>
  <c r="F91"/>
  <c r="AY26"/>
  <c r="F43"/>
  <c r="AY171"/>
  <c r="AW26"/>
  <c r="F41"/>
  <c r="AW141"/>
  <c r="AW171" s="1"/>
  <c r="CF120"/>
  <c r="AB120"/>
  <c r="O141"/>
  <c r="AZ18"/>
  <c r="F212"/>
  <c r="F62"/>
  <c r="Y26"/>
  <c r="Y171"/>
  <c r="Q120"/>
  <c r="F153"/>
  <c r="AR141"/>
  <c r="CA120"/>
  <c r="Q171"/>
  <c r="AW22" l="1"/>
  <c r="F177"/>
  <c r="AW201"/>
  <c r="T22"/>
  <c r="T201"/>
  <c r="F192"/>
  <c r="U18"/>
  <c r="F223"/>
  <c r="AV22"/>
  <c r="F176"/>
  <c r="AV201"/>
  <c r="AU18"/>
  <c r="F220"/>
  <c r="AV120"/>
  <c r="F146"/>
  <c r="AV67"/>
  <c r="F93"/>
  <c r="AS26"/>
  <c r="F52"/>
  <c r="AS171"/>
  <c r="V18"/>
  <c r="F224"/>
  <c r="AW67"/>
  <c r="F94"/>
  <c r="AR67"/>
  <c r="F116"/>
  <c r="O67"/>
  <c r="F90"/>
  <c r="R18"/>
  <c r="F215"/>
  <c r="O26"/>
  <c r="F37"/>
  <c r="O171"/>
  <c r="AR120"/>
  <c r="F169"/>
  <c r="F143"/>
  <c r="O120"/>
  <c r="F167"/>
  <c r="X120"/>
  <c r="AS67"/>
  <c r="F105"/>
  <c r="AS120"/>
  <c r="F158"/>
  <c r="W18"/>
  <c r="F225"/>
  <c r="P18"/>
  <c r="F204"/>
  <c r="X171"/>
  <c r="Q22"/>
  <c r="F183"/>
  <c r="Q201"/>
  <c r="Y22"/>
  <c r="F198"/>
  <c r="Y201"/>
  <c r="AW120"/>
  <c r="F147"/>
  <c r="AY22"/>
  <c r="F179"/>
  <c r="AY201"/>
  <c r="BA22"/>
  <c r="F191"/>
  <c r="H16" i="2" s="1"/>
  <c r="H18" s="1"/>
  <c r="BA201" i="1"/>
  <c r="Y120"/>
  <c r="F168"/>
  <c r="AY120"/>
  <c r="F149"/>
  <c r="F63"/>
  <c r="AR26"/>
  <c r="AR171"/>
  <c r="S22"/>
  <c r="F186"/>
  <c r="J16" i="2" s="1"/>
  <c r="J18" s="1"/>
  <c r="S201" i="1"/>
  <c r="AY67"/>
  <c r="F96"/>
  <c r="I30" i="5" l="1"/>
  <c r="I31"/>
  <c r="G31" s="1"/>
  <c r="AR22" i="1"/>
  <c r="F199"/>
  <c r="AR201"/>
  <c r="O22"/>
  <c r="F173"/>
  <c r="O201"/>
  <c r="T18"/>
  <c r="F222"/>
  <c r="BA18"/>
  <c r="F221"/>
  <c r="Y18"/>
  <c r="F228"/>
  <c r="AY18"/>
  <c r="F209"/>
  <c r="Q18"/>
  <c r="F213"/>
  <c r="AV18"/>
  <c r="F206"/>
  <c r="AW18"/>
  <c r="F207"/>
  <c r="S18"/>
  <c r="F216"/>
  <c r="I32" i="5" s="1"/>
  <c r="X22" i="1"/>
  <c r="X201"/>
  <c r="F197"/>
  <c r="AS22"/>
  <c r="AS201"/>
  <c r="F188"/>
  <c r="E16" i="2" s="1"/>
  <c r="O18" i="1" l="1"/>
  <c r="F203"/>
  <c r="AS18"/>
  <c r="F218"/>
  <c r="I27" i="5" s="1"/>
  <c r="AR18" i="1"/>
  <c r="F229"/>
  <c r="I16" i="2"/>
  <c r="I18" s="1"/>
  <c r="E18"/>
  <c r="X18" i="1"/>
  <c r="F227"/>
  <c r="F230" l="1"/>
  <c r="F231" l="1"/>
  <c r="J317" i="5"/>
  <c r="I26" l="1"/>
  <c r="J318"/>
</calcChain>
</file>

<file path=xl/sharedStrings.xml><?xml version="1.0" encoding="utf-8"?>
<sst xmlns="http://schemas.openxmlformats.org/spreadsheetml/2006/main" count="5836" uniqueCount="676">
  <si>
    <t>Smeta.RU  (495) 974-1589</t>
  </si>
  <si>
    <t>_PS_</t>
  </si>
  <si>
    <t>Smeta.RU</t>
  </si>
  <si>
    <t/>
  </si>
  <si>
    <t>Новый объект</t>
  </si>
  <si>
    <t>Ремонт выходов  ОВП 1 этаж ИП 2021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</si>
  <si>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</si>
  <si>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</si>
  <si>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</si>
  <si>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</si>
  <si>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</si>
  <si>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</si>
  <si>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</si>
  <si>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Новый раздел</t>
  </si>
  <si>
    <t>Демонтаж</t>
  </si>
  <si>
    <t>1</t>
  </si>
  <si>
    <t>56-10-1</t>
  </si>
  <si>
    <t>Снятие дверных полотен</t>
  </si>
  <si>
    <t>100 м2 дверных полотен</t>
  </si>
  <si>
    <t>ТЕРр Московской обл., 56-10-1, приказ Минстроя России №675/пр от 21.09.2015 г.</t>
  </si>
  <si>
    <t>Ремонтно-строительные работы</t>
  </si>
  <si>
    <t>Проемы</t>
  </si>
  <si>
    <t>рФЕР-56</t>
  </si>
  <si>
    <t>1,1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</si>
  <si>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</si>
  <si>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</si>
  <si>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</si>
  <si>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</si>
  <si>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2</t>
  </si>
  <si>
    <t>56-9-1</t>
  </si>
  <si>
    <t>Демонтаж дверных коробок в каменных стенах с отбивкой штукатурки в откосах</t>
  </si>
  <si>
    <t>100 коробок</t>
  </si>
  <si>
    <t>ТЕРр Московской обл., 56-9-1, приказ Минстроя России №675/пр от 21.09.2015 г.</t>
  </si>
  <si>
    <t>2,1</t>
  </si>
  <si>
    <t>3</t>
  </si>
  <si>
    <t>57-2-3</t>
  </si>
  <si>
    <t>Разборка покрытий полов из керамических плиток</t>
  </si>
  <si>
    <t>100 м2 покрытия</t>
  </si>
  <si>
    <t>ТЕРр Московской обл., 57-2-3, приказ Минстроя России №675/пр от 21.09.2015 г.</t>
  </si>
  <si>
    <t>Полы</t>
  </si>
  <si>
    <t>рФЕР-57</t>
  </si>
  <si>
    <t>3,1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</si>
  <si>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</si>
  <si>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</si>
  <si>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</si>
  <si>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</si>
  <si>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</si>
  <si>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</si>
  <si>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</si>
  <si>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</si>
  <si>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</si>
  <si>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</si>
  <si>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</si>
  <si>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</si>
  <si>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</si>
  <si>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</si>
  <si>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</si>
  <si>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</si>
  <si>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</si>
  <si>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</si>
  <si>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</si>
  <si>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</si>
  <si>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</si>
  <si>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</si>
  <si>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</si>
  <si>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</si>
  <si>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</si>
  <si>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</si>
  <si>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</si>
  <si>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</si>
  <si>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</si>
  <si>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</si>
  <si>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</si>
  <si>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</si>
  <si>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</si>
  <si>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</si>
  <si>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</si>
  <si>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</si>
  <si>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</si>
  <si>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</si>
  <si>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</si>
  <si>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</si>
  <si>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</si>
  <si>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</si>
  <si>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</si>
  <si>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</si>
  <si>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</si>
  <si>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</si>
  <si>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</si>
  <si>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</si>
  <si>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</si>
  <si>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</si>
  <si>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</si>
  <si>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</si>
  <si>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</si>
  <si>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</si>
  <si>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10-01-052-4</t>
  </si>
  <si>
    <t>Устройство козырьков</t>
  </si>
  <si>
    <t>1 м2 горизонтальной проекции</t>
  </si>
  <si>
    <t>ТЕР Московской обл., 10-01-052-4, приказ Минстроя России №675/пр от 21.09.2015 г.</t>
  </si>
  <si>
    <t>)*1,25</t>
  </si>
  <si>
    <t>)*1,15</t>
  </si>
  <si>
    <t>Общестроительные работы</t>
  </si>
  <si>
    <t>Деревянные конструкции</t>
  </si>
  <si>
    <t>ФЕР-10</t>
  </si>
  <si>
    <t>Поправка: МДС 81-35.2004, п.4.7</t>
  </si>
  <si>
    <t>*0,9</t>
  </si>
  <si>
    <t>*0,85</t>
  </si>
  <si>
    <t>09-04-002-1</t>
  </si>
  <si>
    <t>Монтаж кровельного покрытия из профилированного листа при высоте здания до 25 м</t>
  </si>
  <si>
    <t>ТЕР Московской обл., 09-04-002-1, приказ Минстроя России №675/пр от 21.09.2015 г.</t>
  </si>
  <si>
    <t>=0</t>
  </si>
  <si>
    <t>*1,25</t>
  </si>
  <si>
    <t>Металлические конструкции</t>
  </si>
  <si>
    <t>ФЕР-09</t>
  </si>
  <si>
    <t>Цена поставщика</t>
  </si>
  <si>
    <t>Профнастил оцинкованный С-21 0,4х1050x3000</t>
  </si>
  <si>
    <t>шт.</t>
  </si>
  <si>
    <t>Кровли</t>
  </si>
  <si>
    <t>ФЕР-12</t>
  </si>
  <si>
    <t>занесена вручную</t>
  </si>
  <si>
    <t>09-04-012-1</t>
  </si>
  <si>
    <t>Установка металлических дверных блоков в готовые проемы</t>
  </si>
  <si>
    <t>1 м2 проема</t>
  </si>
  <si>
    <t>ТЕР Московской обл., 09-04-012-1, приказ Минстроя России №675/пр от 21.09.2015 г.</t>
  </si>
  <si>
    <t>203-8113</t>
  </si>
  <si>
    <t>Дверь противопожарная металлическая однопольная ДПМ-01/30, размером 800х2100 мм</t>
  </si>
  <si>
    <t>ТССЦ Московской обл., 203-8113, приказ Минстроя России №675/пр от 21.09.2015 г.</t>
  </si>
  <si>
    <t>3,2</t>
  </si>
  <si>
    <t>203-8138</t>
  </si>
  <si>
    <t>Дверь противопожарная металлическая остекленная двупольная ДПМО-02/30, размером 1300х2100 мм</t>
  </si>
  <si>
    <t>ТССЦ Московской обл., 203-8138, приказ Минстроя России №675/пр от 21.09.2015 г.</t>
  </si>
  <si>
    <t>4</t>
  </si>
  <si>
    <t>10-01-039-1</t>
  </si>
  <si>
    <t>Установка блоков в наружных и внутренних дверных проемах в каменных стенах, площадь проема до 3 м2</t>
  </si>
  <si>
    <t>100 м2 проемов</t>
  </si>
  <si>
    <t>ТЕР Московской обл., 10-01-039-1, приказ Минстроя России №675/пр от 21.09.2015 г.</t>
  </si>
  <si>
    <t>4,1</t>
  </si>
  <si>
    <t>203-4097</t>
  </si>
  <si>
    <t>Дверь балконная пластиковая, поворотно-откидная, с двухкамерным стеклопакетом (32 мм), площадью более 1,5 м2</t>
  </si>
  <si>
    <t>м2</t>
  </si>
  <si>
    <t>ТССЦ Московской обл., 203-4097, приказ Минстроя России №675/пр от 21.09.2015 г.</t>
  </si>
  <si>
    <t>5</t>
  </si>
  <si>
    <t>15-02-031-1</t>
  </si>
  <si>
    <t>Штукатурка поверхностей оконных и дверных откосов по бетону и камню плоских</t>
  </si>
  <si>
    <t>100 м2 оштукатуриваемой поверхности</t>
  </si>
  <si>
    <t>ТЕР Московской обл., 15-02-031-1, приказ Минстроя России №675/пр от 21.09.2015 г.</t>
  </si>
  <si>
    <t>*1,15</t>
  </si>
  <si>
    <t>Отделочные работы</t>
  </si>
  <si>
    <t>ФЕР-15</t>
  </si>
  <si>
    <t>6</t>
  </si>
  <si>
    <t>15-04-005-3</t>
  </si>
  <si>
    <t>Окраска поливинилацетатными водоэмульсионными составами улучшенная по штукатурке стен</t>
  </si>
  <si>
    <t>100 м2 окрашиваемой поверхности</t>
  </si>
  <si>
    <t>ТЕР Московской обл., 15-04-005-3, приказ Минстроя России №675/пр от 21.09.2015 г.</t>
  </si>
  <si>
    <t>8</t>
  </si>
  <si>
    <t>11-01-011-2</t>
  </si>
  <si>
    <t>Устройство стяжек на каждые 5 мм изменения толщины стяжки добавлять или исключать к расценке 11-01-011-01</t>
  </si>
  <si>
    <t>100 м2 стяжки</t>
  </si>
  <si>
    <t>ТЕР Московской обл., 11-01-011-2, приказ Минстроя России №675/пр от 21.09.2015 г.</t>
  </si>
  <si>
    <t>ФЕР-11</t>
  </si>
  <si>
    <t>10</t>
  </si>
  <si>
    <t>11-01-047-1</t>
  </si>
  <si>
    <t>Устройство покрытий из плит керамогранитных размером 40х40 см</t>
  </si>
  <si>
    <t>ТЕР Московской обл., 11-01-047-1, приказ Минстроя России №675/пр от 21.09.2015 г.</t>
  </si>
  <si>
    <t>11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</si>
  <si>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</si>
  <si>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</si>
  <si>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</si>
  <si>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ТЕР Московской обл., 01-02-057-2, приказ Минстроя России №675/пр от 21.09.2015 г.</t>
  </si>
  <si>
    <t>Земляные работы, выполняемые  ручным способом</t>
  </si>
  <si>
    <t>ФЕР-01</t>
  </si>
  <si>
    <t>13</t>
  </si>
  <si>
    <t>27-04-001-1</t>
  </si>
  <si>
    <t>Устройство подстилающих и выравнивающих слоев оснований из песка</t>
  </si>
  <si>
    <t>100 м3 материала основания (в плотном теле)</t>
  </si>
  <si>
    <t>ТЕР Московской обл., 27-04-001-1, приказ Минстроя России №675/пр от 21.09.2015 г.</t>
  </si>
  <si>
    <t>Автомобильные дороги</t>
  </si>
  <si>
    <t>ФЕР-27</t>
  </si>
  <si>
    <t>13,2</t>
  </si>
  <si>
    <t>408-0445</t>
  </si>
  <si>
    <t>Песок для строительных работ природный 50%; обогащенный 50%</t>
  </si>
  <si>
    <t>м3</t>
  </si>
  <si>
    <t>ТССЦ Московской обл., 408-0445, приказ Минстроя России №675/пр от 21.09.2015 г.</t>
  </si>
  <si>
    <t>14</t>
  </si>
  <si>
    <t>27-07-003-2</t>
  </si>
  <si>
    <t>Устройство бетонных плитных тротуаров с заполнением швов песком</t>
  </si>
  <si>
    <t>100 м2 тротуара</t>
  </si>
  <si>
    <t>ТЕР Московской обл., 27-07-003-2, приказ Минстроя России №675/пр от 21.09.2015 г.</t>
  </si>
  <si>
    <t>14,1</t>
  </si>
  <si>
    <t>407-0027</t>
  </si>
  <si>
    <t>Смесь пескоцементная с содержанием цемента до 67 %</t>
  </si>
  <si>
    <t>ТССЦ Московской обл., 407-0027, приказ Минстроя России №675/пр от 21.09.2015 г.</t>
  </si>
  <si>
    <t>14,2</t>
  </si>
  <si>
    <t>407-9040</t>
  </si>
  <si>
    <t>Смесь пескоцементная</t>
  </si>
  <si>
    <t>ТССЦ Московской обл., 407-9040, приказ Минстроя России №675/пр от 21.09.2015 г.</t>
  </si>
  <si>
    <t>Крыльцо ОВП с торца</t>
  </si>
  <si>
    <t>11-01-300-1</t>
  </si>
  <si>
    <t>Устройство покрытий из керамогранитных плиток размером 30х30 см</t>
  </si>
  <si>
    <t>100 м2</t>
  </si>
  <si>
    <t>ТСНБ-2001 Московской области, 11-01-300-1, протокол от 26.08.2020 г. № 08</t>
  </si>
  <si>
    <t>5,1</t>
  </si>
  <si>
    <t>203-8116</t>
  </si>
  <si>
    <t>Дверь противопожарная металлическая однопольная ДПМ-01/30, размером 900х2100 мм</t>
  </si>
  <si>
    <t>ТССЦ Московской обл., 203-8116, приказ Минстроя России №675/пр от 21.09.2015 г.</t>
  </si>
  <si>
    <t>6,1</t>
  </si>
  <si>
    <t>7</t>
  </si>
  <si>
    <t>59-3-1</t>
  </si>
  <si>
    <t>Разборка металлических лестничных решеток при весе одного метра решетки до 60 кг</t>
  </si>
  <si>
    <t>100 м решетки</t>
  </si>
  <si>
    <t>ТЕРр Московской обл., 59-3-1, приказ Минстроя России №675/пр от 21.09.2015 г.</t>
  </si>
  <si>
    <t>Лестницы, кровля</t>
  </si>
  <si>
    <t>рФЕР-59</t>
  </si>
  <si>
    <t>7,1</t>
  </si>
  <si>
    <t>10-02-041-1</t>
  </si>
  <si>
    <t>Ограждение лестничных площадок перилами</t>
  </si>
  <si>
    <t>100 м перил</t>
  </si>
  <si>
    <t>ТЕР Московской обл., 10-02-041-1, приказ Минстроя России №675/пр от 21.09.2015 г.</t>
  </si>
  <si>
    <t>9</t>
  </si>
  <si>
    <t>201-0650</t>
  </si>
  <si>
    <t>Ограждения лестничных проемов, лестничные марши, пожарные лестницы</t>
  </si>
  <si>
    <t>ТССЦ Московской обл., 201-0650,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</si>
  <si>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</si>
  <si>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</si>
  <si>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</si>
  <si>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59-5-2</t>
  </si>
  <si>
    <t>Ремонт ступеней бетонных</t>
  </si>
  <si>
    <t>100 ступеней</t>
  </si>
  <si>
    <t>ТЕРр Московской обл., 59-5-2, приказ Минстроя России №675/пр от 21.09.2015 г.</t>
  </si>
  <si>
    <t>15-01-045-1</t>
  </si>
  <si>
    <t>Облицовка ступеней керамогранитными плитками толщиной до 15 мм</t>
  </si>
  <si>
    <t>100 м2 поверхности облицовки</t>
  </si>
  <si>
    <t>ТЕР Московской обл., 15-01-045-1, приказ Минстроя России №675/пр от 21.09.2015 г.</t>
  </si>
  <si>
    <t>цена постовщика</t>
  </si>
  <si>
    <t>профнастил оцинкованный С 21  0,4х1050х3000</t>
  </si>
  <si>
    <t>Строка по умолчанию</t>
  </si>
  <si>
    <t>Прочие работы</t>
  </si>
  <si>
    <t>по умолчанию</t>
  </si>
  <si>
    <t>Итог 1</t>
  </si>
  <si>
    <t>с НДС 20%</t>
  </si>
  <si>
    <t>Итог 2</t>
  </si>
  <si>
    <t>Всего с НДС 20%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</si>
  <si>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</si>
  <si>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</si>
  <si>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</si>
  <si>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</si>
  <si>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</si>
  <si>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</si>
  <si>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</si>
  <si>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</si>
  <si>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</si>
  <si>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</si>
  <si>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</si>
  <si>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</si>
  <si>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</si>
  <si>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</si>
  <si>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</si>
  <si>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</si>
  <si>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</si>
  <si>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</si>
  <si>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</si>
  <si>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</si>
  <si>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</si>
  <si>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</si>
  <si>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</si>
  <si>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</si>
  <si>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</si>
  <si>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</si>
  <si>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</si>
  <si>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</si>
  <si>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</si>
  <si>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</si>
  <si>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</si>
  <si>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</si>
  <si>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</si>
  <si>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</si>
  <si>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</si>
  <si>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</si>
  <si>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</si>
  <si>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</si>
  <si>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</si>
  <si>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</si>
  <si>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</si>
  <si>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</si>
  <si>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</si>
  <si>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</si>
  <si>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</si>
  <si>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</si>
  <si>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</si>
  <si>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</si>
  <si>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</si>
  <si>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</si>
  <si>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</si>
  <si>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</si>
  <si>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</si>
  <si>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</si>
  <si>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</si>
  <si>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</si>
  <si>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</si>
  <si>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</si>
  <si>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</si>
  <si>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</si>
  <si>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</si>
  <si>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</si>
  <si>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</si>
  <si>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</si>
  <si>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</si>
  <si>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</si>
  <si>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</si>
  <si>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</si>
  <si>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</si>
  <si>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</si>
  <si>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</si>
  <si>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</si>
  <si>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</si>
  <si>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</si>
  <si>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</si>
  <si>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</si>
  <si>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</si>
  <si>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</si>
  <si>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1-1022-90</t>
  </si>
  <si>
    <t>Рабочий строитель среднего разряда 2,2</t>
  </si>
  <si>
    <t>чел.-ч</t>
  </si>
  <si>
    <t>1-1023-90</t>
  </si>
  <si>
    <t>Рабочий строитель среднего разряда 2,3</t>
  </si>
  <si>
    <t>Затраты труда машинистов</t>
  </si>
  <si>
    <t>чел.час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</si>
  <si>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</si>
  <si>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</si>
  <si>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</si>
  <si>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маш.-ч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</si>
  <si>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</si>
  <si>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</si>
  <si>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</si>
  <si>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1-1030-90</t>
  </si>
  <si>
    <t>Рабочий строитель среднего разряда 3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</si>
  <si>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</si>
  <si>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</si>
  <si>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</si>
  <si>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1-1035-90</t>
  </si>
  <si>
    <t>Рабочий строитель среднего разряда 3,5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</si>
  <si>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</si>
  <si>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</si>
  <si>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</si>
  <si>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101-1805</t>
  </si>
  <si>
    <t>ТССЦ Московской обл., 101-1805, приказ Минстроя России №675/пр от 21.09.2015 г.</t>
  </si>
  <si>
    <t>Гвозди строительные</t>
  </si>
  <si>
    <t>102-0025</t>
  </si>
  <si>
    <t>ТССЦ Московской обл., 102-0025, приказ Минстроя России №675/пр от 21.09.2015 г.</t>
  </si>
  <si>
    <t>Бруски обрезные хвойных пород длиной 4-6,5 м, шириной 75-150 мм, толщиной 40-75 мм, III сорта</t>
  </si>
  <si>
    <t>102-0049</t>
  </si>
  <si>
    <t>ТССЦ Московской обл., 102-0049, приказ Минстроя России №675/пр от 21.09.2015 г.</t>
  </si>
  <si>
    <t>Доски обрезные хвойных пород длиной 4-6,5 м, шириной 75-150, мм толщиной 19-22 мм, III сорта</t>
  </si>
  <si>
    <t>1-1032-90</t>
  </si>
  <si>
    <t>Рабочий строитель среднего разряда 3,2</t>
  </si>
  <si>
    <t>020403</t>
  </si>
  <si>
    <t>ТСЭМ Московской обл., 020403, приказ Минстроя России №675/пр от 21.09.2015 г.</t>
  </si>
  <si>
    <t>Краны козловые при работе на монтаже технологического оборудования 32 т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</si>
  <si>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</si>
  <si>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</si>
  <si>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</si>
  <si>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021245</t>
  </si>
  <si>
    <t>ТСЭМ Московской обл., 021245, приказ Минстроя России №675/пр от 21.09.2015 г.</t>
  </si>
  <si>
    <t>Краны на гусеничном ходу при работе на других видах строительства 40 т</t>
  </si>
  <si>
    <t>030203</t>
  </si>
  <si>
    <t>ТСЭМ Московской обл., 030203, приказ Минстроя России №675/пр от 21.09.2015 г.</t>
  </si>
  <si>
    <t>Домкраты гидравлические грузоподъемностью 63-100 т</t>
  </si>
  <si>
    <t>040504</t>
  </si>
  <si>
    <t>ТСЭМ Московской обл., 040504, приказ Минстроя России №675/пр от 21.09.2015 г.</t>
  </si>
  <si>
    <t>Аппарат для газовой сварки и резки</t>
  </si>
  <si>
    <t>041000</t>
  </si>
  <si>
    <t>ТСЭМ Московской обл., 041000, приказ Минстроя России №675/пр от 21.09.2015 г.</t>
  </si>
  <si>
    <t>Преобразователи сварочные с номинальным сварочным током 315-500 А</t>
  </si>
  <si>
    <t>041400</t>
  </si>
  <si>
    <t>ТСЭМ Московской обл., 041400, приказ Минстроя России №675/пр от 21.09.2015 г.</t>
  </si>
  <si>
    <t>Электрические печи для сушки сварочных материалов с регулированием температуры в пределах от 80 °С до 500 °С</t>
  </si>
  <si>
    <t>330206</t>
  </si>
  <si>
    <t>ТСЭМ Московской обл., 330206, приказ Минстроя России №675/пр от 21.09.2015 г.</t>
  </si>
  <si>
    <t>Дрели электрические</t>
  </si>
  <si>
    <t>101-0309</t>
  </si>
  <si>
    <t>ТССЦ Московской обл., 101-0309, приказ Минстроя России №675/пр от 21.09.2015 г.</t>
  </si>
  <si>
    <t>Канаты пеньковые пропитанные</t>
  </si>
  <si>
    <t>101-0324</t>
  </si>
  <si>
    <t>ТССЦ Московской обл., 101-0324, приказ Минстроя России №675/пр от 21.09.2015 г.</t>
  </si>
  <si>
    <t>Кислород технический газообразный</t>
  </si>
  <si>
    <t>101-0797</t>
  </si>
  <si>
    <t>ТССЦ Московской обл., 101-0797, приказ Минстроя России №675/пр от 21.09.2015 г.</t>
  </si>
  <si>
    <t>Проволока горячекатаная в мотках, диаметром 6,3-6,5 мм</t>
  </si>
  <si>
    <t>101-1019</t>
  </si>
  <si>
    <t>ТССЦ Московской обл., 101-1019, приказ Минстроя России №675/пр от 21.09.2015 г.</t>
  </si>
  <si>
    <t>Швеллеры № 40 из стали марки Ст0</t>
  </si>
  <si>
    <t>101-1513</t>
  </si>
  <si>
    <t>ТССЦ Московской обл., 101-1513, приказ Минстроя России №675/пр от 21.09.2015 г.</t>
  </si>
  <si>
    <t>Электроды диаметром 4 мм Э42</t>
  </si>
  <si>
    <t>101-1714</t>
  </si>
  <si>
    <t>ТССЦ Московской обл., 101-1714, приказ Минстроя России №675/пр от 21.09.2015 г.</t>
  </si>
  <si>
    <t>Болты с гайками и шайбами строительные</t>
  </si>
  <si>
    <t>101-2278</t>
  </si>
  <si>
    <t>ТССЦ Московской обл., 101-2278, приказ Минстроя России №675/пр от 21.09.2015 г.</t>
  </si>
  <si>
    <t>Пропан-бутан, смесь техническая</t>
  </si>
  <si>
    <t>кг</t>
  </si>
  <si>
    <t>101-2467</t>
  </si>
  <si>
    <t>ТССЦ Московской обл., 101-2467, приказ Минстроя России №675/пр от 21.09.2015 г.</t>
  </si>
  <si>
    <t>Растворитель марки Р-4</t>
  </si>
  <si>
    <t>102-0023</t>
  </si>
  <si>
    <t>ТССЦ Московской обл., 102-0023, приказ Минстроя России №675/пр от 21.09.2015 г.</t>
  </si>
  <si>
    <t>Бруски обрезные хвойных пород длиной 4-6,5 м, шириной 75-150 мм, толщиной 40-75 мм, I сорта</t>
  </si>
  <si>
    <t>113-0021</t>
  </si>
  <si>
    <t>ТССЦ Московской обл., 113-0021, приказ Минстроя России №675/пр от 21.09.2015 г.</t>
  </si>
  <si>
    <t>Грунтовка ГФ-021 красно-коричневая</t>
  </si>
  <si>
    <t>201-0756</t>
  </si>
  <si>
    <t>ТССЦ Московской обл., 201-0756, приказ Минстроя России №675/пр от 21.09.2015 г.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</si>
  <si>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</si>
  <si>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508-0097</t>
  </si>
  <si>
    <t>ТССЦ Московской обл., 508-0097, приказ Минстроя России №675/пр от 21.09.2015 г.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</si>
  <si>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</si>
  <si>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</si>
  <si>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1-1042-90</t>
  </si>
  <si>
    <t>Рабочий строитель среднего разряда 4,2</t>
  </si>
  <si>
    <t>040502</t>
  </si>
  <si>
    <t>ТСЭМ Московской обл., 040502, приказ Минстроя России №675/пр от 21.09.2015 г.</t>
  </si>
  <si>
    <t>Установки для сварки ручной дуговой (постоянного тока)</t>
  </si>
  <si>
    <t>330301</t>
  </si>
  <si>
    <t>ТСЭМ Московской обл., 330301, приказ Минстроя России №675/пр от 21.09.2015 г.</t>
  </si>
  <si>
    <t>Машины шлифовальные электрические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</si>
  <si>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</si>
  <si>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</si>
  <si>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</si>
  <si>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101-1921</t>
  </si>
  <si>
    <t>ТССЦ Московской обл., 101-1921, приказ Минстроя России №675/пр от 21.09.2015 г.</t>
  </si>
  <si>
    <t>Пена монтажная для герметизации стыков в баллончике емкостью 0,85 л</t>
  </si>
  <si>
    <t>204-0062</t>
  </si>
  <si>
    <t>ТССЦ Московской обл., 204-0062, приказ Минстроя России №675/пр от 21.09.2015 г.</t>
  </si>
  <si>
    <t>Детали закладные и накладные изготовленные без применения сварки, гнутья, сверления (пробивки) отверстий поставляемые отдельно</t>
  </si>
  <si>
    <t>1-1036-90</t>
  </si>
  <si>
    <t>Рабочий строитель среднего разряда 3,6</t>
  </si>
  <si>
    <t>020129</t>
  </si>
  <si>
    <t>ТСЭМ Московской обл., 020129, приказ Минстроя России №675/пр от 21.09.2015 г.</t>
  </si>
  <si>
    <t>Краны башенные при работе на других видах строительства 8 т</t>
  </si>
  <si>
    <t>121011</t>
  </si>
  <si>
    <t>ТСЭМ Московской обл., 121011, приказ Минстроя России №675/пр от 21.09.2015 г.</t>
  </si>
  <si>
    <t>Котлы битумные передвижные 400 л</t>
  </si>
  <si>
    <t>101-0195</t>
  </si>
  <si>
    <t>ТССЦ Московской обл., 101-0195, приказ Минстроя России №675/пр от 21.09.2015 г.</t>
  </si>
  <si>
    <t>Гвозди толевые круглые 3,0х40 мм</t>
  </si>
  <si>
    <t>101-1591</t>
  </si>
  <si>
    <t>ТССЦ Московской обл., 101-1591, приказ Минстроя России №675/пр от 21.09.2015 г.</t>
  </si>
  <si>
    <t>Смола каменноугольная для дорожного строительства</t>
  </si>
  <si>
    <t>101-1742</t>
  </si>
  <si>
    <t>ТССЦ Московской обл., 101-1742, приказ Минстроя России №675/пр от 21.09.2015 г.</t>
  </si>
  <si>
    <t>Толь с крупнозернистой посыпкой гидроизоляционный марки ТГ-350</t>
  </si>
  <si>
    <t>101-1789</t>
  </si>
  <si>
    <t>ТССЦ Московской обл., 101-1789, приказ Минстроя России №675/пр от 21.09.2015 г.</t>
  </si>
  <si>
    <t>Ерши металлические строительные</t>
  </si>
  <si>
    <t>101-8052</t>
  </si>
  <si>
    <t>ТССЦ Московской обл., 101-8052, приказ Минстроя России №675/пр от 21.09.2015 г.</t>
  </si>
  <si>
    <t>Пена монтажная</t>
  </si>
  <si>
    <t>л</t>
  </si>
  <si>
    <t>102-0053</t>
  </si>
  <si>
    <t>ТССЦ Московской обл., 102-0053, приказ Минстроя России №675/пр от 21.09.2015 г.</t>
  </si>
  <si>
    <t>Доски обрезные хвойных пород длиной 4-6,5 м, шириной 75-150 мм, толщиной 25 мм, III сорта</t>
  </si>
  <si>
    <t>203-0223</t>
  </si>
  <si>
    <t>ТССЦ Московской обл., 203-0223, приказ Минстроя России №675/пр от 21.09.2015 г.</t>
  </si>
  <si>
    <t>Блоки дверные с рамочными полотнами однопольные ДН 21-10, площадь 2,05 м2; ДН 24-10, площадь 2,35 м2</t>
  </si>
  <si>
    <t>402-0087</t>
  </si>
  <si>
    <t>ТССЦ Московской обл., 402-0087, приказ Минстроя России №675/пр от 21.09.2015 г.</t>
  </si>
  <si>
    <t>Раствор готовый отделочный тяжелый, известковый 1:2,0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</si>
  <si>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</si>
  <si>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</si>
  <si>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</si>
  <si>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1-1037-90</t>
  </si>
  <si>
    <t>Рабочий строитель среднего разряда 3,7</t>
  </si>
  <si>
    <t>402-0083</t>
  </si>
  <si>
    <t>ТССЦ Московской обл., 402-0083, приказ Минстроя России №675/пр от 21.09.2015 г.</t>
  </si>
  <si>
    <t>Раствор готовый отделочный тяжелый, цементно-известковый 1:1:6</t>
  </si>
  <si>
    <t>402-0086</t>
  </si>
  <si>
    <t>ТССЦ Московской обл., 402-0086, приказ Минстроя России №675/пр от 21.09.2015 г.</t>
  </si>
  <si>
    <t>Раствор готовый отделочный тяжелый, известковый 1:2,5</t>
  </si>
  <si>
    <t>1-1034-90</t>
  </si>
  <si>
    <t>Рабочий строитель среднего разряда 3,4</t>
  </si>
  <si>
    <t>101-1596</t>
  </si>
  <si>
    <t>ТССЦ Московской обл., 101-1596, приказ Минстроя России №675/пр от 21.09.2015 г.</t>
  </si>
  <si>
    <t>Шкурка шлифовальная двухслойная с зернистостью 40-25</t>
  </si>
  <si>
    <t>101-1712</t>
  </si>
  <si>
    <t>ТССЦ Московской обл., 101-1712, приказ Минстроя России №675/пр от 21.09.2015 г.</t>
  </si>
  <si>
    <t>Шпатлевка клеевая</t>
  </si>
  <si>
    <t>101-1757</t>
  </si>
  <si>
    <t>ТССЦ Московской обл., 101-1757, приказ Минстроя России №675/пр от 21.09.2015 г.</t>
  </si>
  <si>
    <t>Ветошь</t>
  </si>
  <si>
    <t>101-1959</t>
  </si>
  <si>
    <t>ТССЦ Московской обл., 101-1959, приказ Минстроя России №675/пр от 21.09.2015 г.</t>
  </si>
  <si>
    <t>Краска водоэмульсионная ВЭАК-1180</t>
  </si>
  <si>
    <t>111301</t>
  </si>
  <si>
    <t>ТСЭМ Московской обл., 111301, приказ Минстроя России №675/пр от 21.09.2015 г.</t>
  </si>
  <si>
    <t>Вибратор поверхностный</t>
  </si>
  <si>
    <t>402-0005</t>
  </si>
  <si>
    <t>ТССЦ Московской обл., 402-0005, приказ Минстроя России №675/пр от 21.09.2015 г.</t>
  </si>
  <si>
    <t>Раствор готовый кладочный цементный марки 150</t>
  </si>
  <si>
    <t>020128</t>
  </si>
  <si>
    <t>ТСЭМ Московской обл., 020128, приказ Минстроя России №675/пр от 21.09.2015 г.</t>
  </si>
  <si>
    <t>Краны башенные при работе на других видах строительства 5 т</t>
  </si>
  <si>
    <t>021140</t>
  </si>
  <si>
    <t>ТСЭМ Московской обл., 021140, приказ Минстроя России №675/пр от 21.09.2015 г.</t>
  </si>
  <si>
    <t>Краны на автомобильном ходу при работе на других видах строительства 6,3 т</t>
  </si>
  <si>
    <t>110901</t>
  </si>
  <si>
    <t>ТСЭМ Московской обл., 110901, приказ Минстроя России №675/пр от 21.09.2015 г.</t>
  </si>
  <si>
    <t>Растворосмесители передвижные 65 л</t>
  </si>
  <si>
    <t>339904</t>
  </si>
  <si>
    <t>ТСЭМ Московской обл., 339904, приказ Минстроя России №675/пр от 21.09.2015 г.</t>
  </si>
  <si>
    <t>Плиткорез MAKITA RH 4101</t>
  </si>
  <si>
    <t>101-1971</t>
  </si>
  <si>
    <t>ТССЦ Московской обл., 101-1971, приказ Минстроя России №675/пр от 21.09.2015 г.</t>
  </si>
  <si>
    <t>Затирка «Старатели» (разной цветности)</t>
  </si>
  <si>
    <t>101-4368</t>
  </si>
  <si>
    <t>ТССЦ Московской обл., 101-4368, приказ Минстроя России №675/пр от 21.09.2015 г.</t>
  </si>
  <si>
    <t>Клей плиточный «Юнис Гранит»</t>
  </si>
  <si>
    <t>101-4486</t>
  </si>
  <si>
    <t>ТССЦ Московской обл., 101-4486, приказ Минстроя России №675/пр от 21.09.2015 г.</t>
  </si>
  <si>
    <t>Гранит керамический многоцветный неполированный, размером 400х400х9 мм</t>
  </si>
  <si>
    <t>411-0001</t>
  </si>
  <si>
    <t>ТССЦ Московской обл., 411-0001, приказ Минстроя России №675/пр от 21.09.2015 г.</t>
  </si>
  <si>
    <t>Вода</t>
  </si>
  <si>
    <t>1-1020-90</t>
  </si>
  <si>
    <t>Рабочий строитель среднего разряда 2</t>
  </si>
  <si>
    <t>030101</t>
  </si>
  <si>
    <t>ТСЭМ Московской обл., 030101, приказ Минстроя России №675/пр от 21.09.2015 г.</t>
  </si>
  <si>
    <t>Автопогрузчики 5 т</t>
  </si>
  <si>
    <t>120202</t>
  </si>
  <si>
    <t>ТСЭМ Московской обл., 120202, приказ Минстроя России №675/пр от 21.09.2015 г.</t>
  </si>
  <si>
    <t>Автогрейдеры среднего типа 99 кВт (135 л.с.)</t>
  </si>
  <si>
    <t>120911</t>
  </si>
  <si>
    <t>ТСЭМ Московской обл., 120911, приказ Минстроя России №675/пр от 21.09.2015 г.</t>
  </si>
  <si>
    <t>Катки на пневмоколесном ходу 30 т</t>
  </si>
  <si>
    <t>121601</t>
  </si>
  <si>
    <t>ТСЭМ Московской обл., 121601, приказ Минстроя России №675/пр от 21.09.2015 г.</t>
  </si>
  <si>
    <t>Машины поливомоечные 6000 л</t>
  </si>
  <si>
    <t>1-1025-90</t>
  </si>
  <si>
    <t>Рабочий строитель среднего разряда 2,5</t>
  </si>
  <si>
    <t>122801</t>
  </si>
  <si>
    <t>ТСЭМ Московской обл., 122801, приказ Минстроя России №675/пр от 21.09.2015 г.</t>
  </si>
  <si>
    <t>Виброплита с двигателем внутреннего сгорания</t>
  </si>
  <si>
    <t>403-0104</t>
  </si>
  <si>
    <t>ТССЦ Московской обл., 403-0104, приказ Минстроя России №675/пр от 21.09.2015 г.</t>
  </si>
  <si>
    <t>Плиты бетонные и цементно-песчаные для тротуаров, полов и облицовки, марки 300, толщина 35 мм</t>
  </si>
  <si>
    <t>408-0122</t>
  </si>
  <si>
    <t>ТССЦ Московской обл., 408-0122, приказ Минстроя России №675/пр от 21.09.2015 г.</t>
  </si>
  <si>
    <t>Песок природный для строительных работ средний</t>
  </si>
  <si>
    <t>1-100-32-90</t>
  </si>
  <si>
    <t>Рабочий среднего разряда 3,2</t>
  </si>
  <si>
    <t>ТСНБ-2001 Московской области, 030101, протокол от 29.07.2020 г. № 07</t>
  </si>
  <si>
    <t>030953</t>
  </si>
  <si>
    <t>ТСНБ-2001 Московской области, 030953, протокол от 29.07.2020 г. № 07</t>
  </si>
  <si>
    <t>Подъемники грузоподъемностью до 500 кг одномачтовые, высота подъема 35 м</t>
  </si>
  <si>
    <t>ТСНБ-2001 Московской области, 110901, протокол от 29.07.2020 г. № 07</t>
  </si>
  <si>
    <t>ТСНБ-2001 Московской области, 339904, протокол от 29.07.2020 г. № 07</t>
  </si>
  <si>
    <t>ТСНБ-2001 Московской области, 400001, протокол от 29.07.2020 г. № 07</t>
  </si>
  <si>
    <t>ТСНБ-2001 Московской области, 101-1757, протокол от 29.07.2020 г. № 07</t>
  </si>
  <si>
    <t>ТСНБ-2001 Московской области, 101-1971, протокол от 29.07.2020 г. № 07</t>
  </si>
  <si>
    <t>ТСНБ-2001 Московской области, 101-4368, протокол от 26.08.2020 г. № 08</t>
  </si>
  <si>
    <t>101-5566</t>
  </si>
  <si>
    <t>ТСНБ-2001 Московской области, 101-5566, протокол от 29.07.2020 г. № 07</t>
  </si>
  <si>
    <t>Плитки керамогранитные размером 300х300х8 мм, бежевые</t>
  </si>
  <si>
    <t>ТСНБ-2001 Московской области, 411-0001, протокол от 29.07.2020 г. № 07</t>
  </si>
  <si>
    <t>101-1602</t>
  </si>
  <si>
    <t>ТССЦ Московской обл., 101-1602, приказ Минстроя России №675/пр от 21.09.2015 г.</t>
  </si>
  <si>
    <t>Ацетилен газообразный технический</t>
  </si>
  <si>
    <t>1-1033-90</t>
  </si>
  <si>
    <t>Рабочий строитель среднего разряда 3,3</t>
  </si>
  <si>
    <t>1-1031-90</t>
  </si>
  <si>
    <t>Рабочий строитель среднего разряда 3,1</t>
  </si>
  <si>
    <t>101-1305</t>
  </si>
  <si>
    <t>ТССЦ Московской обл., 101-1305, приказ Минстроя России №675/пр от 21.09.2015 г.</t>
  </si>
  <si>
    <t>Портландцемент общестроительного назначения бездобавочный, марки 400</t>
  </si>
  <si>
    <t>102-0138</t>
  </si>
  <si>
    <t>ТССЦ Московской обл., 102-0138, приказ Минстроя России №675/пр от 21.09.2015 г.</t>
  </si>
  <si>
    <t>Доски необрезные хвойных пород длиной 2-3,75 м, все ширины, толщиной 32-40 мм, IV сорта</t>
  </si>
  <si>
    <t>204-0028</t>
  </si>
  <si>
    <t>ТССЦ Московской обл., 204-0028, приказ Минстроя России №675/пр от 21.09.2015 г.</t>
  </si>
  <si>
    <t>Проволока арматурная</t>
  </si>
  <si>
    <t>401-0025</t>
  </si>
  <si>
    <t>ТССЦ Московской обл., 401-0025, приказ Минстроя России №675/пр от 21.09.2015 г.</t>
  </si>
  <si>
    <t>Бетон тяжелый, крупность заполнителя более 40 мм, класс В12,5 (М150)</t>
  </si>
  <si>
    <t>101-4484</t>
  </si>
  <si>
    <t>ТССЦ Московской обл., 101-4484, приказ Минстроя России №675/пр от 21.09.2015 г.</t>
  </si>
  <si>
    <t>Гранит керамический многоцветный неполированный, размером 300х300х8 мм</t>
  </si>
  <si>
    <t>101-9910</t>
  </si>
  <si>
    <t>ТССЦ Московской обл., 101-9910, приказ Минстроя России №675/пр от 21.09.2015 г.</t>
  </si>
  <si>
    <t>Стальной гнутый профиль (профилированный настил)</t>
  </si>
  <si>
    <t>101-9911</t>
  </si>
  <si>
    <t>ТССЦ Московской обл., 101-9911, приказ Минстроя России №675/пр от 21.09.2015 г.</t>
  </si>
  <si>
    <t>Крепежные детали для крепления профилированного настила к несущим конструкциям</t>
  </si>
  <si>
    <t>101-9411</t>
  </si>
  <si>
    <t>ТССЦ Московской обл., 101-9411, приказ Минстроя России №675/пр от 21.09.2015 г.</t>
  </si>
  <si>
    <t>Скобяные изделия</t>
  </si>
  <si>
    <t>компл.</t>
  </si>
  <si>
    <t>203-9066</t>
  </si>
  <si>
    <t>ТССЦ Московской обл., 203-9066, приказ Минстроя России №675/пр от 21.09.2015 г.</t>
  </si>
  <si>
    <t>Блоки дверные металлические</t>
  </si>
  <si>
    <t>101-9732</t>
  </si>
  <si>
    <t>ТССЦ Московской обл., 101-9732, приказ Минстроя России №675/пр от 21.09.2015 г.</t>
  </si>
  <si>
    <t>Грунтовка</t>
  </si>
  <si>
    <t>203-9007</t>
  </si>
  <si>
    <t>ТССЦ Московской обл., 203-9007, приказ Минстроя России №675/пр от 21.09.2015 г.</t>
  </si>
  <si>
    <t>Рейки деревянные</t>
  </si>
  <si>
    <t>408-9040</t>
  </si>
  <si>
    <t>ТССЦ Московской обл., 408-9040, приказ Минстроя России №675/пр от 21.09.2015 г.</t>
  </si>
  <si>
    <t>Песок для строительных работ природный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</si>
  <si>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</si>
  <si>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</si>
  <si>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</si>
  <si>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</si>
  <si>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</si>
  <si>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</si>
  <si>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</si>
  <si>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</si>
  <si>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</si>
  <si>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</si>
  <si>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</si>
  <si>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</si>
  <si>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</si>
  <si>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</si>
  <si>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</si>
  <si>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</si>
  <si>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</si>
  <si>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</si>
  <si>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</si>
  <si>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</si>
  <si>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</si>
  <si>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</si>
  <si>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</si>
  <si>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</si>
  <si>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</si>
  <si>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</si>
  <si>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</si>
  <si>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</si>
  <si>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</si>
  <si>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</si>
  <si>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</si>
  <si>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</si>
  <si>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2021 года и Московская область Каталог текущих цен на материалы, декабрь 2020 г</t>
  </si>
  <si>
    <t>Зарплата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</si>
  <si>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</si>
  <si>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</si>
  <si>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</si>
  <si>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</si>
  <si>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</si>
  <si>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</si>
  <si>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r>
      <t>10-01-052-4</t>
    </r>
    <r>
      <rPr>
        <i/>
        <sz val="10"/>
        <rFont val="Arial"/>
        <family val="2"/>
        <charset val="204"/>
      </rPr>
      <t xml:space="preserve">
Поправка: МДС 81-35.2004, п.4.7</t>
    </r>
  </si>
  <si>
    <t>Материальные ресурсы</t>
  </si>
  <si>
    <r>
      <t>09-04-012-1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</si>
  <si>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10-01-039-1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</si>
  <si>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15-04-005-3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</si>
  <si>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11-01-011-2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</si>
  <si>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11-01-047-1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</si>
  <si>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01-02-057-2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</si>
  <si>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27-04-001-1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</si>
  <si>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27-07-003-2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</si>
  <si>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11-01-300-1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</si>
  <si>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10-02-041-1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</si>
  <si>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15-01-045-1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</si>
  <si>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09-04-002-1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</si>
  <si>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цена постовщика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</si>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</sst>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28"/>
  <sheetViews>
    <sheetView zoomScaleNormal="100" workbookViewId="0">
      <selection activeCell="A201" sqref="A201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92" t="s">
        <v>609</v>
      </c>
      <c r="C3" s="92"/>
      <c r="D3" s="92"/>
      <c r="E3" s="92"/>
      <c r="F3" s="11"/>
      <c r="G3" s="11"/>
      <c r="H3" s="92" t="s">
        <v>610</v>
      </c>
      <c r="I3" s="92"/>
      <c r="J3" s="92"/>
      <c r="K3" s="92"/>
      <c r="L3" s="92"/>
    </row>
    <row r="4" spans="1:12" ht="14.25">
      <c r="A4" s="11"/>
      <c r="B4" s="73"/>
      <c r="C4" s="73"/>
      <c r="D4" s="73"/>
      <c r="E4" s="73"/>
      <c r="F4" s="11"/>
      <c r="G4" s="11"/>
      <c r="H4" s="73"/>
      <c r="I4" s="73"/>
      <c r="J4" s="73"/>
      <c r="K4" s="73"/>
      <c r="L4" s="73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73" t="str">
        <f>CONCATENATE("______________________ ", IF(Source!AL12&lt;&gt;"", Source!AL12, ""))</f>
        <v xml:space="preserve">______________________ </v>
      </c>
      <c r="C6" s="73"/>
      <c r="D6" s="73"/>
      <c r="E6" s="73"/>
      <c r="F6" s="11"/>
      <c r="G6" s="11"/>
      <c r="H6" s="73" t="str">
        <f>CONCATENATE("______________________ ", IF(Source!AH12&lt;&gt;"", Source!AH12, ""))</f>
        <v xml:space="preserve">______________________ </v>
      </c>
      <c r="I6" s="73"/>
      <c r="J6" s="73"/>
      <c r="K6" s="73"/>
      <c r="L6" s="73"/>
    </row>
    <row r="7" spans="1:12" ht="14.25">
      <c r="A7" s="16"/>
      <c r="B7" s="90" t="s">
        <v>611</v>
      </c>
      <c r="C7" s="90"/>
      <c r="D7" s="90"/>
      <c r="E7" s="90"/>
      <c r="F7" s="11"/>
      <c r="G7" s="11"/>
      <c r="H7" s="90" t="s">
        <v>611</v>
      </c>
      <c r="I7" s="90"/>
      <c r="J7" s="90"/>
      <c r="K7" s="90"/>
      <c r="L7" s="90"/>
    </row>
    <row r="10" spans="1:12" ht="15.75">
      <c r="A10" s="16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16"/>
    </row>
    <row r="11" spans="1:12" ht="14.25">
      <c r="A11" s="17"/>
      <c r="B11" s="91" t="s">
        <v>612</v>
      </c>
      <c r="C11" s="91"/>
      <c r="D11" s="91"/>
      <c r="E11" s="91"/>
      <c r="F11" s="91"/>
      <c r="G11" s="91"/>
      <c r="H11" s="91"/>
      <c r="I11" s="91"/>
      <c r="J11" s="91"/>
      <c r="K11" s="91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4" t="s">
        <v>613</v>
      </c>
      <c r="G13" s="74"/>
      <c r="H13" s="80" t="str">
        <f>IF(Source!F12&lt;&gt;"Новый объект", Source!F12, "")</f>
        <v/>
      </c>
      <c r="I13" s="80"/>
      <c r="J13" s="80"/>
      <c r="K13" s="80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85" t="str">
        <f>CONCATENATE( "ЛОКАЛЬНАЯ СМЕТА № ",IF(Source!F12&lt;&gt;"Новый объект", Source!F12, ""))</f>
        <v xml:space="preserve">ЛОКАЛЬНАЯ СМЕТА № </v>
      </c>
      <c r="C15" s="85"/>
      <c r="D15" s="85"/>
      <c r="E15" s="85"/>
      <c r="F15" s="85"/>
      <c r="G15" s="85"/>
      <c r="H15" s="85"/>
      <c r="I15" s="85"/>
      <c r="J15" s="85"/>
      <c r="K15" s="85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87" t="str">
        <f>IF(Source!G12&lt;&gt;"Новый объект", Source!G12, "")</f>
        <v>Ремонт выходов  ОВП 1 этаж ИП 2021</v>
      </c>
      <c r="C19" s="87"/>
      <c r="D19" s="87"/>
      <c r="E19" s="87"/>
      <c r="F19" s="87"/>
      <c r="G19" s="87"/>
      <c r="H19" s="87"/>
      <c r="I19" s="87"/>
      <c r="J19" s="87"/>
      <c r="K19" s="87"/>
      <c r="L19" s="21"/>
    </row>
    <row r="20" spans="1:12" ht="14.25">
      <c r="A20" s="11"/>
      <c r="B20" s="88" t="s">
        <v>614</v>
      </c>
      <c r="C20" s="88"/>
      <c r="D20" s="88"/>
      <c r="E20" s="88"/>
      <c r="F20" s="88"/>
      <c r="G20" s="88"/>
      <c r="H20" s="88"/>
      <c r="I20" s="88"/>
      <c r="J20" s="88"/>
      <c r="K20" s="88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80" t="str">
        <f>CONCATENATE("Основание: ", Source!J12)</f>
        <v xml:space="preserve">Основание: 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89" t="s">
        <v>615</v>
      </c>
      <c r="H25" s="89"/>
      <c r="I25" s="89" t="s">
        <v>616</v>
      </c>
      <c r="J25" s="89"/>
      <c r="K25" s="11"/>
      <c r="L25" s="11"/>
    </row>
    <row r="26" spans="1:12" ht="15">
      <c r="A26" s="11"/>
      <c r="B26" s="11"/>
      <c r="C26" s="82" t="s">
        <v>617</v>
      </c>
      <c r="D26" s="82"/>
      <c r="E26" s="82"/>
      <c r="F26" s="82"/>
      <c r="G26" s="81">
        <f>SUM(O1:O316)/1000</f>
        <v>63.673720000000017</v>
      </c>
      <c r="H26" s="81"/>
      <c r="I26" s="81">
        <f>(Source!F231/1000)</f>
        <v>394.21906000000001</v>
      </c>
      <c r="J26" s="81"/>
      <c r="K26" s="83" t="s">
        <v>618</v>
      </c>
      <c r="L26" s="83"/>
    </row>
    <row r="27" spans="1:12" ht="14.25">
      <c r="A27" s="11"/>
      <c r="B27" s="11"/>
      <c r="C27" s="84" t="s">
        <v>619</v>
      </c>
      <c r="D27" s="84"/>
      <c r="E27" s="84"/>
      <c r="F27" s="84"/>
      <c r="G27" s="81">
        <f>SUM(W1:W316)/1000</f>
        <v>62.648720000000019</v>
      </c>
      <c r="H27" s="81"/>
      <c r="I27" s="81">
        <f>(Source!F218)/1000</f>
        <v>327.49088</v>
      </c>
      <c r="J27" s="81"/>
      <c r="K27" s="83" t="s">
        <v>618</v>
      </c>
      <c r="L27" s="83"/>
    </row>
    <row r="28" spans="1:12" ht="14.25">
      <c r="A28" s="11"/>
      <c r="B28" s="11"/>
      <c r="C28" s="84" t="s">
        <v>620</v>
      </c>
      <c r="D28" s="84"/>
      <c r="E28" s="84"/>
      <c r="F28" s="84"/>
      <c r="G28" s="81">
        <f>SUM(X1:X316)/1000</f>
        <v>0</v>
      </c>
      <c r="H28" s="81"/>
      <c r="I28" s="81">
        <f>(Source!F219)/1000</f>
        <v>0</v>
      </c>
      <c r="J28" s="81"/>
      <c r="K28" s="83" t="s">
        <v>618</v>
      </c>
      <c r="L28" s="83"/>
    </row>
    <row r="29" spans="1:12" ht="14.25">
      <c r="A29" s="11"/>
      <c r="B29" s="11"/>
      <c r="C29" s="84" t="s">
        <v>621</v>
      </c>
      <c r="D29" s="84"/>
      <c r="E29" s="84"/>
      <c r="F29" s="84"/>
      <c r="G29" s="81">
        <f>SUM(Y1:Y316)/1000</f>
        <v>0</v>
      </c>
      <c r="H29" s="81"/>
      <c r="I29" s="81">
        <f>(Source!F210)/1000</f>
        <v>0</v>
      </c>
      <c r="J29" s="81"/>
      <c r="K29" s="83" t="s">
        <v>618</v>
      </c>
      <c r="L29" s="83"/>
    </row>
    <row r="30" spans="1:12" ht="14.25">
      <c r="A30" s="11"/>
      <c r="B30" s="11"/>
      <c r="C30" s="84" t="s">
        <v>622</v>
      </c>
      <c r="D30" s="84"/>
      <c r="E30" s="84"/>
      <c r="F30" s="84"/>
      <c r="G30" s="81">
        <f>SUM(Z1:Z316)/1000</f>
        <v>1.0249999999999999</v>
      </c>
      <c r="H30" s="81"/>
      <c r="I30" s="81">
        <f>(Source!F220+Source!F221)/1000</f>
        <v>1.0249999999999999</v>
      </c>
      <c r="J30" s="81"/>
      <c r="K30" s="83" t="s">
        <v>618</v>
      </c>
      <c r="L30" s="83"/>
    </row>
    <row r="31" spans="1:12" ht="15">
      <c r="A31" s="11"/>
      <c r="B31" s="11"/>
      <c r="C31" s="82" t="s">
        <v>623</v>
      </c>
      <c r="D31" s="82"/>
      <c r="E31" s="82"/>
      <c r="F31" s="82"/>
      <c r="G31" s="81">
        <f>I31</f>
        <v>207.89185849999998</v>
      </c>
      <c r="H31" s="81"/>
      <c r="I31" s="81">
        <f>(Source!F223+Source!F224)</f>
        <v>207.89185849999998</v>
      </c>
      <c r="J31" s="81"/>
      <c r="K31" s="83" t="s">
        <v>624</v>
      </c>
      <c r="L31" s="83"/>
    </row>
    <row r="32" spans="1:12" ht="15">
      <c r="A32" s="11"/>
      <c r="B32" s="11"/>
      <c r="C32" s="82" t="s">
        <v>625</v>
      </c>
      <c r="D32" s="82"/>
      <c r="E32" s="82"/>
      <c r="F32" s="82"/>
      <c r="G32" s="81">
        <f>SUM(R1:R316)/1000</f>
        <v>1.8646299999999998</v>
      </c>
      <c r="H32" s="81"/>
      <c r="I32" s="81">
        <f>(Source!F216+ Source!F215)/1000</f>
        <v>61.626059999999995</v>
      </c>
      <c r="J32" s="81"/>
      <c r="K32" s="83" t="s">
        <v>618</v>
      </c>
      <c r="L32" s="83"/>
    </row>
    <row r="33" spans="1:22" ht="14.25" hidden="1">
      <c r="A33" s="11"/>
      <c r="B33" s="11"/>
      <c r="C33" s="84" t="s">
        <v>81</v>
      </c>
      <c r="D33" s="84"/>
      <c r="E33" s="84"/>
      <c r="F33" s="84"/>
      <c r="G33" s="81"/>
      <c r="H33" s="81"/>
      <c r="I33" s="81"/>
      <c r="J33" s="81"/>
      <c r="K33" s="23" t="s">
        <v>618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626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627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79" t="s">
        <v>640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</row>
    <row r="39" spans="1:22" ht="57">
      <c r="A39" s="28" t="s">
        <v>628</v>
      </c>
      <c r="B39" s="28" t="s">
        <v>629</v>
      </c>
      <c r="C39" s="28" t="s">
        <v>630</v>
      </c>
      <c r="D39" s="28" t="s">
        <v>631</v>
      </c>
      <c r="E39" s="28" t="s">
        <v>632</v>
      </c>
      <c r="F39" s="28" t="s">
        <v>633</v>
      </c>
      <c r="G39" s="28" t="s">
        <v>634</v>
      </c>
      <c r="H39" s="28" t="s">
        <v>635</v>
      </c>
      <c r="I39" s="28" t="s">
        <v>636</v>
      </c>
      <c r="J39" s="28" t="s">
        <v>637</v>
      </c>
      <c r="K39" s="28" t="s">
        <v>638</v>
      </c>
      <c r="L39" s="28" t="s">
        <v>639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77" t="str">
        <f>CONCATENATE("Локальная смета: ",IF(Source!G20&lt;&gt;"Новая локальная смета", Source!G20, ""))</f>
        <v xml:space="preserve">Локальная смета: 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4" spans="1:22" ht="16.5">
      <c r="A44" s="77" t="str">
        <f>CONCATENATE("Раздел: ",IF(Source!G24&lt;&gt;"Новый раздел", Source!G24, ""))</f>
        <v>Раздел: Демонтаж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22" ht="42.75">
      <c r="A45" s="23" t="str">
        <f>Source!E28</f>
        <v>1</v>
      </c>
      <c r="B45" s="55" t="str">
        <f>Source!F28</f>
        <v>56-10-1</v>
      </c>
      <c r="C45" s="55" t="str">
        <f>Source!G28</f>
        <v>Снятие дверных полотен</v>
      </c>
      <c r="D45" s="37" t="str">
        <f>Source!H28</f>
        <v>100 м2 дверных полотен</v>
      </c>
      <c r="E45" s="10">
        <f>Source!I28</f>
        <v>6.4000000000000001E-2</v>
      </c>
      <c r="F45" s="38">
        <f>Source!AL28+Source!AM28+Source!AO28</f>
        <v>288.06</v>
      </c>
      <c r="G45" s="39"/>
      <c r="H45" s="40"/>
      <c r="I45" s="39" t="str">
        <f>Source!BO28</f>
        <v>56-10-1</v>
      </c>
      <c r="J45" s="39"/>
      <c r="K45" s="40"/>
      <c r="L45" s="41"/>
      <c r="S45">
        <f>ROUND((Source!FX28/100)*((ROUND(Source!AF28*Source!I28, 2)+ROUND(Source!AE28*Source!I28, 2))), 2)</f>
        <v>15.12</v>
      </c>
      <c r="T45">
        <f>Source!X28</f>
        <v>499.63</v>
      </c>
      <c r="U45">
        <f>ROUND((Source!FY28/100)*((ROUND(Source!AF28*Source!I28, 2)+ROUND(Source!AE28*Source!I28, 2))), 2)</f>
        <v>11.43</v>
      </c>
      <c r="V45">
        <f>Source!Y28</f>
        <v>377.77</v>
      </c>
    </row>
    <row r="46" spans="1:22">
      <c r="C46" s="31" t="str">
        <f>"Объем: "&amp;Source!I28&amp;"=6,4/"&amp;"100"</f>
        <v>Объем: 0,064=6,4/100</v>
      </c>
    </row>
    <row r="47" spans="1:22" ht="14.25">
      <c r="A47" s="23"/>
      <c r="B47" s="55"/>
      <c r="C47" s="55" t="s">
        <v>641</v>
      </c>
      <c r="D47" s="37"/>
      <c r="E47" s="10"/>
      <c r="F47" s="38">
        <f>Source!AO28</f>
        <v>288.06</v>
      </c>
      <c r="G47" s="39" t="str">
        <f>Source!DG28</f>
        <v/>
      </c>
      <c r="H47" s="40">
        <f>ROUND(Source!AF28*Source!I28, 2)</f>
        <v>18.440000000000001</v>
      </c>
      <c r="I47" s="39"/>
      <c r="J47" s="39">
        <f>IF(Source!BA28&lt;&gt; 0, Source!BA28, 1)</f>
        <v>33.049999999999997</v>
      </c>
      <c r="K47" s="40">
        <f>Source!S28</f>
        <v>609.29999999999995</v>
      </c>
      <c r="L47" s="41"/>
      <c r="R47">
        <f>H47</f>
        <v>18.440000000000001</v>
      </c>
    </row>
    <row r="48" spans="1:22" ht="14.25">
      <c r="A48" s="23"/>
      <c r="B48" s="55"/>
      <c r="C48" s="55" t="s">
        <v>642</v>
      </c>
      <c r="D48" s="37" t="s">
        <v>643</v>
      </c>
      <c r="E48" s="10">
        <f>Source!BZ28</f>
        <v>82</v>
      </c>
      <c r="F48" s="58"/>
      <c r="G48" s="39"/>
      <c r="H48" s="40">
        <f>SUM(S45:S51)</f>
        <v>15.12</v>
      </c>
      <c r="I48" s="42"/>
      <c r="J48" s="36">
        <f>Source!AT28</f>
        <v>82</v>
      </c>
      <c r="K48" s="40">
        <f>SUM(T45:T51)</f>
        <v>499.63</v>
      </c>
      <c r="L48" s="41"/>
    </row>
    <row r="49" spans="1:26" ht="14.25">
      <c r="A49" s="23"/>
      <c r="B49" s="55"/>
      <c r="C49" s="55" t="s">
        <v>644</v>
      </c>
      <c r="D49" s="37" t="s">
        <v>643</v>
      </c>
      <c r="E49" s="10">
        <f>Source!CA28</f>
        <v>62</v>
      </c>
      <c r="F49" s="58"/>
      <c r="G49" s="39"/>
      <c r="H49" s="40">
        <f>SUM(U45:U51)</f>
        <v>11.43</v>
      </c>
      <c r="I49" s="42"/>
      <c r="J49" s="36">
        <f>Source!AU28</f>
        <v>62</v>
      </c>
      <c r="K49" s="40">
        <f>SUM(V45:V51)</f>
        <v>377.77</v>
      </c>
      <c r="L49" s="41"/>
    </row>
    <row r="50" spans="1:26" ht="14.25">
      <c r="A50" s="23"/>
      <c r="B50" s="55"/>
      <c r="C50" s="55" t="s">
        <v>645</v>
      </c>
      <c r="D50" s="37" t="s">
        <v>646</v>
      </c>
      <c r="E50" s="10">
        <f>Source!AQ28</f>
        <v>36.28</v>
      </c>
      <c r="F50" s="38"/>
      <c r="G50" s="39" t="str">
        <f>Source!DI28</f>
        <v/>
      </c>
      <c r="H50" s="40"/>
      <c r="I50" s="39"/>
      <c r="J50" s="39"/>
      <c r="K50" s="40"/>
      <c r="L50" s="43">
        <f>Source!U28</f>
        <v>2.32192</v>
      </c>
    </row>
    <row r="51" spans="1:26" ht="14.25">
      <c r="A51" s="56" t="str">
        <f>Source!E29</f>
        <v>1,1</v>
      </c>
      <c r="B51" s="57" t="str">
        <f>Source!F29</f>
        <v>509-9900</v>
      </c>
      <c r="C51" s="57" t="str">
        <f>Source!G29</f>
        <v>Строительный мусор</v>
      </c>
      <c r="D51" s="44" t="str">
        <f>Source!H29</f>
        <v>т</v>
      </c>
      <c r="E51" s="45">
        <f>Source!I29</f>
        <v>7.5520000000000004E-2</v>
      </c>
      <c r="F51" s="46">
        <f>Source!AL29+Source!AM29+Source!AO29</f>
        <v>0</v>
      </c>
      <c r="G51" s="47" t="s">
        <v>3</v>
      </c>
      <c r="H51" s="48">
        <f>ROUND(Source!AC29*Source!I29, 2)+ROUND(Source!AD29*Source!I29, 2)+ROUND(Source!AF29*Source!I29, 2)</f>
        <v>0</v>
      </c>
      <c r="I51" s="49"/>
      <c r="J51" s="49">
        <f>IF(Source!BC29&lt;&gt; 0, Source!BC29, 1)</f>
        <v>1</v>
      </c>
      <c r="K51" s="48">
        <f>Source!O29</f>
        <v>0</v>
      </c>
      <c r="L51" s="50"/>
      <c r="S51">
        <f>ROUND((Source!FX29/100)*((ROUND(Source!AF29*Source!I29, 2)+ROUND(Source!AE29*Source!I29, 2))), 2)</f>
        <v>0</v>
      </c>
      <c r="T51">
        <f>Source!X29</f>
        <v>0</v>
      </c>
      <c r="U51">
        <f>ROUND((Source!FY29/100)*((ROUND(Source!AF29*Source!I29, 2)+ROUND(Source!AE29*Source!I29, 2))), 2)</f>
        <v>0</v>
      </c>
      <c r="V51">
        <f>Source!Y29</f>
        <v>0</v>
      </c>
      <c r="W51">
        <f>IF(Source!BI29&lt;=1,H51, 0)</f>
        <v>0</v>
      </c>
      <c r="X51">
        <f>IF(Source!BI29=2,H51, 0)</f>
        <v>0</v>
      </c>
      <c r="Y51">
        <f>IF(Source!BI29=3,H51, 0)</f>
        <v>0</v>
      </c>
      <c r="Z51">
        <f>IF(Source!BI29=4,H51, 0)</f>
        <v>0</v>
      </c>
    </row>
    <row r="52" spans="1:26" ht="15">
      <c r="G52" s="72">
        <f>H47+H48+H49+SUM(H51:H51)</f>
        <v>44.99</v>
      </c>
      <c r="H52" s="72"/>
      <c r="J52" s="72">
        <f>K47+K48+K49+SUM(K51:K51)</f>
        <v>1486.6999999999998</v>
      </c>
      <c r="K52" s="72"/>
      <c r="L52" s="51">
        <f>Source!U28</f>
        <v>2.32192</v>
      </c>
      <c r="O52" s="32">
        <f>G52</f>
        <v>44.99</v>
      </c>
      <c r="P52" s="32">
        <f>J52</f>
        <v>1486.6999999999998</v>
      </c>
      <c r="Q52" s="32">
        <f>L52</f>
        <v>2.32192</v>
      </c>
      <c r="W52">
        <f>IF(Source!BI28&lt;=1,H47+H48+H49, 0)</f>
        <v>44.99</v>
      </c>
      <c r="X52">
        <f>IF(Source!BI28=2,H47+H48+H49, 0)</f>
        <v>0</v>
      </c>
      <c r="Y52">
        <f>IF(Source!BI28=3,H47+H48+H49, 0)</f>
        <v>0</v>
      </c>
      <c r="Z52">
        <f>IF(Source!BI28=4,H47+H48+H49, 0)</f>
        <v>0</v>
      </c>
    </row>
    <row r="53" spans="1:26" ht="42.75">
      <c r="A53" s="23" t="str">
        <f>Source!E30</f>
        <v>2</v>
      </c>
      <c r="B53" s="55" t="str">
        <f>Source!F30</f>
        <v>56-9-1</v>
      </c>
      <c r="C53" s="55" t="str">
        <f>Source!G30</f>
        <v>Демонтаж дверных коробок в каменных стенах с отбивкой штукатурки в откосах</v>
      </c>
      <c r="D53" s="37" t="str">
        <f>Source!H30</f>
        <v>100 коробок</v>
      </c>
      <c r="E53" s="10">
        <f>Source!I30</f>
        <v>0.13</v>
      </c>
      <c r="F53" s="38">
        <f>Source!AL30+Source!AM30+Source!AO30</f>
        <v>1634.97</v>
      </c>
      <c r="G53" s="39"/>
      <c r="H53" s="40"/>
      <c r="I53" s="39" t="str">
        <f>Source!BO30</f>
        <v>56-9-1</v>
      </c>
      <c r="J53" s="39"/>
      <c r="K53" s="40"/>
      <c r="L53" s="41"/>
      <c r="S53">
        <f>ROUND((Source!FX30/100)*((ROUND(Source!AF30*Source!I30, 2)+ROUND(Source!AE30*Source!I30, 2))), 2)</f>
        <v>157.55000000000001</v>
      </c>
      <c r="T53">
        <f>Source!X30</f>
        <v>5206.93</v>
      </c>
      <c r="U53">
        <f>ROUND((Source!FY30/100)*((ROUND(Source!AF30*Source!I30, 2)+ROUND(Source!AE30*Source!I30, 2))), 2)</f>
        <v>119.12</v>
      </c>
      <c r="V53">
        <f>Source!Y30</f>
        <v>3936.95</v>
      </c>
    </row>
    <row r="54" spans="1:26">
      <c r="C54" s="31" t="str">
        <f>"Объем: "&amp;Source!I30&amp;"=13/"&amp;"100"</f>
        <v>Объем: 0,13=13/100</v>
      </c>
    </row>
    <row r="55" spans="1:26" ht="14.25">
      <c r="A55" s="23"/>
      <c r="B55" s="55"/>
      <c r="C55" s="55" t="s">
        <v>641</v>
      </c>
      <c r="D55" s="37"/>
      <c r="E55" s="10"/>
      <c r="F55" s="38">
        <f>Source!AO30</f>
        <v>1437.99</v>
      </c>
      <c r="G55" s="39" t="str">
        <f>Source!DG30</f>
        <v/>
      </c>
      <c r="H55" s="40">
        <f>ROUND(Source!AF30*Source!I30, 2)</f>
        <v>186.94</v>
      </c>
      <c r="I55" s="39"/>
      <c r="J55" s="39">
        <f>IF(Source!BA30&lt;&gt; 0, Source!BA30, 1)</f>
        <v>33.049999999999997</v>
      </c>
      <c r="K55" s="40">
        <f>Source!S30</f>
        <v>6178.32</v>
      </c>
      <c r="L55" s="41"/>
      <c r="R55">
        <f>H55</f>
        <v>186.94</v>
      </c>
    </row>
    <row r="56" spans="1:26" ht="14.25">
      <c r="A56" s="23"/>
      <c r="B56" s="55"/>
      <c r="C56" s="55" t="s">
        <v>63</v>
      </c>
      <c r="D56" s="37"/>
      <c r="E56" s="10"/>
      <c r="F56" s="38">
        <f>Source!AM30</f>
        <v>196.98</v>
      </c>
      <c r="G56" s="39" t="str">
        <f>Source!DE30</f>
        <v/>
      </c>
      <c r="H56" s="40">
        <f>ROUND(Source!AD30*Source!I30, 2)</f>
        <v>25.61</v>
      </c>
      <c r="I56" s="39"/>
      <c r="J56" s="39">
        <f>IF(Source!BB30&lt;&gt; 0, Source!BB30, 1)</f>
        <v>11.07</v>
      </c>
      <c r="K56" s="40">
        <f>Source!Q30</f>
        <v>283.47000000000003</v>
      </c>
      <c r="L56" s="41"/>
    </row>
    <row r="57" spans="1:26" ht="14.25">
      <c r="A57" s="23"/>
      <c r="B57" s="55"/>
      <c r="C57" s="55" t="s">
        <v>647</v>
      </c>
      <c r="D57" s="37"/>
      <c r="E57" s="10"/>
      <c r="F57" s="38">
        <f>Source!AN30</f>
        <v>39.94</v>
      </c>
      <c r="G57" s="39" t="str">
        <f>Source!DF30</f>
        <v/>
      </c>
      <c r="H57" s="52">
        <f>ROUND(Source!AE30*Source!I30, 2)</f>
        <v>5.19</v>
      </c>
      <c r="I57" s="39"/>
      <c r="J57" s="39">
        <f>IF(Source!BS30&lt;&gt; 0, Source!BS30, 1)</f>
        <v>33.049999999999997</v>
      </c>
      <c r="K57" s="52">
        <f>Source!R30</f>
        <v>171.6</v>
      </c>
      <c r="L57" s="41"/>
      <c r="R57">
        <f>H57</f>
        <v>5.19</v>
      </c>
    </row>
    <row r="58" spans="1:26" ht="14.25">
      <c r="A58" s="23"/>
      <c r="B58" s="55"/>
      <c r="C58" s="55" t="s">
        <v>642</v>
      </c>
      <c r="D58" s="37" t="s">
        <v>643</v>
      </c>
      <c r="E58" s="10">
        <f>Source!BZ30</f>
        <v>82</v>
      </c>
      <c r="F58" s="58"/>
      <c r="G58" s="39"/>
      <c r="H58" s="40">
        <f>SUM(S53:S61)</f>
        <v>157.55000000000001</v>
      </c>
      <c r="I58" s="42"/>
      <c r="J58" s="36">
        <f>Source!AT30</f>
        <v>82</v>
      </c>
      <c r="K58" s="40">
        <f>SUM(T53:T61)</f>
        <v>5206.93</v>
      </c>
      <c r="L58" s="41"/>
    </row>
    <row r="59" spans="1:26" ht="14.25">
      <c r="A59" s="23"/>
      <c r="B59" s="55"/>
      <c r="C59" s="55" t="s">
        <v>644</v>
      </c>
      <c r="D59" s="37" t="s">
        <v>643</v>
      </c>
      <c r="E59" s="10">
        <f>Source!CA30</f>
        <v>62</v>
      </c>
      <c r="F59" s="58"/>
      <c r="G59" s="39"/>
      <c r="H59" s="40">
        <f>SUM(U53:U61)</f>
        <v>119.12</v>
      </c>
      <c r="I59" s="42"/>
      <c r="J59" s="36">
        <f>Source!AU30</f>
        <v>62</v>
      </c>
      <c r="K59" s="40">
        <f>SUM(V53:V61)</f>
        <v>3936.95</v>
      </c>
      <c r="L59" s="41"/>
    </row>
    <row r="60" spans="1:26" ht="14.25">
      <c r="A60" s="23"/>
      <c r="B60" s="55"/>
      <c r="C60" s="55" t="s">
        <v>645</v>
      </c>
      <c r="D60" s="37" t="s">
        <v>646</v>
      </c>
      <c r="E60" s="10">
        <f>Source!AQ30</f>
        <v>179.3</v>
      </c>
      <c r="F60" s="38"/>
      <c r="G60" s="39" t="str">
        <f>Source!DI30</f>
        <v/>
      </c>
      <c r="H60" s="40"/>
      <c r="I60" s="39"/>
      <c r="J60" s="39"/>
      <c r="K60" s="40"/>
      <c r="L60" s="43">
        <f>Source!U30</f>
        <v>23.309000000000001</v>
      </c>
    </row>
    <row r="61" spans="1:26" ht="14.25">
      <c r="A61" s="56" t="str">
        <f>Source!E31</f>
        <v>2,1</v>
      </c>
      <c r="B61" s="57" t="str">
        <f>Source!F31</f>
        <v>509-9900</v>
      </c>
      <c r="C61" s="57" t="str">
        <f>Source!G31</f>
        <v>Строительный мусор</v>
      </c>
      <c r="D61" s="44" t="str">
        <f>Source!H31</f>
        <v>т</v>
      </c>
      <c r="E61" s="45">
        <f>Source!I31</f>
        <v>1.365</v>
      </c>
      <c r="F61" s="46">
        <f>Source!AL31+Source!AM31+Source!AO31</f>
        <v>0</v>
      </c>
      <c r="G61" s="47" t="s">
        <v>3</v>
      </c>
      <c r="H61" s="48">
        <f>ROUND(Source!AC31*Source!I31, 2)+ROUND(Source!AD31*Source!I31, 2)+ROUND(Source!AF31*Source!I31, 2)</f>
        <v>0</v>
      </c>
      <c r="I61" s="49"/>
      <c r="J61" s="49">
        <f>IF(Source!BC31&lt;&gt; 0, Source!BC31, 1)</f>
        <v>1</v>
      </c>
      <c r="K61" s="48">
        <f>Source!O31</f>
        <v>0</v>
      </c>
      <c r="L61" s="50"/>
      <c r="S61">
        <f>ROUND((Source!FX31/100)*((ROUND(Source!AF31*Source!I31, 2)+ROUND(Source!AE31*Source!I31, 2))), 2)</f>
        <v>0</v>
      </c>
      <c r="T61">
        <f>Source!X31</f>
        <v>0</v>
      </c>
      <c r="U61">
        <f>ROUND((Source!FY31/100)*((ROUND(Source!AF31*Source!I31, 2)+ROUND(Source!AE31*Source!I31, 2))), 2)</f>
        <v>0</v>
      </c>
      <c r="V61">
        <f>Source!Y31</f>
        <v>0</v>
      </c>
      <c r="W61">
        <f>IF(Source!BI31&lt;=1,H61, 0)</f>
        <v>0</v>
      </c>
      <c r="X61">
        <f>IF(Source!BI31=2,H61, 0)</f>
        <v>0</v>
      </c>
      <c r="Y61">
        <f>IF(Source!BI31=3,H61, 0)</f>
        <v>0</v>
      </c>
      <c r="Z61">
        <f>IF(Source!BI31=4,H61, 0)</f>
        <v>0</v>
      </c>
    </row>
    <row r="62" spans="1:26" ht="15">
      <c r="G62" s="72">
        <f>H55+H56+H58+H59+SUM(H61:H61)</f>
        <v>489.22</v>
      </c>
      <c r="H62" s="72"/>
      <c r="J62" s="72">
        <f>K55+K56+K58+K59+SUM(K61:K61)</f>
        <v>15605.670000000002</v>
      </c>
      <c r="K62" s="72"/>
      <c r="L62" s="51">
        <f>Source!U30</f>
        <v>23.309000000000001</v>
      </c>
      <c r="O62" s="32">
        <f>G62</f>
        <v>489.22</v>
      </c>
      <c r="P62" s="32">
        <f>J62</f>
        <v>15605.670000000002</v>
      </c>
      <c r="Q62" s="32">
        <f>L62</f>
        <v>23.309000000000001</v>
      </c>
      <c r="W62">
        <f>IF(Source!BI30&lt;=1,H55+H56+H58+H59, 0)</f>
        <v>489.22</v>
      </c>
      <c r="X62">
        <f>IF(Source!BI30=2,H55+H56+H58+H59, 0)</f>
        <v>0</v>
      </c>
      <c r="Y62">
        <f>IF(Source!BI30=3,H55+H56+H58+H59, 0)</f>
        <v>0</v>
      </c>
      <c r="Z62">
        <f>IF(Source!BI30=4,H55+H56+H58+H59, 0)</f>
        <v>0</v>
      </c>
    </row>
    <row r="63" spans="1:26" ht="42.75">
      <c r="A63" s="23" t="str">
        <f>Source!E32</f>
        <v>3</v>
      </c>
      <c r="B63" s="55" t="str">
        <f>Source!F32</f>
        <v>57-2-3</v>
      </c>
      <c r="C63" s="55" t="str">
        <f>Source!G32</f>
        <v>Разборка покрытий полов из керамических плиток</v>
      </c>
      <c r="D63" s="37" t="str">
        <f>Source!H32</f>
        <v>100 м2 покрытия</v>
      </c>
      <c r="E63" s="10">
        <f>Source!I32</f>
        <v>0.06</v>
      </c>
      <c r="F63" s="38">
        <f>Source!AL32+Source!AM32+Source!AO32</f>
        <v>641</v>
      </c>
      <c r="G63" s="39"/>
      <c r="H63" s="40"/>
      <c r="I63" s="39" t="str">
        <f>Source!BO32</f>
        <v>57-2-3</v>
      </c>
      <c r="J63" s="39"/>
      <c r="K63" s="40"/>
      <c r="L63" s="41"/>
      <c r="S63">
        <f>ROUND((Source!FX32/100)*((ROUND(Source!AF32*Source!I32, 2)+ROUND(Source!AE32*Source!I32, 2))), 2)</f>
        <v>29.54</v>
      </c>
      <c r="T63">
        <f>Source!X32</f>
        <v>976.32</v>
      </c>
      <c r="U63">
        <f>ROUND((Source!FY32/100)*((ROUND(Source!AF32*Source!I32, 2)+ROUND(Source!AE32*Source!I32, 2))), 2)</f>
        <v>25.11</v>
      </c>
      <c r="V63">
        <f>Source!Y32</f>
        <v>829.87</v>
      </c>
    </row>
    <row r="64" spans="1:26">
      <c r="C64" s="31" t="str">
        <f>"Объем: "&amp;Source!I32&amp;"=6/"&amp;"100"</f>
        <v>Объем: 0,06=6/100</v>
      </c>
    </row>
    <row r="65" spans="1:26" ht="14.25">
      <c r="A65" s="23"/>
      <c r="B65" s="55"/>
      <c r="C65" s="55" t="s">
        <v>641</v>
      </c>
      <c r="D65" s="37"/>
      <c r="E65" s="10"/>
      <c r="F65" s="38">
        <f>Source!AO32</f>
        <v>595.99</v>
      </c>
      <c r="G65" s="39" t="str">
        <f>Source!DG32</f>
        <v/>
      </c>
      <c r="H65" s="40">
        <f>ROUND(Source!AF32*Source!I32, 2)</f>
        <v>35.76</v>
      </c>
      <c r="I65" s="39"/>
      <c r="J65" s="39">
        <f>IF(Source!BA32&lt;&gt; 0, Source!BA32, 1)</f>
        <v>33.049999999999997</v>
      </c>
      <c r="K65" s="40">
        <f>Source!S32</f>
        <v>1181.8499999999999</v>
      </c>
      <c r="L65" s="41"/>
      <c r="R65">
        <f>H65</f>
        <v>35.76</v>
      </c>
    </row>
    <row r="66" spans="1:26" ht="14.25">
      <c r="A66" s="23"/>
      <c r="B66" s="55"/>
      <c r="C66" s="55" t="s">
        <v>63</v>
      </c>
      <c r="D66" s="37"/>
      <c r="E66" s="10"/>
      <c r="F66" s="38">
        <f>Source!AM32</f>
        <v>45.01</v>
      </c>
      <c r="G66" s="39" t="str">
        <f>Source!DE32</f>
        <v/>
      </c>
      <c r="H66" s="40">
        <f>ROUND(Source!AD32*Source!I32, 2)</f>
        <v>2.7</v>
      </c>
      <c r="I66" s="39"/>
      <c r="J66" s="39">
        <f>IF(Source!BB32&lt;&gt; 0, Source!BB32, 1)</f>
        <v>14.93</v>
      </c>
      <c r="K66" s="40">
        <f>Source!Q32</f>
        <v>40.32</v>
      </c>
      <c r="L66" s="41"/>
    </row>
    <row r="67" spans="1:26" ht="14.25">
      <c r="A67" s="23"/>
      <c r="B67" s="55"/>
      <c r="C67" s="55" t="s">
        <v>647</v>
      </c>
      <c r="D67" s="37"/>
      <c r="E67" s="10"/>
      <c r="F67" s="38">
        <f>Source!AN32</f>
        <v>19.440000000000001</v>
      </c>
      <c r="G67" s="39" t="str">
        <f>Source!DF32</f>
        <v/>
      </c>
      <c r="H67" s="52">
        <f>ROUND(Source!AE32*Source!I32, 2)</f>
        <v>1.17</v>
      </c>
      <c r="I67" s="39"/>
      <c r="J67" s="39">
        <f>IF(Source!BS32&lt;&gt; 0, Source!BS32, 1)</f>
        <v>33.049999999999997</v>
      </c>
      <c r="K67" s="52">
        <f>Source!R32</f>
        <v>38.549999999999997</v>
      </c>
      <c r="L67" s="41"/>
      <c r="R67">
        <f>H67</f>
        <v>1.17</v>
      </c>
    </row>
    <row r="68" spans="1:26" ht="14.25">
      <c r="A68" s="23"/>
      <c r="B68" s="55"/>
      <c r="C68" s="55" t="s">
        <v>642</v>
      </c>
      <c r="D68" s="37" t="s">
        <v>643</v>
      </c>
      <c r="E68" s="10">
        <f>Source!BZ32</f>
        <v>80</v>
      </c>
      <c r="F68" s="58"/>
      <c r="G68" s="39"/>
      <c r="H68" s="40">
        <f>SUM(S63:S71)</f>
        <v>29.54</v>
      </c>
      <c r="I68" s="42"/>
      <c r="J68" s="36">
        <f>Source!AT32</f>
        <v>80</v>
      </c>
      <c r="K68" s="40">
        <f>SUM(T63:T71)</f>
        <v>976.32</v>
      </c>
      <c r="L68" s="41"/>
    </row>
    <row r="69" spans="1:26" ht="14.25">
      <c r="A69" s="23"/>
      <c r="B69" s="55"/>
      <c r="C69" s="55" t="s">
        <v>644</v>
      </c>
      <c r="D69" s="37" t="s">
        <v>643</v>
      </c>
      <c r="E69" s="10">
        <f>Source!CA32</f>
        <v>68</v>
      </c>
      <c r="F69" s="58"/>
      <c r="G69" s="39"/>
      <c r="H69" s="40">
        <f>SUM(U63:U71)</f>
        <v>25.11</v>
      </c>
      <c r="I69" s="42"/>
      <c r="J69" s="36">
        <f>Source!AU32</f>
        <v>68</v>
      </c>
      <c r="K69" s="40">
        <f>SUM(V63:V71)</f>
        <v>829.87</v>
      </c>
      <c r="L69" s="41"/>
    </row>
    <row r="70" spans="1:26" ht="14.25">
      <c r="A70" s="23"/>
      <c r="B70" s="55"/>
      <c r="C70" s="55" t="s">
        <v>645</v>
      </c>
      <c r="D70" s="37" t="s">
        <v>646</v>
      </c>
      <c r="E70" s="10">
        <f>Source!AQ32</f>
        <v>69.87</v>
      </c>
      <c r="F70" s="38"/>
      <c r="G70" s="39" t="str">
        <f>Source!DI32</f>
        <v/>
      </c>
      <c r="H70" s="40"/>
      <c r="I70" s="39"/>
      <c r="J70" s="39"/>
      <c r="K70" s="40"/>
      <c r="L70" s="43">
        <f>Source!U32</f>
        <v>4.1921999999999997</v>
      </c>
    </row>
    <row r="71" spans="1:26" ht="14.25">
      <c r="A71" s="56" t="str">
        <f>Source!E33</f>
        <v>3,1</v>
      </c>
      <c r="B71" s="57" t="str">
        <f>Source!F33</f>
        <v>509-9900</v>
      </c>
      <c r="C71" s="57" t="str">
        <f>Source!G33</f>
        <v>Строительный мусор</v>
      </c>
      <c r="D71" s="44" t="str">
        <f>Source!H33</f>
        <v>т</v>
      </c>
      <c r="E71" s="45">
        <f>Source!I33</f>
        <v>0.312</v>
      </c>
      <c r="F71" s="46">
        <f>Source!AL33+Source!AM33+Source!AO33</f>
        <v>0</v>
      </c>
      <c r="G71" s="47" t="s">
        <v>3</v>
      </c>
      <c r="H71" s="48">
        <f>ROUND(Source!AC33*Source!I33, 2)+ROUND(Source!AD33*Source!I33, 2)+ROUND(Source!AF33*Source!I33, 2)</f>
        <v>0</v>
      </c>
      <c r="I71" s="49"/>
      <c r="J71" s="49">
        <f>IF(Source!BC33&lt;&gt; 0, Source!BC33, 1)</f>
        <v>1</v>
      </c>
      <c r="K71" s="48">
        <f>Source!O33</f>
        <v>0</v>
      </c>
      <c r="L71" s="50"/>
      <c r="S71">
        <f>ROUND((Source!FX33/100)*((ROUND(Source!AF33*Source!I33, 2)+ROUND(Source!AE33*Source!I33, 2))), 2)</f>
        <v>0</v>
      </c>
      <c r="T71">
        <f>Source!X33</f>
        <v>0</v>
      </c>
      <c r="U71">
        <f>ROUND((Source!FY33/100)*((ROUND(Source!AF33*Source!I33, 2)+ROUND(Source!AE33*Source!I33, 2))), 2)</f>
        <v>0</v>
      </c>
      <c r="V71">
        <f>Source!Y33</f>
        <v>0</v>
      </c>
      <c r="W71">
        <f>IF(Source!BI33&lt;=1,H71, 0)</f>
        <v>0</v>
      </c>
      <c r="X71">
        <f>IF(Source!BI33=2,H71, 0)</f>
        <v>0</v>
      </c>
      <c r="Y71">
        <f>IF(Source!BI33=3,H71, 0)</f>
        <v>0</v>
      </c>
      <c r="Z71">
        <f>IF(Source!BI33=4,H71, 0)</f>
        <v>0</v>
      </c>
    </row>
    <row r="72" spans="1:26" ht="15">
      <c r="G72" s="72">
        <f>H65+H66+H68+H69+SUM(H71:H71)</f>
        <v>93.11</v>
      </c>
      <c r="H72" s="72"/>
      <c r="J72" s="72">
        <f>K65+K66+K68+K69+SUM(K71:K71)</f>
        <v>3028.3599999999997</v>
      </c>
      <c r="K72" s="72"/>
      <c r="L72" s="51">
        <f>Source!U32</f>
        <v>4.1921999999999997</v>
      </c>
      <c r="O72" s="32">
        <f>G72</f>
        <v>93.11</v>
      </c>
      <c r="P72" s="32">
        <f>J72</f>
        <v>3028.3599999999997</v>
      </c>
      <c r="Q72" s="32">
        <f>L72</f>
        <v>4.1921999999999997</v>
      </c>
      <c r="W72">
        <f>IF(Source!BI32&lt;=1,H65+H66+H68+H69, 0)</f>
        <v>93.11</v>
      </c>
      <c r="X72">
        <f>IF(Source!BI32=2,H65+H66+H68+H69, 0)</f>
        <v>0</v>
      </c>
      <c r="Y72">
        <f>IF(Source!BI32=3,H65+H66+H68+H69, 0)</f>
        <v>0</v>
      </c>
      <c r="Z72">
        <f>IF(Source!BI32=4,H65+H66+H68+H69, 0)</f>
        <v>0</v>
      </c>
    </row>
    <row r="74" spans="1:26" ht="15">
      <c r="A74" s="76" t="str">
        <f>CONCATENATE("Итого по разделу: ",IF(Source!G35&lt;&gt;"Новый раздел", Source!G35, ""))</f>
        <v>Итого по разделу: Демонтаж</v>
      </c>
      <c r="B74" s="76"/>
      <c r="C74" s="76"/>
      <c r="D74" s="76"/>
      <c r="E74" s="76"/>
      <c r="F74" s="76"/>
      <c r="G74" s="75">
        <f>SUM(O44:O73)</f>
        <v>627.32000000000005</v>
      </c>
      <c r="H74" s="75"/>
      <c r="I74" s="35"/>
      <c r="J74" s="75">
        <f>SUM(P44:P73)</f>
        <v>20120.730000000003</v>
      </c>
      <c r="K74" s="75"/>
      <c r="L74" s="51">
        <f>SUM(Q44:Q73)</f>
        <v>29.823119999999999</v>
      </c>
    </row>
    <row r="78" spans="1:26" ht="16.5">
      <c r="A78" s="77" t="str">
        <f>CONCATENATE("Раздел: ",IF(Source!G65&lt;&gt;"Новый раздел", Source!G65, ""))</f>
        <v>Раздел: Монтаж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</row>
    <row r="79" spans="1:26" ht="79.5">
      <c r="A79" s="23" t="str">
        <f>Source!E69</f>
        <v>1</v>
      </c>
      <c r="B79" s="55" t="s">
        <v>648</v>
      </c>
      <c r="C79" s="55" t="str">
        <f>Source!G69</f>
        <v>Устройство козырьков</v>
      </c>
      <c r="D79" s="37" t="str">
        <f>Source!H69</f>
        <v>1 м2 горизонтальной проекции</v>
      </c>
      <c r="E79" s="10">
        <f>Source!I69</f>
        <v>6.4</v>
      </c>
      <c r="F79" s="38">
        <f>Source!AL69+Source!AM69+Source!AO69</f>
        <v>110.61999999999999</v>
      </c>
      <c r="G79" s="39"/>
      <c r="H79" s="40"/>
      <c r="I79" s="39" t="str">
        <f>Source!BO69</f>
        <v>10-01-052-4</v>
      </c>
      <c r="J79" s="39"/>
      <c r="K79" s="40"/>
      <c r="L79" s="41"/>
      <c r="S79">
        <f>ROUND((Source!FX69/100)*((ROUND(Source!AF69*Source!I69, 2)+ROUND(Source!AE69*Source!I69, 2))), 2)</f>
        <v>347.36</v>
      </c>
      <c r="T79">
        <f>Source!X69</f>
        <v>11458.54</v>
      </c>
      <c r="U79">
        <f>ROUND((Source!FY69/100)*((ROUND(Source!AF69*Source!I69, 2)+ROUND(Source!AE69*Source!I69, 2))), 2)</f>
        <v>175.15</v>
      </c>
      <c r="V79">
        <f>Source!Y69</f>
        <v>5837.37</v>
      </c>
    </row>
    <row r="80" spans="1:26" ht="14.25">
      <c r="A80" s="23"/>
      <c r="B80" s="55"/>
      <c r="C80" s="55" t="s">
        <v>641</v>
      </c>
      <c r="D80" s="37"/>
      <c r="E80" s="10"/>
      <c r="F80" s="38">
        <f>Source!AO69</f>
        <v>44.44</v>
      </c>
      <c r="G80" s="39" t="str">
        <f>Source!DG69</f>
        <v>)*1,15</v>
      </c>
      <c r="H80" s="40">
        <f>ROUND(Source!AF69*Source!I69, 2)</f>
        <v>327.08</v>
      </c>
      <c r="I80" s="39"/>
      <c r="J80" s="39">
        <f>IF(Source!BA69&lt;&gt; 0, Source!BA69, 1)</f>
        <v>33.049999999999997</v>
      </c>
      <c r="K80" s="40">
        <f>Source!S69</f>
        <v>10809.94</v>
      </c>
      <c r="L80" s="41"/>
      <c r="R80">
        <f>H80</f>
        <v>327.08</v>
      </c>
    </row>
    <row r="81" spans="1:26" ht="14.25">
      <c r="A81" s="23"/>
      <c r="B81" s="55"/>
      <c r="C81" s="55" t="s">
        <v>63</v>
      </c>
      <c r="D81" s="37"/>
      <c r="E81" s="10"/>
      <c r="F81" s="38">
        <f>Source!AM69</f>
        <v>1.74</v>
      </c>
      <c r="G81" s="39" t="str">
        <f>Source!DE69</f>
        <v>)*1,25</v>
      </c>
      <c r="H81" s="40">
        <f>ROUND(Source!AD69*Source!I69, 2)</f>
        <v>13.92</v>
      </c>
      <c r="I81" s="39"/>
      <c r="J81" s="39">
        <f>IF(Source!BB69&lt;&gt; 0, Source!BB69, 1)</f>
        <v>10.72</v>
      </c>
      <c r="K81" s="40">
        <f>Source!Q69</f>
        <v>149.22</v>
      </c>
      <c r="L81" s="41"/>
    </row>
    <row r="82" spans="1:26" ht="14.25">
      <c r="A82" s="23"/>
      <c r="B82" s="55"/>
      <c r="C82" s="55" t="s">
        <v>649</v>
      </c>
      <c r="D82" s="37"/>
      <c r="E82" s="10"/>
      <c r="F82" s="38">
        <f>Source!AL69</f>
        <v>64.44</v>
      </c>
      <c r="G82" s="39" t="str">
        <f>Source!DD69</f>
        <v/>
      </c>
      <c r="H82" s="40">
        <f>ROUND(Source!AC69*Source!I69, 2)</f>
        <v>412.42</v>
      </c>
      <c r="I82" s="39"/>
      <c r="J82" s="39">
        <f>IF(Source!BC69&lt;&gt; 0, Source!BC69, 1)</f>
        <v>4.71</v>
      </c>
      <c r="K82" s="40">
        <f>Source!P69</f>
        <v>1942.48</v>
      </c>
      <c r="L82" s="41"/>
    </row>
    <row r="83" spans="1:26" ht="14.25">
      <c r="A83" s="23"/>
      <c r="B83" s="55"/>
      <c r="C83" s="55" t="s">
        <v>642</v>
      </c>
      <c r="D83" s="37" t="s">
        <v>643</v>
      </c>
      <c r="E83" s="10">
        <f>Source!BZ69</f>
        <v>118</v>
      </c>
      <c r="F83" s="73" t="str">
        <f>CONCATENATE(" )", Source!DL69, Source!FT69, "=", Source!FX69)</f>
        <v xml:space="preserve"> )*0,9=106,2</v>
      </c>
      <c r="G83" s="74"/>
      <c r="H83" s="40">
        <f>SUM(S79:S85)</f>
        <v>347.36</v>
      </c>
      <c r="I83" s="42"/>
      <c r="J83" s="36">
        <f>Source!AT69</f>
        <v>106</v>
      </c>
      <c r="K83" s="40">
        <f>SUM(T79:T85)</f>
        <v>11458.54</v>
      </c>
      <c r="L83" s="41"/>
    </row>
    <row r="84" spans="1:26" ht="14.25">
      <c r="A84" s="23"/>
      <c r="B84" s="55"/>
      <c r="C84" s="55" t="s">
        <v>644</v>
      </c>
      <c r="D84" s="37" t="s">
        <v>643</v>
      </c>
      <c r="E84" s="10">
        <f>Source!CA69</f>
        <v>63</v>
      </c>
      <c r="F84" s="73" t="str">
        <f>CONCATENATE(" )", Source!DM69, Source!FU69, "=", Source!FY69)</f>
        <v xml:space="preserve"> )*0,85=53,55</v>
      </c>
      <c r="G84" s="74"/>
      <c r="H84" s="40">
        <f>SUM(U79:U85)</f>
        <v>175.15</v>
      </c>
      <c r="I84" s="42"/>
      <c r="J84" s="36">
        <f>Source!AU69</f>
        <v>54</v>
      </c>
      <c r="K84" s="40">
        <f>SUM(V79:V85)</f>
        <v>5837.37</v>
      </c>
      <c r="L84" s="41"/>
    </row>
    <row r="85" spans="1:26" ht="14.25">
      <c r="A85" s="56"/>
      <c r="B85" s="57"/>
      <c r="C85" s="57" t="s">
        <v>645</v>
      </c>
      <c r="D85" s="44" t="s">
        <v>646</v>
      </c>
      <c r="E85" s="45">
        <f>Source!AQ69</f>
        <v>4.9000000000000004</v>
      </c>
      <c r="F85" s="46"/>
      <c r="G85" s="49" t="str">
        <f>Source!DI69</f>
        <v>)*1,15</v>
      </c>
      <c r="H85" s="48"/>
      <c r="I85" s="49"/>
      <c r="J85" s="49"/>
      <c r="K85" s="48"/>
      <c r="L85" s="53">
        <f>Source!U69</f>
        <v>36.064</v>
      </c>
    </row>
    <row r="86" spans="1:26" ht="15">
      <c r="G86" s="72">
        <f>H80+H81+H82+H83+H84</f>
        <v>1275.9300000000003</v>
      </c>
      <c r="H86" s="72"/>
      <c r="J86" s="72">
        <f>K80+K81+K82+K83+K84</f>
        <v>30197.55</v>
      </c>
      <c r="K86" s="72"/>
      <c r="L86" s="51">
        <f>Source!U69</f>
        <v>36.064</v>
      </c>
      <c r="O86" s="32">
        <f>G86</f>
        <v>1275.9300000000003</v>
      </c>
      <c r="P86" s="32">
        <f>J86</f>
        <v>30197.55</v>
      </c>
      <c r="Q86" s="32">
        <f>L86</f>
        <v>36.064</v>
      </c>
      <c r="W86">
        <f>IF(Source!BI69&lt;=1,H80+H81+H82+H83+H84, 0)</f>
        <v>1275.9300000000003</v>
      </c>
      <c r="X86">
        <f>IF(Source!BI69=2,H80+H81+H82+H83+H84, 0)</f>
        <v>0</v>
      </c>
      <c r="Y86">
        <f>IF(Source!BI69=3,H80+H81+H82+H83+H84, 0)</f>
        <v>0</v>
      </c>
      <c r="Z86">
        <f>IF(Source!BI69=4,H80+H81+H82+H83+H84, 0)</f>
        <v>0</v>
      </c>
    </row>
    <row r="87" spans="1:26" ht="42.75">
      <c r="A87" s="23" t="str">
        <f>Source!E70</f>
        <v>2</v>
      </c>
      <c r="B87" s="55" t="str">
        <f>Source!F70</f>
        <v>09-04-002-1</v>
      </c>
      <c r="C87" s="55" t="str">
        <f>Source!G70</f>
        <v>Монтаж кровельного покрытия из профилированного листа при высоте здания до 25 м</v>
      </c>
      <c r="D87" s="37" t="str">
        <f>Source!H70</f>
        <v>100 м2 покрытия</v>
      </c>
      <c r="E87" s="10">
        <f>Source!I70</f>
        <v>6.4000000000000001E-2</v>
      </c>
      <c r="F87" s="38">
        <f>Source!AL70+Source!AM70+Source!AO70</f>
        <v>946.18</v>
      </c>
      <c r="G87" s="39"/>
      <c r="H87" s="40"/>
      <c r="I87" s="39" t="str">
        <f>Source!BO70</f>
        <v>09-04-002-1</v>
      </c>
      <c r="J87" s="39"/>
      <c r="K87" s="40"/>
      <c r="L87" s="41"/>
      <c r="S87">
        <f>ROUND((Source!FX70/100)*((ROUND(Source!AF70*Source!I70, 2)+ROUND(Source!AE70*Source!I70, 2))), 2)</f>
        <v>22.05</v>
      </c>
      <c r="T87">
        <f>Source!X70</f>
        <v>728.61</v>
      </c>
      <c r="U87">
        <f>ROUND((Source!FY70/100)*((ROUND(Source!AF70*Source!I70, 2)+ROUND(Source!AE70*Source!I70, 2))), 2)</f>
        <v>19.670000000000002</v>
      </c>
      <c r="V87">
        <f>Source!Y70</f>
        <v>647.65</v>
      </c>
    </row>
    <row r="88" spans="1:26">
      <c r="C88" s="31" t="str">
        <f>"Объем: "&amp;Source!I70&amp;"=6,4/"&amp;"100"</f>
        <v>Объем: 0,064=6,4/100</v>
      </c>
    </row>
    <row r="89" spans="1:26" ht="14.25">
      <c r="A89" s="23"/>
      <c r="B89" s="55"/>
      <c r="C89" s="55" t="s">
        <v>641</v>
      </c>
      <c r="D89" s="37"/>
      <c r="E89" s="10"/>
      <c r="F89" s="38">
        <f>Source!AO70</f>
        <v>310.27</v>
      </c>
      <c r="G89" s="39" t="str">
        <f>Source!DG70</f>
        <v>*1,25</v>
      </c>
      <c r="H89" s="40">
        <f>ROUND(Source!AF70*Source!I70, 2)</f>
        <v>24.82</v>
      </c>
      <c r="I89" s="39"/>
      <c r="J89" s="39">
        <f>IF(Source!BA70&lt;&gt; 0, Source!BA70, 1)</f>
        <v>33.049999999999997</v>
      </c>
      <c r="K89" s="40">
        <f>Source!S70</f>
        <v>820.35</v>
      </c>
      <c r="L89" s="41"/>
      <c r="R89">
        <f>H89</f>
        <v>24.82</v>
      </c>
    </row>
    <row r="90" spans="1:26" ht="14.25">
      <c r="A90" s="23"/>
      <c r="B90" s="55"/>
      <c r="C90" s="55" t="s">
        <v>63</v>
      </c>
      <c r="D90" s="37"/>
      <c r="E90" s="10"/>
      <c r="F90" s="38">
        <f>Source!AM70</f>
        <v>481.94</v>
      </c>
      <c r="G90" s="39" t="str">
        <f>Source!DE70</f>
        <v/>
      </c>
      <c r="H90" s="40">
        <f>ROUND(Source!AD70*Source!I70, 2)</f>
        <v>30.84</v>
      </c>
      <c r="I90" s="39"/>
      <c r="J90" s="39">
        <f>IF(Source!BB70&lt;&gt; 0, Source!BB70, 1)</f>
        <v>8.0399999999999991</v>
      </c>
      <c r="K90" s="40">
        <f>Source!Q70</f>
        <v>247.99</v>
      </c>
      <c r="L90" s="41"/>
    </row>
    <row r="91" spans="1:26" ht="14.25">
      <c r="A91" s="23"/>
      <c r="B91" s="55"/>
      <c r="C91" s="55" t="s">
        <v>647</v>
      </c>
      <c r="D91" s="37"/>
      <c r="E91" s="10"/>
      <c r="F91" s="38">
        <f>Source!AN70</f>
        <v>37.43</v>
      </c>
      <c r="G91" s="39" t="str">
        <f>Source!DF70</f>
        <v/>
      </c>
      <c r="H91" s="52">
        <f>ROUND(Source!AE70*Source!I70, 2)</f>
        <v>2.4</v>
      </c>
      <c r="I91" s="39"/>
      <c r="J91" s="39">
        <f>IF(Source!BS70&lt;&gt; 0, Source!BS70, 1)</f>
        <v>33.049999999999997</v>
      </c>
      <c r="K91" s="52">
        <f>Source!R70</f>
        <v>79.17</v>
      </c>
      <c r="L91" s="41"/>
      <c r="R91">
        <f>H91</f>
        <v>2.4</v>
      </c>
    </row>
    <row r="92" spans="1:26" ht="14.25">
      <c r="A92" s="23"/>
      <c r="B92" s="55"/>
      <c r="C92" s="55" t="s">
        <v>642</v>
      </c>
      <c r="D92" s="37" t="s">
        <v>643</v>
      </c>
      <c r="E92" s="10">
        <f>Source!BZ70</f>
        <v>90</v>
      </c>
      <c r="F92" s="73" t="str">
        <f>CONCATENATE(" )", Source!DL70, Source!FT70, "=", Source!FX70)</f>
        <v xml:space="preserve"> )*0,9=81</v>
      </c>
      <c r="G92" s="74"/>
      <c r="H92" s="40">
        <f>SUM(S87:S95)</f>
        <v>22.05</v>
      </c>
      <c r="I92" s="42"/>
      <c r="J92" s="36">
        <f>Source!AT70</f>
        <v>81</v>
      </c>
      <c r="K92" s="40">
        <f>SUM(T87:T95)</f>
        <v>728.61</v>
      </c>
      <c r="L92" s="41"/>
    </row>
    <row r="93" spans="1:26" ht="14.25">
      <c r="A93" s="23"/>
      <c r="B93" s="55"/>
      <c r="C93" s="55" t="s">
        <v>644</v>
      </c>
      <c r="D93" s="37" t="s">
        <v>643</v>
      </c>
      <c r="E93" s="10">
        <f>Source!CA70</f>
        <v>85</v>
      </c>
      <c r="F93" s="73" t="str">
        <f>CONCATENATE(" )", Source!DM70, Source!FU70, "=", Source!FY70)</f>
        <v xml:space="preserve"> )*0,85=72,25</v>
      </c>
      <c r="G93" s="74"/>
      <c r="H93" s="40">
        <f>SUM(U87:U95)</f>
        <v>19.670000000000002</v>
      </c>
      <c r="I93" s="42"/>
      <c r="J93" s="36">
        <f>Source!AU70</f>
        <v>72</v>
      </c>
      <c r="K93" s="40">
        <f>SUM(V87:V95)</f>
        <v>647.65</v>
      </c>
      <c r="L93" s="41"/>
    </row>
    <row r="94" spans="1:26" ht="14.25">
      <c r="A94" s="23"/>
      <c r="B94" s="55"/>
      <c r="C94" s="55" t="s">
        <v>645</v>
      </c>
      <c r="D94" s="37" t="s">
        <v>646</v>
      </c>
      <c r="E94" s="10">
        <f>Source!AQ70</f>
        <v>35.5</v>
      </c>
      <c r="F94" s="38"/>
      <c r="G94" s="39" t="str">
        <f>Source!DI70</f>
        <v>*1,25</v>
      </c>
      <c r="H94" s="40"/>
      <c r="I94" s="39"/>
      <c r="J94" s="39"/>
      <c r="K94" s="40"/>
      <c r="L94" s="43">
        <f>Source!U70</f>
        <v>2.84</v>
      </c>
    </row>
    <row r="95" spans="1:26" ht="42.75">
      <c r="A95" s="56" t="str">
        <f>Source!E71</f>
        <v>2,1</v>
      </c>
      <c r="B95" s="57" t="str">
        <f>Source!F71</f>
        <v>Цена поставщика</v>
      </c>
      <c r="C95" s="57" t="str">
        <f>Source!G71</f>
        <v>Профнастил оцинкованный С-21 0,4х1050x3000</v>
      </c>
      <c r="D95" s="44" t="str">
        <f>Source!H71</f>
        <v>шт.</v>
      </c>
      <c r="E95" s="45">
        <f>Source!I71</f>
        <v>2.8444440000000002</v>
      </c>
      <c r="F95" s="46">
        <f>Source!AL71+Source!AM71+Source!AO71</f>
        <v>683.33</v>
      </c>
      <c r="G95" s="47" t="s">
        <v>3</v>
      </c>
      <c r="H95" s="48">
        <f>ROUND(Source!AC71*Source!I71, 2)+ROUND(Source!AD71*Source!I71, 2)+ROUND(Source!AF71*Source!I71, 2)</f>
        <v>1943.69</v>
      </c>
      <c r="I95" s="49"/>
      <c r="J95" s="49">
        <f>IF(Source!BC71&lt;&gt; 0, Source!BC71, 1)</f>
        <v>1</v>
      </c>
      <c r="K95" s="48">
        <f>Source!O71</f>
        <v>1943.69</v>
      </c>
      <c r="L95" s="50"/>
      <c r="S95">
        <f>ROUND((Source!FX71/100)*((ROUND(Source!AF71*Source!I71, 2)+ROUND(Source!AE71*Source!I71, 2))), 2)</f>
        <v>0</v>
      </c>
      <c r="T95">
        <f>Source!X71</f>
        <v>0</v>
      </c>
      <c r="U95">
        <f>ROUND((Source!FY71/100)*((ROUND(Source!AF71*Source!I71, 2)+ROUND(Source!AE71*Source!I71, 2))), 2)</f>
        <v>0</v>
      </c>
      <c r="V95">
        <f>Source!Y71</f>
        <v>0</v>
      </c>
      <c r="W95">
        <f>IF(Source!BI71&lt;=1,H95, 0)</f>
        <v>1943.69</v>
      </c>
      <c r="X95">
        <f>IF(Source!BI71=2,H95, 0)</f>
        <v>0</v>
      </c>
      <c r="Y95">
        <f>IF(Source!BI71=3,H95, 0)</f>
        <v>0</v>
      </c>
      <c r="Z95">
        <f>IF(Source!BI71=4,H95, 0)</f>
        <v>0</v>
      </c>
    </row>
    <row r="96" spans="1:26" ht="15">
      <c r="G96" s="72">
        <f>H89+H90+H92+H93+SUM(H95:H95)</f>
        <v>2041.0700000000002</v>
      </c>
      <c r="H96" s="72"/>
      <c r="J96" s="72">
        <f>K89+K90+K92+K93+SUM(K95:K95)</f>
        <v>4388.2900000000009</v>
      </c>
      <c r="K96" s="72"/>
      <c r="L96" s="51">
        <f>Source!U70</f>
        <v>2.84</v>
      </c>
      <c r="O96" s="32">
        <f>G96</f>
        <v>2041.0700000000002</v>
      </c>
      <c r="P96" s="32">
        <f>J96</f>
        <v>4388.2900000000009</v>
      </c>
      <c r="Q96" s="32">
        <f>L96</f>
        <v>2.84</v>
      </c>
      <c r="W96">
        <f>IF(Source!BI70&lt;=1,H89+H90+H92+H93, 0)</f>
        <v>97.38</v>
      </c>
      <c r="X96">
        <f>IF(Source!BI70=2,H89+H90+H92+H93, 0)</f>
        <v>0</v>
      </c>
      <c r="Y96">
        <f>IF(Source!BI70=3,H89+H90+H92+H93, 0)</f>
        <v>0</v>
      </c>
      <c r="Z96">
        <f>IF(Source!BI70=4,H89+H90+H92+H93, 0)</f>
        <v>0</v>
      </c>
    </row>
    <row r="97" spans="1:26" ht="79.5">
      <c r="A97" s="23" t="str">
        <f>Source!E72</f>
        <v>3</v>
      </c>
      <c r="B97" s="55" t="s">
        <v>650</v>
      </c>
      <c r="C97" s="55" t="str">
        <f>Source!G72</f>
        <v>Установка металлических дверных блоков в готовые проемы</v>
      </c>
      <c r="D97" s="37" t="str">
        <f>Source!H72</f>
        <v>1 м2 проема</v>
      </c>
      <c r="E97" s="10">
        <f>Source!I72</f>
        <v>6.4</v>
      </c>
      <c r="F97" s="38">
        <f>Source!AL72+Source!AM72+Source!AO72</f>
        <v>68.55</v>
      </c>
      <c r="G97" s="39"/>
      <c r="H97" s="40"/>
      <c r="I97" s="39" t="str">
        <f>Source!BO72</f>
        <v>09-04-012-1</v>
      </c>
      <c r="J97" s="39"/>
      <c r="K97" s="40"/>
      <c r="L97" s="41"/>
      <c r="S97">
        <f>ROUND((Source!FX72/100)*((ROUND(Source!AF72*Source!I72, 2)+ROUND(Source!AE72*Source!I72, 2))), 2)</f>
        <v>141.94</v>
      </c>
      <c r="T97">
        <f>Source!X72</f>
        <v>4691.3</v>
      </c>
      <c r="U97">
        <f>ROUND((Source!FY72/100)*((ROUND(Source!AF72*Source!I72, 2)+ROUND(Source!AE72*Source!I72, 2))), 2)</f>
        <v>126.61</v>
      </c>
      <c r="V97">
        <f>Source!Y72</f>
        <v>4170.05</v>
      </c>
    </row>
    <row r="98" spans="1:26" ht="14.25">
      <c r="A98" s="23"/>
      <c r="B98" s="55"/>
      <c r="C98" s="55" t="s">
        <v>641</v>
      </c>
      <c r="D98" s="37"/>
      <c r="E98" s="10"/>
      <c r="F98" s="38">
        <f>Source!AO72</f>
        <v>23.81</v>
      </c>
      <c r="G98" s="39" t="str">
        <f>Source!DG72</f>
        <v>)*1,15</v>
      </c>
      <c r="H98" s="40">
        <f>ROUND(Source!AF72*Source!I72, 2)</f>
        <v>175.24</v>
      </c>
      <c r="I98" s="39"/>
      <c r="J98" s="39">
        <f>IF(Source!BA72&lt;&gt; 0, Source!BA72, 1)</f>
        <v>33.049999999999997</v>
      </c>
      <c r="K98" s="40">
        <f>Source!S72</f>
        <v>5791.73</v>
      </c>
      <c r="L98" s="41"/>
      <c r="R98">
        <f>H98</f>
        <v>175.24</v>
      </c>
    </row>
    <row r="99" spans="1:26" ht="14.25">
      <c r="A99" s="23"/>
      <c r="B99" s="55"/>
      <c r="C99" s="55" t="s">
        <v>63</v>
      </c>
      <c r="D99" s="37"/>
      <c r="E99" s="10"/>
      <c r="F99" s="38">
        <f>Source!AM72</f>
        <v>19.07</v>
      </c>
      <c r="G99" s="39" t="str">
        <f>Source!DE72</f>
        <v>)*1,25</v>
      </c>
      <c r="H99" s="40">
        <f>ROUND(Source!AD72*Source!I72, 2)</f>
        <v>152.56</v>
      </c>
      <c r="I99" s="39"/>
      <c r="J99" s="39">
        <f>IF(Source!BB72&lt;&gt; 0, Source!BB72, 1)</f>
        <v>10.01</v>
      </c>
      <c r="K99" s="40">
        <f>Source!Q72</f>
        <v>1527.13</v>
      </c>
      <c r="L99" s="41"/>
    </row>
    <row r="100" spans="1:26" ht="14.25">
      <c r="A100" s="23"/>
      <c r="B100" s="55"/>
      <c r="C100" s="55" t="s">
        <v>649</v>
      </c>
      <c r="D100" s="37"/>
      <c r="E100" s="10"/>
      <c r="F100" s="38">
        <f>Source!AL72</f>
        <v>25.67</v>
      </c>
      <c r="G100" s="39" t="str">
        <f>Source!DD72</f>
        <v/>
      </c>
      <c r="H100" s="40">
        <f>ROUND(Source!AC72*Source!I72, 2)</f>
        <v>164.29</v>
      </c>
      <c r="I100" s="39"/>
      <c r="J100" s="39">
        <f>IF(Source!BC72&lt;&gt; 0, Source!BC72, 1)</f>
        <v>6.1</v>
      </c>
      <c r="K100" s="40">
        <f>Source!P72</f>
        <v>1002.16</v>
      </c>
      <c r="L100" s="41"/>
    </row>
    <row r="101" spans="1:26" ht="14.25">
      <c r="A101" s="23"/>
      <c r="B101" s="55"/>
      <c r="C101" s="55" t="s">
        <v>642</v>
      </c>
      <c r="D101" s="37" t="s">
        <v>643</v>
      </c>
      <c r="E101" s="10">
        <f>Source!BZ72</f>
        <v>90</v>
      </c>
      <c r="F101" s="73" t="str">
        <f>CONCATENATE(" )", Source!DL72, Source!FT72, "=", Source!FX72)</f>
        <v xml:space="preserve"> )*0,9=81</v>
      </c>
      <c r="G101" s="74"/>
      <c r="H101" s="40">
        <f>SUM(S97:S105)</f>
        <v>141.94</v>
      </c>
      <c r="I101" s="42"/>
      <c r="J101" s="36">
        <f>Source!AT72</f>
        <v>81</v>
      </c>
      <c r="K101" s="40">
        <f>SUM(T97:T105)</f>
        <v>4691.3</v>
      </c>
      <c r="L101" s="41"/>
    </row>
    <row r="102" spans="1:26" ht="14.25">
      <c r="A102" s="23"/>
      <c r="B102" s="55"/>
      <c r="C102" s="55" t="s">
        <v>644</v>
      </c>
      <c r="D102" s="37" t="s">
        <v>643</v>
      </c>
      <c r="E102" s="10">
        <f>Source!CA72</f>
        <v>85</v>
      </c>
      <c r="F102" s="73" t="str">
        <f>CONCATENATE(" )", Source!DM72, Source!FU72, "=", Source!FY72)</f>
        <v xml:space="preserve"> )*0,85=72,25</v>
      </c>
      <c r="G102" s="74"/>
      <c r="H102" s="40">
        <f>SUM(U97:U105)</f>
        <v>126.61</v>
      </c>
      <c r="I102" s="42"/>
      <c r="J102" s="36">
        <f>Source!AU72</f>
        <v>72</v>
      </c>
      <c r="K102" s="40">
        <f>SUM(V97:V105)</f>
        <v>4170.05</v>
      </c>
      <c r="L102" s="41"/>
    </row>
    <row r="103" spans="1:26" ht="14.25">
      <c r="A103" s="23"/>
      <c r="B103" s="55"/>
      <c r="C103" s="55" t="s">
        <v>645</v>
      </c>
      <c r="D103" s="37" t="s">
        <v>646</v>
      </c>
      <c r="E103" s="10">
        <f>Source!AQ72</f>
        <v>2.4</v>
      </c>
      <c r="F103" s="38"/>
      <c r="G103" s="39" t="str">
        <f>Source!DI72</f>
        <v>)*1,15</v>
      </c>
      <c r="H103" s="40"/>
      <c r="I103" s="39"/>
      <c r="J103" s="39"/>
      <c r="K103" s="40"/>
      <c r="L103" s="43">
        <f>Source!U72</f>
        <v>17.663999999999998</v>
      </c>
    </row>
    <row r="104" spans="1:26" ht="42.75">
      <c r="A104" s="23" t="str">
        <f>Source!E73</f>
        <v>3,1</v>
      </c>
      <c r="B104" s="55" t="str">
        <f>Source!F73</f>
        <v>203-8113</v>
      </c>
      <c r="C104" s="55" t="str">
        <f>Source!G73</f>
        <v>Дверь противопожарная металлическая однопольная ДПМ-01/30, размером 800х2100 мм</v>
      </c>
      <c r="D104" s="37" t="str">
        <f>Source!H73</f>
        <v>шт.</v>
      </c>
      <c r="E104" s="10">
        <f>Source!I73</f>
        <v>2</v>
      </c>
      <c r="F104" s="38">
        <f>Source!AL73+Source!AM73+Source!AO73</f>
        <v>2906.8</v>
      </c>
      <c r="G104" s="54" t="s">
        <v>3</v>
      </c>
      <c r="H104" s="40">
        <f>ROUND(Source!AC73*Source!I73, 2)+ROUND(Source!AD73*Source!I73, 2)+ROUND(Source!AF73*Source!I73, 2)</f>
        <v>5813.6</v>
      </c>
      <c r="I104" s="39"/>
      <c r="J104" s="39">
        <f>IF(Source!BC73&lt;&gt; 0, Source!BC73, 1)</f>
        <v>3.76</v>
      </c>
      <c r="K104" s="40">
        <f>Source!O73</f>
        <v>21859.14</v>
      </c>
      <c r="L104" s="41"/>
      <c r="S104">
        <f>ROUND((Source!FX73/100)*((ROUND(Source!AF73*Source!I73, 2)+ROUND(Source!AE73*Source!I73, 2))), 2)</f>
        <v>0</v>
      </c>
      <c r="T104">
        <f>Source!X73</f>
        <v>0</v>
      </c>
      <c r="U104">
        <f>ROUND((Source!FY73/100)*((ROUND(Source!AF73*Source!I73, 2)+ROUND(Source!AE73*Source!I73, 2))), 2)</f>
        <v>0</v>
      </c>
      <c r="V104">
        <f>Source!Y73</f>
        <v>0</v>
      </c>
      <c r="W104">
        <f>IF(Source!BI73&lt;=1,H104, 0)</f>
        <v>5813.6</v>
      </c>
      <c r="X104">
        <f>IF(Source!BI73=2,H104, 0)</f>
        <v>0</v>
      </c>
      <c r="Y104">
        <f>IF(Source!BI73=3,H104, 0)</f>
        <v>0</v>
      </c>
      <c r="Z104">
        <f>IF(Source!BI73=4,H104, 0)</f>
        <v>0</v>
      </c>
    </row>
    <row r="105" spans="1:26" ht="57">
      <c r="A105" s="56" t="str">
        <f>Source!E74</f>
        <v>3,2</v>
      </c>
      <c r="B105" s="57" t="str">
        <f>Source!F74</f>
        <v>203-8138</v>
      </c>
      <c r="C105" s="57" t="str">
        <f>Source!G74</f>
        <v>Дверь противопожарная металлическая остекленная двупольная ДПМО-02/30, размером 1300х2100 мм</v>
      </c>
      <c r="D105" s="44" t="str">
        <f>Source!H74</f>
        <v>шт.</v>
      </c>
      <c r="E105" s="45">
        <f>Source!I74</f>
        <v>2</v>
      </c>
      <c r="F105" s="46">
        <f>Source!AL74+Source!AM74+Source!AO74</f>
        <v>5418.26</v>
      </c>
      <c r="G105" s="47" t="s">
        <v>3</v>
      </c>
      <c r="H105" s="48">
        <f>ROUND(Source!AC74*Source!I74, 2)+ROUND(Source!AD74*Source!I74, 2)+ROUND(Source!AF74*Source!I74, 2)</f>
        <v>10836.52</v>
      </c>
      <c r="I105" s="49"/>
      <c r="J105" s="49">
        <f>IF(Source!BC74&lt;&gt; 0, Source!BC74, 1)</f>
        <v>4.68</v>
      </c>
      <c r="K105" s="48">
        <f>Source!O74</f>
        <v>50714.91</v>
      </c>
      <c r="L105" s="50"/>
      <c r="S105">
        <f>ROUND((Source!FX74/100)*((ROUND(Source!AF74*Source!I74, 2)+ROUND(Source!AE74*Source!I74, 2))), 2)</f>
        <v>0</v>
      </c>
      <c r="T105">
        <f>Source!X74</f>
        <v>0</v>
      </c>
      <c r="U105">
        <f>ROUND((Source!FY74/100)*((ROUND(Source!AF74*Source!I74, 2)+ROUND(Source!AE74*Source!I74, 2))), 2)</f>
        <v>0</v>
      </c>
      <c r="V105">
        <f>Source!Y74</f>
        <v>0</v>
      </c>
      <c r="W105">
        <f>IF(Source!BI74&lt;=1,H105, 0)</f>
        <v>10836.52</v>
      </c>
      <c r="X105">
        <f>IF(Source!BI74=2,H105, 0)</f>
        <v>0</v>
      </c>
      <c r="Y105">
        <f>IF(Source!BI74=3,H105, 0)</f>
        <v>0</v>
      </c>
      <c r="Z105">
        <f>IF(Source!BI74=4,H105, 0)</f>
        <v>0</v>
      </c>
    </row>
    <row r="106" spans="1:26" ht="15">
      <c r="G106" s="72">
        <f>H98+H99+H100+H101+H102+SUM(H104:H105)</f>
        <v>17410.760000000002</v>
      </c>
      <c r="H106" s="72"/>
      <c r="J106" s="72">
        <f>K98+K99+K100+K101+K102+SUM(K104:K105)</f>
        <v>89756.42</v>
      </c>
      <c r="K106" s="72"/>
      <c r="L106" s="51">
        <f>Source!U72</f>
        <v>17.663999999999998</v>
      </c>
      <c r="O106" s="32">
        <f>G106</f>
        <v>17410.760000000002</v>
      </c>
      <c r="P106" s="32">
        <f>J106</f>
        <v>89756.42</v>
      </c>
      <c r="Q106" s="32">
        <f>L106</f>
        <v>17.663999999999998</v>
      </c>
      <c r="W106">
        <f>IF(Source!BI72&lt;=1,H98+H99+H100+H101+H102, 0)</f>
        <v>760.64</v>
      </c>
      <c r="X106">
        <f>IF(Source!BI72=2,H98+H99+H100+H101+H102, 0)</f>
        <v>0</v>
      </c>
      <c r="Y106">
        <f>IF(Source!BI72=3,H98+H99+H100+H101+H102, 0)</f>
        <v>0</v>
      </c>
      <c r="Z106">
        <f>IF(Source!BI72=4,H98+H99+H100+H101+H102, 0)</f>
        <v>0</v>
      </c>
    </row>
    <row r="107" spans="1:26" ht="79.5">
      <c r="A107" s="23" t="str">
        <f>Source!E75</f>
        <v>4</v>
      </c>
      <c r="B107" s="55" t="s">
        <v>651</v>
      </c>
      <c r="C107" s="55" t="str">
        <f>Source!G75</f>
        <v>Установка блоков в наружных и внутренних дверных проемах в каменных стенах, площадь проема до 3 м2</v>
      </c>
      <c r="D107" s="37" t="str">
        <f>Source!H75</f>
        <v>100 м2 проемов</v>
      </c>
      <c r="E107" s="10">
        <f>Source!I75</f>
        <v>0.06</v>
      </c>
      <c r="F107" s="38">
        <f>Source!AL75+Source!AM75+Source!AO75</f>
        <v>25578.37</v>
      </c>
      <c r="G107" s="39"/>
      <c r="H107" s="40"/>
      <c r="I107" s="39" t="str">
        <f>Source!BO75</f>
        <v>10-01-039-1</v>
      </c>
      <c r="J107" s="39"/>
      <c r="K107" s="40"/>
      <c r="L107" s="41"/>
      <c r="S107">
        <f>ROUND((Source!FX75/100)*((ROUND(Source!AF75*Source!I75, 2)+ROUND(Source!AE75*Source!I75, 2))), 2)</f>
        <v>82.35</v>
      </c>
      <c r="T107">
        <f>Source!X75</f>
        <v>2716.64</v>
      </c>
      <c r="U107">
        <f>ROUND((Source!FY75/100)*((ROUND(Source!AF75*Source!I75, 2)+ROUND(Source!AE75*Source!I75, 2))), 2)</f>
        <v>41.52</v>
      </c>
      <c r="V107">
        <f>Source!Y75</f>
        <v>1383.95</v>
      </c>
    </row>
    <row r="108" spans="1:26">
      <c r="C108" s="31" t="str">
        <f>"Объем: "&amp;Source!I75&amp;"=6/"&amp;"100"</f>
        <v>Объем: 0,06=6/100</v>
      </c>
    </row>
    <row r="109" spans="1:26" ht="14.25">
      <c r="A109" s="23"/>
      <c r="B109" s="55"/>
      <c r="C109" s="55" t="s">
        <v>641</v>
      </c>
      <c r="D109" s="37"/>
      <c r="E109" s="10"/>
      <c r="F109" s="38">
        <f>Source!AO75</f>
        <v>957.29</v>
      </c>
      <c r="G109" s="39" t="str">
        <f>Source!DG75</f>
        <v>)*1,15</v>
      </c>
      <c r="H109" s="40">
        <f>ROUND(Source!AF75*Source!I75, 2)</f>
        <v>66.05</v>
      </c>
      <c r="I109" s="39"/>
      <c r="J109" s="39">
        <f>IF(Source!BA75&lt;&gt; 0, Source!BA75, 1)</f>
        <v>33.049999999999997</v>
      </c>
      <c r="K109" s="40">
        <f>Source!S75</f>
        <v>2183.0500000000002</v>
      </c>
      <c r="L109" s="41"/>
      <c r="R109">
        <f>H109</f>
        <v>66.05</v>
      </c>
    </row>
    <row r="110" spans="1:26" ht="14.25">
      <c r="A110" s="23"/>
      <c r="B110" s="55"/>
      <c r="C110" s="55" t="s">
        <v>63</v>
      </c>
      <c r="D110" s="37"/>
      <c r="E110" s="10"/>
      <c r="F110" s="38">
        <f>Source!AM75</f>
        <v>1250.3</v>
      </c>
      <c r="G110" s="39" t="str">
        <f>Source!DE75</f>
        <v>)*1,25</v>
      </c>
      <c r="H110" s="40">
        <f>ROUND(Source!AD75*Source!I75, 2)</f>
        <v>93.77</v>
      </c>
      <c r="I110" s="39"/>
      <c r="J110" s="39">
        <f>IF(Source!BB75&lt;&gt; 0, Source!BB75, 1)</f>
        <v>10.36</v>
      </c>
      <c r="K110" s="40">
        <f>Source!Q75</f>
        <v>971.48</v>
      </c>
      <c r="L110" s="41"/>
    </row>
    <row r="111" spans="1:26" ht="14.25">
      <c r="A111" s="23"/>
      <c r="B111" s="55"/>
      <c r="C111" s="55" t="s">
        <v>647</v>
      </c>
      <c r="D111" s="37"/>
      <c r="E111" s="10"/>
      <c r="F111" s="38">
        <f>Source!AN75</f>
        <v>153.22999999999999</v>
      </c>
      <c r="G111" s="39" t="str">
        <f>Source!DF75</f>
        <v>)*1,25</v>
      </c>
      <c r="H111" s="52">
        <f>ROUND(Source!AE75*Source!I75, 2)</f>
        <v>11.49</v>
      </c>
      <c r="I111" s="39"/>
      <c r="J111" s="39">
        <f>IF(Source!BS75&lt;&gt; 0, Source!BS75, 1)</f>
        <v>33.049999999999997</v>
      </c>
      <c r="K111" s="52">
        <f>Source!R75</f>
        <v>379.82</v>
      </c>
      <c r="L111" s="41"/>
      <c r="R111">
        <f>H111</f>
        <v>11.49</v>
      </c>
    </row>
    <row r="112" spans="1:26" ht="14.25">
      <c r="A112" s="23"/>
      <c r="B112" s="55"/>
      <c r="C112" s="55" t="s">
        <v>649</v>
      </c>
      <c r="D112" s="37"/>
      <c r="E112" s="10"/>
      <c r="F112" s="38">
        <f>Source!AL75</f>
        <v>23370.78</v>
      </c>
      <c r="G112" s="39" t="str">
        <f>Source!DD75</f>
        <v/>
      </c>
      <c r="H112" s="40">
        <f>ROUND(Source!AC75*Source!I75, 2)</f>
        <v>1402.25</v>
      </c>
      <c r="I112" s="39"/>
      <c r="J112" s="39">
        <f>IF(Source!BC75&lt;&gt; 0, Source!BC75, 1)</f>
        <v>4.95</v>
      </c>
      <c r="K112" s="40">
        <f>Source!P75</f>
        <v>6941.12</v>
      </c>
      <c r="L112" s="41"/>
    </row>
    <row r="113" spans="1:26" ht="14.25">
      <c r="A113" s="23"/>
      <c r="B113" s="55"/>
      <c r="C113" s="55" t="s">
        <v>642</v>
      </c>
      <c r="D113" s="37" t="s">
        <v>643</v>
      </c>
      <c r="E113" s="10">
        <f>Source!BZ75</f>
        <v>118</v>
      </c>
      <c r="F113" s="73" t="str">
        <f>CONCATENATE(" )", Source!DL75, Source!FT75, "=", Source!FX75)</f>
        <v xml:space="preserve"> )*0,9=106,2</v>
      </c>
      <c r="G113" s="74"/>
      <c r="H113" s="40">
        <f>SUM(S107:S116)</f>
        <v>82.35</v>
      </c>
      <c r="I113" s="42"/>
      <c r="J113" s="36">
        <f>Source!AT75</f>
        <v>106</v>
      </c>
      <c r="K113" s="40">
        <f>SUM(T107:T116)</f>
        <v>2716.64</v>
      </c>
      <c r="L113" s="41"/>
    </row>
    <row r="114" spans="1:26" ht="14.25">
      <c r="A114" s="23"/>
      <c r="B114" s="55"/>
      <c r="C114" s="55" t="s">
        <v>644</v>
      </c>
      <c r="D114" s="37" t="s">
        <v>643</v>
      </c>
      <c r="E114" s="10">
        <f>Source!CA75</f>
        <v>63</v>
      </c>
      <c r="F114" s="73" t="str">
        <f>CONCATENATE(" )", Source!DM75, Source!FU75, "=", Source!FY75)</f>
        <v xml:space="preserve"> )*0,85=53,55</v>
      </c>
      <c r="G114" s="74"/>
      <c r="H114" s="40">
        <f>SUM(U107:U116)</f>
        <v>41.52</v>
      </c>
      <c r="I114" s="42"/>
      <c r="J114" s="36">
        <f>Source!AU75</f>
        <v>54</v>
      </c>
      <c r="K114" s="40">
        <f>SUM(V107:V116)</f>
        <v>1383.95</v>
      </c>
      <c r="L114" s="41"/>
    </row>
    <row r="115" spans="1:26" ht="14.25">
      <c r="A115" s="23"/>
      <c r="B115" s="55"/>
      <c r="C115" s="55" t="s">
        <v>645</v>
      </c>
      <c r="D115" s="37" t="s">
        <v>646</v>
      </c>
      <c r="E115" s="10">
        <f>Source!AQ75</f>
        <v>104.28</v>
      </c>
      <c r="F115" s="38"/>
      <c r="G115" s="39" t="str">
        <f>Source!DI75</f>
        <v>)*1,15</v>
      </c>
      <c r="H115" s="40"/>
      <c r="I115" s="39"/>
      <c r="J115" s="39"/>
      <c r="K115" s="40"/>
      <c r="L115" s="43">
        <f>Source!U75</f>
        <v>7.1953199999999997</v>
      </c>
    </row>
    <row r="116" spans="1:26" ht="57">
      <c r="A116" s="56" t="str">
        <f>Source!E76</f>
        <v>4,1</v>
      </c>
      <c r="B116" s="57" t="str">
        <f>Source!F76</f>
        <v>203-4097</v>
      </c>
      <c r="C116" s="57" t="str">
        <f>Source!G76</f>
        <v>Дверь балконная пластиковая, поворотно-откидная, с двухкамерным стеклопакетом (32 мм), площадью более 1,5 м2</v>
      </c>
      <c r="D116" s="44" t="str">
        <f>Source!H76</f>
        <v>м2</v>
      </c>
      <c r="E116" s="45">
        <f>Source!I76</f>
        <v>6</v>
      </c>
      <c r="F116" s="46">
        <f>Source!AL76+Source!AM76+Source!AO76</f>
        <v>3663.98</v>
      </c>
      <c r="G116" s="47" t="s">
        <v>3</v>
      </c>
      <c r="H116" s="48">
        <f>ROUND(Source!AC76*Source!I76, 2)+ROUND(Source!AD76*Source!I76, 2)+ROUND(Source!AF76*Source!I76, 2)</f>
        <v>21983.88</v>
      </c>
      <c r="I116" s="49"/>
      <c r="J116" s="49">
        <f>IF(Source!BC76&lt;&gt; 0, Source!BC76, 1)</f>
        <v>1.44</v>
      </c>
      <c r="K116" s="48">
        <f>Source!O76</f>
        <v>31656.79</v>
      </c>
      <c r="L116" s="50"/>
      <c r="S116">
        <f>ROUND((Source!FX76/100)*((ROUND(Source!AF76*Source!I76, 2)+ROUND(Source!AE76*Source!I76, 2))), 2)</f>
        <v>0</v>
      </c>
      <c r="T116">
        <f>Source!X76</f>
        <v>0</v>
      </c>
      <c r="U116">
        <f>ROUND((Source!FY76/100)*((ROUND(Source!AF76*Source!I76, 2)+ROUND(Source!AE76*Source!I76, 2))), 2)</f>
        <v>0</v>
      </c>
      <c r="V116">
        <f>Source!Y76</f>
        <v>0</v>
      </c>
      <c r="W116">
        <f>IF(Source!BI76&lt;=1,H116, 0)</f>
        <v>21983.88</v>
      </c>
      <c r="X116">
        <f>IF(Source!BI76=2,H116, 0)</f>
        <v>0</v>
      </c>
      <c r="Y116">
        <f>IF(Source!BI76=3,H116, 0)</f>
        <v>0</v>
      </c>
      <c r="Z116">
        <f>IF(Source!BI76=4,H116, 0)</f>
        <v>0</v>
      </c>
    </row>
    <row r="117" spans="1:26" ht="15">
      <c r="G117" s="72">
        <f>H109+H110+H112+H113+H114+SUM(H116:H116)</f>
        <v>23669.82</v>
      </c>
      <c r="H117" s="72"/>
      <c r="J117" s="72">
        <f>K109+K110+K112+K113+K114+SUM(K116:K116)</f>
        <v>45853.03</v>
      </c>
      <c r="K117" s="72"/>
      <c r="L117" s="51">
        <f>Source!U75</f>
        <v>7.1953199999999997</v>
      </c>
      <c r="O117" s="32">
        <f>G117</f>
        <v>23669.82</v>
      </c>
      <c r="P117" s="32">
        <f>J117</f>
        <v>45853.03</v>
      </c>
      <c r="Q117" s="32">
        <f>L117</f>
        <v>7.1953199999999997</v>
      </c>
      <c r="W117">
        <f>IF(Source!BI75&lt;=1,H109+H110+H112+H113+H114, 0)</f>
        <v>1685.9399999999998</v>
      </c>
      <c r="X117">
        <f>IF(Source!BI75=2,H109+H110+H112+H113+H114, 0)</f>
        <v>0</v>
      </c>
      <c r="Y117">
        <f>IF(Source!BI75=3,H109+H110+H112+H113+H114, 0)</f>
        <v>0</v>
      </c>
      <c r="Z117">
        <f>IF(Source!BI75=4,H109+H110+H112+H113+H114, 0)</f>
        <v>0</v>
      </c>
    </row>
    <row r="118" spans="1:26" ht="85.5">
      <c r="A118" s="23" t="str">
        <f>Source!E77</f>
        <v>5</v>
      </c>
      <c r="B118" s="55" t="str">
        <f>Source!F77</f>
        <v>15-02-031-1</v>
      </c>
      <c r="C118" s="55" t="str">
        <f>Source!G77</f>
        <v>Штукатурка поверхностей оконных и дверных откосов по бетону и камню плоских</v>
      </c>
      <c r="D118" s="37" t="str">
        <f>Source!H77</f>
        <v>100 м2 оштукатуриваемой поверхности</v>
      </c>
      <c r="E118" s="10">
        <f>Source!I77</f>
        <v>0.13</v>
      </c>
      <c r="F118" s="38">
        <f>Source!AL77+Source!AM77+Source!AO77</f>
        <v>4065.16</v>
      </c>
      <c r="G118" s="39"/>
      <c r="H118" s="40"/>
      <c r="I118" s="39" t="str">
        <f>Source!BO77</f>
        <v>15-02-031-1</v>
      </c>
      <c r="J118" s="39"/>
      <c r="K118" s="40"/>
      <c r="L118" s="41"/>
      <c r="S118">
        <f>ROUND((Source!FX77/100)*((ROUND(Source!AF77*Source!I77, 2)+ROUND(Source!AE77*Source!I77, 2))), 2)</f>
        <v>272.08999999999997</v>
      </c>
      <c r="T118">
        <f>Source!X77</f>
        <v>9040.27</v>
      </c>
      <c r="U118">
        <f>ROUND((Source!FY77/100)*((ROUND(Source!AF77*Source!I77, 2)+ROUND(Source!AE77*Source!I77, 2))), 2)</f>
        <v>134.61000000000001</v>
      </c>
      <c r="V118">
        <f>Source!Y77</f>
        <v>4472.55</v>
      </c>
    </row>
    <row r="119" spans="1:26">
      <c r="C119" s="31" t="str">
        <f>"Объем: "&amp;Source!I77&amp;"=13/"&amp;"100"</f>
        <v>Объем: 0,13=13/100</v>
      </c>
    </row>
    <row r="120" spans="1:26" ht="14.25">
      <c r="A120" s="23"/>
      <c r="B120" s="55"/>
      <c r="C120" s="55" t="s">
        <v>641</v>
      </c>
      <c r="D120" s="37"/>
      <c r="E120" s="10"/>
      <c r="F120" s="38">
        <f>Source!AO77</f>
        <v>1895.72</v>
      </c>
      <c r="G120" s="39" t="str">
        <f>Source!DG77</f>
        <v>*1,15</v>
      </c>
      <c r="H120" s="40">
        <f>ROUND(Source!AF77*Source!I77, 2)</f>
        <v>283.41000000000003</v>
      </c>
      <c r="I120" s="39"/>
      <c r="J120" s="39">
        <f>IF(Source!BA77&lt;&gt; 0, Source!BA77, 1)</f>
        <v>33.049999999999997</v>
      </c>
      <c r="K120" s="40">
        <f>Source!S77</f>
        <v>9366.7099999999991</v>
      </c>
      <c r="L120" s="41"/>
      <c r="R120">
        <f>H120</f>
        <v>283.41000000000003</v>
      </c>
    </row>
    <row r="121" spans="1:26" ht="14.25">
      <c r="A121" s="23"/>
      <c r="B121" s="55"/>
      <c r="C121" s="55" t="s">
        <v>63</v>
      </c>
      <c r="D121" s="37"/>
      <c r="E121" s="10"/>
      <c r="F121" s="38">
        <f>Source!AM77</f>
        <v>64.400000000000006</v>
      </c>
      <c r="G121" s="39" t="str">
        <f>Source!DE77</f>
        <v>*1,25</v>
      </c>
      <c r="H121" s="40">
        <f>ROUND(Source!AD77*Source!I77, 2)</f>
        <v>10.47</v>
      </c>
      <c r="I121" s="39"/>
      <c r="J121" s="39">
        <f>IF(Source!BB77&lt;&gt; 0, Source!BB77, 1)</f>
        <v>14.93</v>
      </c>
      <c r="K121" s="40">
        <f>Source!Q77</f>
        <v>156.24</v>
      </c>
      <c r="L121" s="41"/>
    </row>
    <row r="122" spans="1:26" ht="14.25">
      <c r="A122" s="23"/>
      <c r="B122" s="55"/>
      <c r="C122" s="55" t="s">
        <v>647</v>
      </c>
      <c r="D122" s="37"/>
      <c r="E122" s="10"/>
      <c r="F122" s="38">
        <f>Source!AN77</f>
        <v>27.81</v>
      </c>
      <c r="G122" s="39" t="str">
        <f>Source!DF77</f>
        <v>*1,25</v>
      </c>
      <c r="H122" s="52">
        <f>ROUND(Source!AE77*Source!I77, 2)</f>
        <v>4.5199999999999996</v>
      </c>
      <c r="I122" s="39"/>
      <c r="J122" s="39">
        <f>IF(Source!BS77&lt;&gt; 0, Source!BS77, 1)</f>
        <v>33.049999999999997</v>
      </c>
      <c r="K122" s="52">
        <f>Source!R77</f>
        <v>149.36000000000001</v>
      </c>
      <c r="L122" s="41"/>
      <c r="R122">
        <f>H122</f>
        <v>4.5199999999999996</v>
      </c>
    </row>
    <row r="123" spans="1:26" ht="14.25">
      <c r="A123" s="23"/>
      <c r="B123" s="55"/>
      <c r="C123" s="55" t="s">
        <v>649</v>
      </c>
      <c r="D123" s="37"/>
      <c r="E123" s="10"/>
      <c r="F123" s="38">
        <f>Source!AL77</f>
        <v>2105.04</v>
      </c>
      <c r="G123" s="39" t="str">
        <f>Source!DD77</f>
        <v/>
      </c>
      <c r="H123" s="40">
        <f>ROUND(Source!AC77*Source!I77, 2)</f>
        <v>273.66000000000003</v>
      </c>
      <c r="I123" s="39"/>
      <c r="J123" s="39">
        <f>IF(Source!BC77&lt;&gt; 0, Source!BC77, 1)</f>
        <v>7.28</v>
      </c>
      <c r="K123" s="40">
        <f>Source!P77</f>
        <v>1992.21</v>
      </c>
      <c r="L123" s="41"/>
    </row>
    <row r="124" spans="1:26" ht="14.25">
      <c r="A124" s="23"/>
      <c r="B124" s="55"/>
      <c r="C124" s="55" t="s">
        <v>642</v>
      </c>
      <c r="D124" s="37" t="s">
        <v>643</v>
      </c>
      <c r="E124" s="10">
        <f>Source!BZ77</f>
        <v>105</v>
      </c>
      <c r="F124" s="73" t="str">
        <f>CONCATENATE(" )", Source!DL77, Source!FT77, "=", Source!FX77)</f>
        <v xml:space="preserve"> )*0,9=94,5</v>
      </c>
      <c r="G124" s="74"/>
      <c r="H124" s="40">
        <f>SUM(S118:S126)</f>
        <v>272.08999999999997</v>
      </c>
      <c r="I124" s="42"/>
      <c r="J124" s="36">
        <f>Source!AT77</f>
        <v>95</v>
      </c>
      <c r="K124" s="40">
        <f>SUM(T118:T126)</f>
        <v>9040.27</v>
      </c>
      <c r="L124" s="41"/>
    </row>
    <row r="125" spans="1:26" ht="14.25">
      <c r="A125" s="23"/>
      <c r="B125" s="55"/>
      <c r="C125" s="55" t="s">
        <v>644</v>
      </c>
      <c r="D125" s="37" t="s">
        <v>643</v>
      </c>
      <c r="E125" s="10">
        <f>Source!CA77</f>
        <v>55</v>
      </c>
      <c r="F125" s="73" t="str">
        <f>CONCATENATE(" )", Source!DM77, Source!FU77, "=", Source!FY77)</f>
        <v xml:space="preserve"> )*0,85=46,75</v>
      </c>
      <c r="G125" s="74"/>
      <c r="H125" s="40">
        <f>SUM(U118:U126)</f>
        <v>134.61000000000001</v>
      </c>
      <c r="I125" s="42"/>
      <c r="J125" s="36">
        <f>Source!AU77</f>
        <v>47</v>
      </c>
      <c r="K125" s="40">
        <f>SUM(V118:V126)</f>
        <v>4472.55</v>
      </c>
      <c r="L125" s="41"/>
    </row>
    <row r="126" spans="1:26" ht="14.25">
      <c r="A126" s="56"/>
      <c r="B126" s="57"/>
      <c r="C126" s="57" t="s">
        <v>645</v>
      </c>
      <c r="D126" s="44" t="s">
        <v>646</v>
      </c>
      <c r="E126" s="45">
        <f>Source!AQ77</f>
        <v>204.06</v>
      </c>
      <c r="F126" s="46"/>
      <c r="G126" s="49" t="str">
        <f>Source!DI77</f>
        <v>*1,15</v>
      </c>
      <c r="H126" s="48"/>
      <c r="I126" s="49"/>
      <c r="J126" s="49"/>
      <c r="K126" s="48"/>
      <c r="L126" s="53">
        <f>Source!U77</f>
        <v>30.506969999999999</v>
      </c>
    </row>
    <row r="127" spans="1:26" ht="15">
      <c r="G127" s="72">
        <f>H120+H121+H123+H124+H125</f>
        <v>974.24000000000012</v>
      </c>
      <c r="H127" s="72"/>
      <c r="J127" s="72">
        <f>K120+K121+K123+K124+K125</f>
        <v>25027.98</v>
      </c>
      <c r="K127" s="72"/>
      <c r="L127" s="51">
        <f>Source!U77</f>
        <v>30.506969999999999</v>
      </c>
      <c r="O127" s="32">
        <f>G127</f>
        <v>974.24000000000012</v>
      </c>
      <c r="P127" s="32">
        <f>J127</f>
        <v>25027.98</v>
      </c>
      <c r="Q127" s="32">
        <f>L127</f>
        <v>30.506969999999999</v>
      </c>
      <c r="W127">
        <f>IF(Source!BI77&lt;=1,H120+H121+H123+H124+H125, 0)</f>
        <v>974.24000000000012</v>
      </c>
      <c r="X127">
        <f>IF(Source!BI77=2,H120+H121+H123+H124+H125, 0)</f>
        <v>0</v>
      </c>
      <c r="Y127">
        <f>IF(Source!BI77=3,H120+H121+H123+H124+H125, 0)</f>
        <v>0</v>
      </c>
      <c r="Z127">
        <f>IF(Source!BI77=4,H120+H121+H123+H124+H125, 0)</f>
        <v>0</v>
      </c>
    </row>
    <row r="128" spans="1:26" ht="79.5">
      <c r="A128" s="23" t="str">
        <f>Source!E78</f>
        <v>6</v>
      </c>
      <c r="B128" s="55" t="s">
        <v>652</v>
      </c>
      <c r="C128" s="55" t="str">
        <f>Source!G78</f>
        <v>Окраска поливинилацетатными водоэмульсионными составами улучшенная по штукатурке стен</v>
      </c>
      <c r="D128" s="37" t="str">
        <f>Source!H78</f>
        <v>100 м2 окрашиваемой поверхности</v>
      </c>
      <c r="E128" s="10">
        <f>Source!I78</f>
        <v>0.13</v>
      </c>
      <c r="F128" s="38">
        <f>Source!AL78+Source!AM78+Source!AO78</f>
        <v>1654.11</v>
      </c>
      <c r="G128" s="39"/>
      <c r="H128" s="40"/>
      <c r="I128" s="39" t="str">
        <f>Source!BO78</f>
        <v>15-04-005-3</v>
      </c>
      <c r="J128" s="39"/>
      <c r="K128" s="40"/>
      <c r="L128" s="41"/>
      <c r="S128">
        <f>ROUND((Source!FX78/100)*((ROUND(Source!AF78*Source!I78, 2)+ROUND(Source!AE78*Source!I78, 2))), 2)</f>
        <v>54.4</v>
      </c>
      <c r="T128">
        <f>Source!X78</f>
        <v>1807.65</v>
      </c>
      <c r="U128">
        <f>ROUND((Source!FY78/100)*((ROUND(Source!AF78*Source!I78, 2)+ROUND(Source!AE78*Source!I78, 2))), 2)</f>
        <v>26.91</v>
      </c>
      <c r="V128">
        <f>Source!Y78</f>
        <v>894.31</v>
      </c>
    </row>
    <row r="129" spans="1:26">
      <c r="C129" s="31" t="str">
        <f>"Объем: "&amp;Source!I78&amp;"=13/"&amp;"100"</f>
        <v>Объем: 0,13=13/100</v>
      </c>
    </row>
    <row r="130" spans="1:26" ht="14.25">
      <c r="A130" s="23"/>
      <c r="B130" s="55"/>
      <c r="C130" s="55" t="s">
        <v>641</v>
      </c>
      <c r="D130" s="37"/>
      <c r="E130" s="10"/>
      <c r="F130" s="38">
        <f>Source!AO78</f>
        <v>384.81</v>
      </c>
      <c r="G130" s="39" t="str">
        <f>Source!DG78</f>
        <v>)*1,15</v>
      </c>
      <c r="H130" s="40">
        <f>ROUND(Source!AF78*Source!I78, 2)</f>
        <v>57.53</v>
      </c>
      <c r="I130" s="39"/>
      <c r="J130" s="39">
        <f>IF(Source!BA78&lt;&gt; 0, Source!BA78, 1)</f>
        <v>33.049999999999997</v>
      </c>
      <c r="K130" s="40">
        <f>Source!S78</f>
        <v>1901.34</v>
      </c>
      <c r="L130" s="41"/>
      <c r="R130">
        <f>H130</f>
        <v>57.53</v>
      </c>
    </row>
    <row r="131" spans="1:26" ht="14.25">
      <c r="A131" s="23"/>
      <c r="B131" s="55"/>
      <c r="C131" s="55" t="s">
        <v>63</v>
      </c>
      <c r="D131" s="37"/>
      <c r="E131" s="10"/>
      <c r="F131" s="38">
        <f>Source!AM78</f>
        <v>13.7</v>
      </c>
      <c r="G131" s="39" t="str">
        <f>Source!DE78</f>
        <v>)*1,25</v>
      </c>
      <c r="H131" s="40">
        <f>ROUND(Source!AD78*Source!I78, 2)</f>
        <v>2.23</v>
      </c>
      <c r="I131" s="39"/>
      <c r="J131" s="39">
        <f>IF(Source!BB78&lt;&gt; 0, Source!BB78, 1)</f>
        <v>10.89</v>
      </c>
      <c r="K131" s="40">
        <f>Source!Q78</f>
        <v>24.24</v>
      </c>
      <c r="L131" s="41"/>
    </row>
    <row r="132" spans="1:26" ht="14.25">
      <c r="A132" s="23"/>
      <c r="B132" s="55"/>
      <c r="C132" s="55" t="s">
        <v>647</v>
      </c>
      <c r="D132" s="37"/>
      <c r="E132" s="10"/>
      <c r="F132" s="38">
        <f>Source!AN78</f>
        <v>0.27</v>
      </c>
      <c r="G132" s="39" t="str">
        <f>Source!DF78</f>
        <v>)*1,25</v>
      </c>
      <c r="H132" s="52">
        <f>ROUND(Source!AE78*Source!I78, 2)</f>
        <v>0.04</v>
      </c>
      <c r="I132" s="39"/>
      <c r="J132" s="39">
        <f>IF(Source!BS78&lt;&gt; 0, Source!BS78, 1)</f>
        <v>33.049999999999997</v>
      </c>
      <c r="K132" s="52">
        <f>Source!R78</f>
        <v>1.45</v>
      </c>
      <c r="L132" s="41"/>
      <c r="R132">
        <f>H132</f>
        <v>0.04</v>
      </c>
    </row>
    <row r="133" spans="1:26" ht="14.25">
      <c r="A133" s="23"/>
      <c r="B133" s="55"/>
      <c r="C133" s="55" t="s">
        <v>649</v>
      </c>
      <c r="D133" s="37"/>
      <c r="E133" s="10"/>
      <c r="F133" s="38">
        <f>Source!AL78</f>
        <v>1255.5999999999999</v>
      </c>
      <c r="G133" s="39" t="str">
        <f>Source!DD78</f>
        <v/>
      </c>
      <c r="H133" s="40">
        <f>ROUND(Source!AC78*Source!I78, 2)</f>
        <v>163.22999999999999</v>
      </c>
      <c r="I133" s="39"/>
      <c r="J133" s="39">
        <f>IF(Source!BC78&lt;&gt; 0, Source!BC78, 1)</f>
        <v>3.98</v>
      </c>
      <c r="K133" s="40">
        <f>Source!P78</f>
        <v>649.65</v>
      </c>
      <c r="L133" s="41"/>
    </row>
    <row r="134" spans="1:26" ht="14.25">
      <c r="A134" s="23"/>
      <c r="B134" s="55"/>
      <c r="C134" s="55" t="s">
        <v>642</v>
      </c>
      <c r="D134" s="37" t="s">
        <v>643</v>
      </c>
      <c r="E134" s="10">
        <f>Source!BZ78</f>
        <v>105</v>
      </c>
      <c r="F134" s="73" t="str">
        <f>CONCATENATE(" )", Source!DL78, Source!FT78, "=", Source!FX78)</f>
        <v xml:space="preserve"> )*0,9=94,5</v>
      </c>
      <c r="G134" s="74"/>
      <c r="H134" s="40">
        <f>SUM(S128:S136)</f>
        <v>54.4</v>
      </c>
      <c r="I134" s="42"/>
      <c r="J134" s="36">
        <f>Source!AT78</f>
        <v>95</v>
      </c>
      <c r="K134" s="40">
        <f>SUM(T128:T136)</f>
        <v>1807.65</v>
      </c>
      <c r="L134" s="41"/>
    </row>
    <row r="135" spans="1:26" ht="14.25">
      <c r="A135" s="23"/>
      <c r="B135" s="55"/>
      <c r="C135" s="55" t="s">
        <v>644</v>
      </c>
      <c r="D135" s="37" t="s">
        <v>643</v>
      </c>
      <c r="E135" s="10">
        <f>Source!CA78</f>
        <v>55</v>
      </c>
      <c r="F135" s="73" t="str">
        <f>CONCATENATE(" )", Source!DM78, Source!FU78, "=", Source!FY78)</f>
        <v xml:space="preserve"> )*0,85=46,75</v>
      </c>
      <c r="G135" s="74"/>
      <c r="H135" s="40">
        <f>SUM(U128:U136)</f>
        <v>26.91</v>
      </c>
      <c r="I135" s="42"/>
      <c r="J135" s="36">
        <f>Source!AU78</f>
        <v>47</v>
      </c>
      <c r="K135" s="40">
        <f>SUM(V128:V136)</f>
        <v>894.31</v>
      </c>
      <c r="L135" s="41"/>
    </row>
    <row r="136" spans="1:26" ht="14.25">
      <c r="A136" s="56"/>
      <c r="B136" s="57"/>
      <c r="C136" s="57" t="s">
        <v>645</v>
      </c>
      <c r="D136" s="44" t="s">
        <v>646</v>
      </c>
      <c r="E136" s="45">
        <f>Source!AQ78</f>
        <v>42.9</v>
      </c>
      <c r="F136" s="46"/>
      <c r="G136" s="49" t="str">
        <f>Source!DI78</f>
        <v>)*1,15</v>
      </c>
      <c r="H136" s="48"/>
      <c r="I136" s="49"/>
      <c r="J136" s="49"/>
      <c r="K136" s="48"/>
      <c r="L136" s="53">
        <f>Source!U78</f>
        <v>6.413549999999999</v>
      </c>
    </row>
    <row r="137" spans="1:26" ht="15">
      <c r="G137" s="72">
        <f>H130+H131+H133+H134+H135</f>
        <v>304.3</v>
      </c>
      <c r="H137" s="72"/>
      <c r="J137" s="72">
        <f>K130+K131+K133+K134+K135</f>
        <v>5277.1900000000005</v>
      </c>
      <c r="K137" s="72"/>
      <c r="L137" s="51">
        <f>Source!U78</f>
        <v>6.413549999999999</v>
      </c>
      <c r="O137" s="32">
        <f>G137</f>
        <v>304.3</v>
      </c>
      <c r="P137" s="32">
        <f>J137</f>
        <v>5277.1900000000005</v>
      </c>
      <c r="Q137" s="32">
        <f>L137</f>
        <v>6.413549999999999</v>
      </c>
      <c r="W137">
        <f>IF(Source!BI78&lt;=1,H130+H131+H133+H134+H135, 0)</f>
        <v>304.3</v>
      </c>
      <c r="X137">
        <f>IF(Source!BI78=2,H130+H131+H133+H134+H135, 0)</f>
        <v>0</v>
      </c>
      <c r="Y137">
        <f>IF(Source!BI78=3,H130+H131+H133+H134+H135, 0)</f>
        <v>0</v>
      </c>
      <c r="Z137">
        <f>IF(Source!BI78=4,H130+H131+H133+H134+H135, 0)</f>
        <v>0</v>
      </c>
    </row>
    <row r="138" spans="1:26" ht="79.5">
      <c r="A138" s="23" t="str">
        <f>Source!E79</f>
        <v>8</v>
      </c>
      <c r="B138" s="55" t="s">
        <v>653</v>
      </c>
      <c r="C138" s="55" t="str">
        <f>Source!G79</f>
        <v>Устройство стяжек на каждые 5 мм изменения толщины стяжки добавлять или исключать к расценке 11-01-011-01</v>
      </c>
      <c r="D138" s="37" t="str">
        <f>Source!H79</f>
        <v>100 м2 стяжки</v>
      </c>
      <c r="E138" s="10">
        <f>Source!I79</f>
        <v>0.06</v>
      </c>
      <c r="F138" s="38">
        <f>Source!AL79+Source!AM79+Source!AO79</f>
        <v>291.32000000000005</v>
      </c>
      <c r="G138" s="39"/>
      <c r="H138" s="40"/>
      <c r="I138" s="39" t="str">
        <f>Source!BO79</f>
        <v>11-01-011-2</v>
      </c>
      <c r="J138" s="39"/>
      <c r="K138" s="40"/>
      <c r="L138" s="41"/>
      <c r="S138">
        <f>ROUND((Source!FX79/100)*((ROUND(Source!AF79*Source!I79, 2)+ROUND(Source!AE79*Source!I79, 2))), 2)</f>
        <v>0.53</v>
      </c>
      <c r="T138">
        <f>Source!X79</f>
        <v>17.86</v>
      </c>
      <c r="U138">
        <f>ROUND((Source!FY79/100)*((ROUND(Source!AF79*Source!I79, 2)+ROUND(Source!AE79*Source!I79, 2))), 2)</f>
        <v>0.31</v>
      </c>
      <c r="V138">
        <f>Source!Y79</f>
        <v>10.3</v>
      </c>
    </row>
    <row r="139" spans="1:26">
      <c r="C139" s="31" t="str">
        <f>"Объем: "&amp;Source!I79&amp;"=6/"&amp;"100"</f>
        <v>Объем: 0,06=6/100</v>
      </c>
    </row>
    <row r="140" spans="1:26" ht="14.25">
      <c r="A140" s="23"/>
      <c r="B140" s="55"/>
      <c r="C140" s="55" t="s">
        <v>641</v>
      </c>
      <c r="D140" s="37"/>
      <c r="E140" s="10"/>
      <c r="F140" s="38">
        <f>Source!AO79</f>
        <v>3.97</v>
      </c>
      <c r="G140" s="39" t="str">
        <f>Source!DG79</f>
        <v>)*1,15</v>
      </c>
      <c r="H140" s="40">
        <f>ROUND(Source!AF79*Source!I79, 2)</f>
        <v>0.27</v>
      </c>
      <c r="I140" s="39"/>
      <c r="J140" s="39">
        <f>IF(Source!BA79&lt;&gt; 0, Source!BA79, 1)</f>
        <v>33.049999999999997</v>
      </c>
      <c r="K140" s="40">
        <f>Source!S79</f>
        <v>9.0500000000000007</v>
      </c>
      <c r="L140" s="41"/>
      <c r="R140">
        <f>H140</f>
        <v>0.27</v>
      </c>
    </row>
    <row r="141" spans="1:26" ht="14.25">
      <c r="A141" s="23"/>
      <c r="B141" s="55"/>
      <c r="C141" s="55" t="s">
        <v>63</v>
      </c>
      <c r="D141" s="37"/>
      <c r="E141" s="10"/>
      <c r="F141" s="38">
        <f>Source!AM79</f>
        <v>7.72</v>
      </c>
      <c r="G141" s="39" t="str">
        <f>Source!DE79</f>
        <v>)*1,25</v>
      </c>
      <c r="H141" s="40">
        <f>ROUND(Source!AD79*Source!I79, 2)</f>
        <v>0.57999999999999996</v>
      </c>
      <c r="I141" s="39"/>
      <c r="J141" s="39">
        <f>IF(Source!BB79&lt;&gt; 0, Source!BB79, 1)</f>
        <v>13.93</v>
      </c>
      <c r="K141" s="40">
        <f>Source!Q79</f>
        <v>8.07</v>
      </c>
      <c r="L141" s="41"/>
    </row>
    <row r="142" spans="1:26" ht="14.25">
      <c r="A142" s="23"/>
      <c r="B142" s="55"/>
      <c r="C142" s="55" t="s">
        <v>647</v>
      </c>
      <c r="D142" s="37"/>
      <c r="E142" s="10"/>
      <c r="F142" s="38">
        <f>Source!AN79</f>
        <v>2.84</v>
      </c>
      <c r="G142" s="39" t="str">
        <f>Source!DF79</f>
        <v>)*1,25</v>
      </c>
      <c r="H142" s="52">
        <f>ROUND(Source!AE79*Source!I79, 2)</f>
        <v>0.21</v>
      </c>
      <c r="I142" s="39"/>
      <c r="J142" s="39">
        <f>IF(Source!BS79&lt;&gt; 0, Source!BS79, 1)</f>
        <v>33.049999999999997</v>
      </c>
      <c r="K142" s="52">
        <f>Source!R79</f>
        <v>7.04</v>
      </c>
      <c r="L142" s="41"/>
      <c r="R142">
        <f>H142</f>
        <v>0.21</v>
      </c>
    </row>
    <row r="143" spans="1:26" ht="14.25">
      <c r="A143" s="23"/>
      <c r="B143" s="55"/>
      <c r="C143" s="55" t="s">
        <v>649</v>
      </c>
      <c r="D143" s="37"/>
      <c r="E143" s="10"/>
      <c r="F143" s="38">
        <f>Source!AL79</f>
        <v>279.63</v>
      </c>
      <c r="G143" s="39" t="str">
        <f>Source!DD79</f>
        <v/>
      </c>
      <c r="H143" s="40">
        <f>ROUND(Source!AC79*Source!I79, 2)</f>
        <v>16.78</v>
      </c>
      <c r="I143" s="39"/>
      <c r="J143" s="39">
        <f>IF(Source!BC79&lt;&gt; 0, Source!BC79, 1)</f>
        <v>6.2</v>
      </c>
      <c r="K143" s="40">
        <f>Source!P79</f>
        <v>104.02</v>
      </c>
      <c r="L143" s="41"/>
    </row>
    <row r="144" spans="1:26" ht="14.25">
      <c r="A144" s="23"/>
      <c r="B144" s="55"/>
      <c r="C144" s="55" t="s">
        <v>642</v>
      </c>
      <c r="D144" s="37" t="s">
        <v>643</v>
      </c>
      <c r="E144" s="10">
        <f>Source!BZ79</f>
        <v>123</v>
      </c>
      <c r="F144" s="73" t="str">
        <f>CONCATENATE(" )", Source!DL79, Source!FT79, "=", Source!FX79)</f>
        <v xml:space="preserve"> )*0,9=110,7</v>
      </c>
      <c r="G144" s="74"/>
      <c r="H144" s="40">
        <f>SUM(S138:S146)</f>
        <v>0.53</v>
      </c>
      <c r="I144" s="42"/>
      <c r="J144" s="36">
        <f>Source!AT79</f>
        <v>111</v>
      </c>
      <c r="K144" s="40">
        <f>SUM(T138:T146)</f>
        <v>17.86</v>
      </c>
      <c r="L144" s="41"/>
    </row>
    <row r="145" spans="1:26" ht="14.25">
      <c r="A145" s="23"/>
      <c r="B145" s="55"/>
      <c r="C145" s="55" t="s">
        <v>644</v>
      </c>
      <c r="D145" s="37" t="s">
        <v>643</v>
      </c>
      <c r="E145" s="10">
        <f>Source!CA79</f>
        <v>75</v>
      </c>
      <c r="F145" s="73" t="str">
        <f>CONCATENATE(" )", Source!DM79, Source!FU79, "=", Source!FY79)</f>
        <v xml:space="preserve"> )*0,85=63,75</v>
      </c>
      <c r="G145" s="74"/>
      <c r="H145" s="40">
        <f>SUM(U138:U146)</f>
        <v>0.31</v>
      </c>
      <c r="I145" s="42"/>
      <c r="J145" s="36">
        <f>Source!AU79</f>
        <v>64</v>
      </c>
      <c r="K145" s="40">
        <f>SUM(V138:V146)</f>
        <v>10.3</v>
      </c>
      <c r="L145" s="41"/>
    </row>
    <row r="146" spans="1:26" ht="14.25">
      <c r="A146" s="56"/>
      <c r="B146" s="57"/>
      <c r="C146" s="57" t="s">
        <v>645</v>
      </c>
      <c r="D146" s="44" t="s">
        <v>646</v>
      </c>
      <c r="E146" s="45">
        <f>Source!AQ79</f>
        <v>0.5</v>
      </c>
      <c r="F146" s="46"/>
      <c r="G146" s="49" t="str">
        <f>Source!DI79</f>
        <v>)*1,15</v>
      </c>
      <c r="H146" s="48"/>
      <c r="I146" s="49"/>
      <c r="J146" s="49"/>
      <c r="K146" s="48"/>
      <c r="L146" s="53">
        <f>Source!U79</f>
        <v>3.4499999999999996E-2</v>
      </c>
    </row>
    <row r="147" spans="1:26" ht="15">
      <c r="G147" s="72">
        <f>H140+H141+H143+H144+H145</f>
        <v>18.470000000000002</v>
      </c>
      <c r="H147" s="72"/>
      <c r="J147" s="72">
        <f>K140+K141+K143+K144+K145</f>
        <v>149.30000000000001</v>
      </c>
      <c r="K147" s="72"/>
      <c r="L147" s="51">
        <f>Source!U79</f>
        <v>3.4499999999999996E-2</v>
      </c>
      <c r="O147" s="32">
        <f>G147</f>
        <v>18.470000000000002</v>
      </c>
      <c r="P147" s="32">
        <f>J147</f>
        <v>149.30000000000001</v>
      </c>
      <c r="Q147" s="32">
        <f>L147</f>
        <v>3.4499999999999996E-2</v>
      </c>
      <c r="W147">
        <f>IF(Source!BI79&lt;=1,H140+H141+H143+H144+H145, 0)</f>
        <v>18.470000000000002</v>
      </c>
      <c r="X147">
        <f>IF(Source!BI79=2,H140+H141+H143+H144+H145, 0)</f>
        <v>0</v>
      </c>
      <c r="Y147">
        <f>IF(Source!BI79=3,H140+H141+H143+H144+H145, 0)</f>
        <v>0</v>
      </c>
      <c r="Z147">
        <f>IF(Source!BI79=4,H140+H141+H143+H144+H145, 0)</f>
        <v>0</v>
      </c>
    </row>
    <row r="148" spans="1:26" ht="79.5">
      <c r="A148" s="23" t="str">
        <f>Source!E80</f>
        <v>10</v>
      </c>
      <c r="B148" s="55" t="s">
        <v>654</v>
      </c>
      <c r="C148" s="55" t="str">
        <f>Source!G80</f>
        <v>Устройство покрытий из плит керамогранитных размером 40х40 см</v>
      </c>
      <c r="D148" s="37" t="str">
        <f>Source!H80</f>
        <v>100 м2 покрытия</v>
      </c>
      <c r="E148" s="10">
        <f>Source!I80</f>
        <v>0.06</v>
      </c>
      <c r="F148" s="38">
        <f>Source!AL80+Source!AM80+Source!AO80</f>
        <v>22311.219999999998</v>
      </c>
      <c r="G148" s="39"/>
      <c r="H148" s="40"/>
      <c r="I148" s="39" t="str">
        <f>Source!BO80</f>
        <v>11-01-047-1</v>
      </c>
      <c r="J148" s="39"/>
      <c r="K148" s="40"/>
      <c r="L148" s="41"/>
      <c r="S148">
        <f>ROUND((Source!FX80/100)*((ROUND(Source!AF80*Source!I80, 2)+ROUND(Source!AE80*Source!I80, 2))), 2)</f>
        <v>208.67</v>
      </c>
      <c r="T148">
        <f>Source!X80</f>
        <v>6915.44</v>
      </c>
      <c r="U148">
        <f>ROUND((Source!FY80/100)*((ROUND(Source!AF80*Source!I80, 2)+ROUND(Source!AE80*Source!I80, 2))), 2)</f>
        <v>120.17</v>
      </c>
      <c r="V148">
        <f>Source!Y80</f>
        <v>3987.28</v>
      </c>
    </row>
    <row r="149" spans="1:26">
      <c r="C149" s="31" t="str">
        <f>"Объем: "&amp;Source!I80&amp;"=6/"&amp;"100"</f>
        <v>Объем: 0,06=6/100</v>
      </c>
    </row>
    <row r="150" spans="1:26" ht="14.25">
      <c r="A150" s="23"/>
      <c r="B150" s="55"/>
      <c r="C150" s="55" t="s">
        <v>641</v>
      </c>
      <c r="D150" s="37"/>
      <c r="E150" s="10"/>
      <c r="F150" s="38">
        <f>Source!AO80</f>
        <v>2713.07</v>
      </c>
      <c r="G150" s="39" t="str">
        <f>Source!DG80</f>
        <v>)*1,15</v>
      </c>
      <c r="H150" s="40">
        <f>ROUND(Source!AF80*Source!I80, 2)</f>
        <v>187.2</v>
      </c>
      <c r="I150" s="39"/>
      <c r="J150" s="39">
        <f>IF(Source!BA80&lt;&gt; 0, Source!BA80, 1)</f>
        <v>33.049999999999997</v>
      </c>
      <c r="K150" s="40">
        <f>Source!S80</f>
        <v>6187.02</v>
      </c>
      <c r="L150" s="41"/>
      <c r="R150">
        <f>H150</f>
        <v>187.2</v>
      </c>
    </row>
    <row r="151" spans="1:26" ht="14.25">
      <c r="A151" s="23"/>
      <c r="B151" s="55"/>
      <c r="C151" s="55" t="s">
        <v>63</v>
      </c>
      <c r="D151" s="37"/>
      <c r="E151" s="10"/>
      <c r="F151" s="38">
        <f>Source!AM80</f>
        <v>24.87</v>
      </c>
      <c r="G151" s="39" t="str">
        <f>Source!DE80</f>
        <v>)*1,25</v>
      </c>
      <c r="H151" s="40">
        <f>ROUND(Source!AD80*Source!I80, 2)</f>
        <v>1.87</v>
      </c>
      <c r="I151" s="39"/>
      <c r="J151" s="39">
        <f>IF(Source!BB80&lt;&gt; 0, Source!BB80, 1)</f>
        <v>26.26</v>
      </c>
      <c r="K151" s="40">
        <f>Source!Q80</f>
        <v>48.98</v>
      </c>
      <c r="L151" s="41"/>
    </row>
    <row r="152" spans="1:26" ht="14.25">
      <c r="A152" s="23"/>
      <c r="B152" s="55"/>
      <c r="C152" s="55" t="s">
        <v>647</v>
      </c>
      <c r="D152" s="37"/>
      <c r="E152" s="10"/>
      <c r="F152" s="38">
        <f>Source!AN80</f>
        <v>17.39</v>
      </c>
      <c r="G152" s="39" t="str">
        <f>Source!DF80</f>
        <v>)*1,25</v>
      </c>
      <c r="H152" s="52">
        <f>ROUND(Source!AE80*Source!I80, 2)</f>
        <v>1.3</v>
      </c>
      <c r="I152" s="39"/>
      <c r="J152" s="39">
        <f>IF(Source!BS80&lt;&gt; 0, Source!BS80, 1)</f>
        <v>33.049999999999997</v>
      </c>
      <c r="K152" s="52">
        <f>Source!R80</f>
        <v>43.11</v>
      </c>
      <c r="L152" s="41"/>
      <c r="R152">
        <f>H152</f>
        <v>1.3</v>
      </c>
    </row>
    <row r="153" spans="1:26" ht="14.25">
      <c r="A153" s="23"/>
      <c r="B153" s="55"/>
      <c r="C153" s="55" t="s">
        <v>649</v>
      </c>
      <c r="D153" s="37"/>
      <c r="E153" s="10"/>
      <c r="F153" s="38">
        <f>Source!AL80</f>
        <v>19573.28</v>
      </c>
      <c r="G153" s="39" t="str">
        <f>Source!DD80</f>
        <v/>
      </c>
      <c r="H153" s="40">
        <f>ROUND(Source!AC80*Source!I80, 2)</f>
        <v>1174.4000000000001</v>
      </c>
      <c r="I153" s="39"/>
      <c r="J153" s="39">
        <f>IF(Source!BC80&lt;&gt; 0, Source!BC80, 1)</f>
        <v>3.94</v>
      </c>
      <c r="K153" s="40">
        <f>Source!P80</f>
        <v>4627.12</v>
      </c>
      <c r="L153" s="41"/>
    </row>
    <row r="154" spans="1:26" ht="14.25">
      <c r="A154" s="23"/>
      <c r="B154" s="55"/>
      <c r="C154" s="55" t="s">
        <v>642</v>
      </c>
      <c r="D154" s="37" t="s">
        <v>643</v>
      </c>
      <c r="E154" s="10">
        <f>Source!BZ80</f>
        <v>123</v>
      </c>
      <c r="F154" s="73" t="str">
        <f>CONCATENATE(" )", Source!DL80, Source!FT80, "=", Source!FX80)</f>
        <v xml:space="preserve"> )*0,9=110,7</v>
      </c>
      <c r="G154" s="74"/>
      <c r="H154" s="40">
        <f>SUM(S148:S156)</f>
        <v>208.67</v>
      </c>
      <c r="I154" s="42"/>
      <c r="J154" s="36">
        <f>Source!AT80</f>
        <v>111</v>
      </c>
      <c r="K154" s="40">
        <f>SUM(T148:T156)</f>
        <v>6915.44</v>
      </c>
      <c r="L154" s="41"/>
    </row>
    <row r="155" spans="1:26" ht="14.25">
      <c r="A155" s="23"/>
      <c r="B155" s="55"/>
      <c r="C155" s="55" t="s">
        <v>644</v>
      </c>
      <c r="D155" s="37" t="s">
        <v>643</v>
      </c>
      <c r="E155" s="10">
        <f>Source!CA80</f>
        <v>75</v>
      </c>
      <c r="F155" s="73" t="str">
        <f>CONCATENATE(" )", Source!DM80, Source!FU80, "=", Source!FY80)</f>
        <v xml:space="preserve"> )*0,85=63,75</v>
      </c>
      <c r="G155" s="74"/>
      <c r="H155" s="40">
        <f>SUM(U148:U156)</f>
        <v>120.17</v>
      </c>
      <c r="I155" s="42"/>
      <c r="J155" s="36">
        <f>Source!AU80</f>
        <v>64</v>
      </c>
      <c r="K155" s="40">
        <f>SUM(V148:V156)</f>
        <v>3987.28</v>
      </c>
      <c r="L155" s="41"/>
    </row>
    <row r="156" spans="1:26" ht="14.25">
      <c r="A156" s="56"/>
      <c r="B156" s="57"/>
      <c r="C156" s="57" t="s">
        <v>645</v>
      </c>
      <c r="D156" s="44" t="s">
        <v>646</v>
      </c>
      <c r="E156" s="45">
        <f>Source!AQ80</f>
        <v>310.42</v>
      </c>
      <c r="F156" s="46"/>
      <c r="G156" s="49" t="str">
        <f>Source!DI80</f>
        <v>)*1,15</v>
      </c>
      <c r="H156" s="48"/>
      <c r="I156" s="49"/>
      <c r="J156" s="49"/>
      <c r="K156" s="48"/>
      <c r="L156" s="53">
        <f>Source!U80</f>
        <v>21.418979999999998</v>
      </c>
    </row>
    <row r="157" spans="1:26" ht="15">
      <c r="G157" s="72">
        <f>H150+H151+H153+H154+H155</f>
        <v>1692.3100000000002</v>
      </c>
      <c r="H157" s="72"/>
      <c r="J157" s="72">
        <f>K150+K151+K153+K154+K155</f>
        <v>21765.839999999997</v>
      </c>
      <c r="K157" s="72"/>
      <c r="L157" s="51">
        <f>Source!U80</f>
        <v>21.418979999999998</v>
      </c>
      <c r="O157" s="32">
        <f>G157</f>
        <v>1692.3100000000002</v>
      </c>
      <c r="P157" s="32">
        <f>J157</f>
        <v>21765.839999999997</v>
      </c>
      <c r="Q157" s="32">
        <f>L157</f>
        <v>21.418979999999998</v>
      </c>
      <c r="W157">
        <f>IF(Source!BI80&lt;=1,H150+H151+H153+H154+H155, 0)</f>
        <v>1692.3100000000002</v>
      </c>
      <c r="X157">
        <f>IF(Source!BI80=2,H150+H151+H153+H154+H155, 0)</f>
        <v>0</v>
      </c>
      <c r="Y157">
        <f>IF(Source!BI80=3,H150+H151+H153+H154+H155, 0)</f>
        <v>0</v>
      </c>
      <c r="Z157">
        <f>IF(Source!BI80=4,H150+H151+H153+H154+H155, 0)</f>
        <v>0</v>
      </c>
    </row>
    <row r="158" spans="1:26" ht="79.5">
      <c r="A158" s="23" t="str">
        <f>Source!E81</f>
        <v>11</v>
      </c>
      <c r="B158" s="55" t="s">
        <v>655</v>
      </c>
      <c r="C158" s="55" t="str">
        <f>Source!G81</f>
        <v>Разработка грунта вручную в траншеях глубиной до 2 м без креплений с откосами, группа грунтов 2</v>
      </c>
      <c r="D158" s="37" t="str">
        <f>Source!H81</f>
        <v>100 м3 грунта</v>
      </c>
      <c r="E158" s="10">
        <f>Source!I81</f>
        <v>1.9E-2</v>
      </c>
      <c r="F158" s="38">
        <f>Source!AL81+Source!AM81+Source!AO81</f>
        <v>1201.2</v>
      </c>
      <c r="G158" s="39"/>
      <c r="H158" s="40"/>
      <c r="I158" s="39" t="str">
        <f>Source!BO81</f>
        <v>01-02-057-2</v>
      </c>
      <c r="J158" s="39"/>
      <c r="K158" s="40"/>
      <c r="L158" s="41"/>
      <c r="S158">
        <f>ROUND((Source!FX81/100)*((ROUND(Source!AF81*Source!I81, 2)+ROUND(Source!AE81*Source!I81, 2))), 2)</f>
        <v>18.899999999999999</v>
      </c>
      <c r="T158">
        <f>Source!X81</f>
        <v>624.55999999999995</v>
      </c>
      <c r="U158">
        <f>ROUND((Source!FY81/100)*((ROUND(Source!AF81*Source!I81, 2)+ROUND(Source!AE81*Source!I81, 2))), 2)</f>
        <v>10.039999999999999</v>
      </c>
      <c r="V158">
        <f>Source!Y81</f>
        <v>329.63</v>
      </c>
    </row>
    <row r="159" spans="1:26">
      <c r="C159" s="31" t="str">
        <f>"Объем: "&amp;Source!I81&amp;"=1,9/"&amp;"100"</f>
        <v>Объем: 0,019=1,9/100</v>
      </c>
    </row>
    <row r="160" spans="1:26" ht="14.25">
      <c r="A160" s="23"/>
      <c r="B160" s="55"/>
      <c r="C160" s="55" t="s">
        <v>641</v>
      </c>
      <c r="D160" s="37"/>
      <c r="E160" s="10"/>
      <c r="F160" s="38">
        <f>Source!AO81</f>
        <v>1201.2</v>
      </c>
      <c r="G160" s="39" t="str">
        <f>Source!DG81</f>
        <v>)*1,15</v>
      </c>
      <c r="H160" s="40">
        <f>ROUND(Source!AF81*Source!I81, 2)</f>
        <v>26.25</v>
      </c>
      <c r="I160" s="39"/>
      <c r="J160" s="39">
        <f>IF(Source!BA81&lt;&gt; 0, Source!BA81, 1)</f>
        <v>33.049999999999997</v>
      </c>
      <c r="K160" s="40">
        <f>Source!S81</f>
        <v>867.44</v>
      </c>
      <c r="L160" s="41"/>
      <c r="R160">
        <f>H160</f>
        <v>26.25</v>
      </c>
    </row>
    <row r="161" spans="1:26" ht="14.25">
      <c r="A161" s="23"/>
      <c r="B161" s="55"/>
      <c r="C161" s="55" t="s">
        <v>642</v>
      </c>
      <c r="D161" s="37" t="s">
        <v>643</v>
      </c>
      <c r="E161" s="10">
        <f>Source!BZ81</f>
        <v>80</v>
      </c>
      <c r="F161" s="73" t="str">
        <f>CONCATENATE(" )", Source!DL81, Source!FT81, "=", Source!FX81)</f>
        <v xml:space="preserve"> )*0,9=72</v>
      </c>
      <c r="G161" s="74"/>
      <c r="H161" s="40">
        <f>SUM(S158:S163)</f>
        <v>18.899999999999999</v>
      </c>
      <c r="I161" s="42"/>
      <c r="J161" s="36">
        <f>Source!AT81</f>
        <v>72</v>
      </c>
      <c r="K161" s="40">
        <f>SUM(T158:T163)</f>
        <v>624.55999999999995</v>
      </c>
      <c r="L161" s="41"/>
    </row>
    <row r="162" spans="1:26" ht="14.25">
      <c r="A162" s="23"/>
      <c r="B162" s="55"/>
      <c r="C162" s="55" t="s">
        <v>644</v>
      </c>
      <c r="D162" s="37" t="s">
        <v>643</v>
      </c>
      <c r="E162" s="10">
        <f>Source!CA81</f>
        <v>45</v>
      </c>
      <c r="F162" s="73" t="str">
        <f>CONCATENATE(" )", Source!DM81, Source!FU81, "=", Source!FY81)</f>
        <v xml:space="preserve"> )*0,85=38,25</v>
      </c>
      <c r="G162" s="74"/>
      <c r="H162" s="40">
        <f>SUM(U158:U163)</f>
        <v>10.039999999999999</v>
      </c>
      <c r="I162" s="42"/>
      <c r="J162" s="36">
        <f>Source!AU81</f>
        <v>38</v>
      </c>
      <c r="K162" s="40">
        <f>SUM(V158:V163)</f>
        <v>329.63</v>
      </c>
      <c r="L162" s="41"/>
    </row>
    <row r="163" spans="1:26" ht="14.25">
      <c r="A163" s="56"/>
      <c r="B163" s="57"/>
      <c r="C163" s="57" t="s">
        <v>645</v>
      </c>
      <c r="D163" s="44" t="s">
        <v>646</v>
      </c>
      <c r="E163" s="45">
        <f>Source!AQ81</f>
        <v>154</v>
      </c>
      <c r="F163" s="46"/>
      <c r="G163" s="49" t="str">
        <f>Source!DI81</f>
        <v>)*1,15</v>
      </c>
      <c r="H163" s="48"/>
      <c r="I163" s="49"/>
      <c r="J163" s="49"/>
      <c r="K163" s="48"/>
      <c r="L163" s="53">
        <f>Source!U81</f>
        <v>3.3649</v>
      </c>
    </row>
    <row r="164" spans="1:26" ht="15">
      <c r="G164" s="72">
        <f>H160+H161+H162</f>
        <v>55.19</v>
      </c>
      <c r="H164" s="72"/>
      <c r="J164" s="72">
        <f>K160+K161+K162</f>
        <v>1821.63</v>
      </c>
      <c r="K164" s="72"/>
      <c r="L164" s="51">
        <f>Source!U81</f>
        <v>3.3649</v>
      </c>
      <c r="O164" s="32">
        <f>G164</f>
        <v>55.19</v>
      </c>
      <c r="P164" s="32">
        <f>J164</f>
        <v>1821.63</v>
      </c>
      <c r="Q164" s="32">
        <f>L164</f>
        <v>3.3649</v>
      </c>
      <c r="W164">
        <f>IF(Source!BI81&lt;=1,H160+H161+H162, 0)</f>
        <v>55.19</v>
      </c>
      <c r="X164">
        <f>IF(Source!BI81=2,H160+H161+H162, 0)</f>
        <v>0</v>
      </c>
      <c r="Y164">
        <f>IF(Source!BI81=3,H160+H161+H162, 0)</f>
        <v>0</v>
      </c>
      <c r="Z164">
        <f>IF(Source!BI81=4,H160+H161+H162, 0)</f>
        <v>0</v>
      </c>
    </row>
    <row r="165" spans="1:26" ht="99.75">
      <c r="A165" s="23" t="str">
        <f>Source!E82</f>
        <v>13</v>
      </c>
      <c r="B165" s="55" t="s">
        <v>656</v>
      </c>
      <c r="C165" s="55" t="str">
        <f>Source!G82</f>
        <v>Устройство подстилающих и выравнивающих слоев оснований из песка</v>
      </c>
      <c r="D165" s="37" t="str">
        <f>Source!H82</f>
        <v>100 м3 материала основания (в плотном теле)</v>
      </c>
      <c r="E165" s="10">
        <f>Source!I82</f>
        <v>0.03</v>
      </c>
      <c r="F165" s="38">
        <f>Source!AL82+Source!AM82+Source!AO82</f>
        <v>2324.46</v>
      </c>
      <c r="G165" s="39"/>
      <c r="H165" s="40"/>
      <c r="I165" s="39" t="str">
        <f>Source!BO82</f>
        <v>27-04-001-1</v>
      </c>
      <c r="J165" s="39"/>
      <c r="K165" s="40"/>
      <c r="L165" s="41"/>
      <c r="S165">
        <f>ROUND((Source!FX82/100)*((ROUND(Source!AF82*Source!I82, 2)+ROUND(Source!AE82*Source!I82, 2))), 2)</f>
        <v>14.07</v>
      </c>
      <c r="T165">
        <f>Source!X82</f>
        <v>465.64</v>
      </c>
      <c r="U165">
        <f>ROUND((Source!FY82/100)*((ROUND(Source!AF82*Source!I82, 2)+ROUND(Source!AE82*Source!I82, 2))), 2)</f>
        <v>8.89</v>
      </c>
      <c r="V165">
        <f>Source!Y82</f>
        <v>294.66000000000003</v>
      </c>
    </row>
    <row r="166" spans="1:26">
      <c r="C166" s="31" t="str">
        <f>"Объем: "&amp;Source!I82&amp;"=3/"&amp;"100"</f>
        <v>Объем: 0,03=3/100</v>
      </c>
    </row>
    <row r="167" spans="1:26" ht="14.25">
      <c r="A167" s="23"/>
      <c r="B167" s="55"/>
      <c r="C167" s="55" t="s">
        <v>641</v>
      </c>
      <c r="D167" s="37"/>
      <c r="E167" s="10"/>
      <c r="F167" s="38">
        <f>Source!AO82</f>
        <v>126.07</v>
      </c>
      <c r="G167" s="39" t="str">
        <f>Source!DG82</f>
        <v>)*1,15</v>
      </c>
      <c r="H167" s="40">
        <f>ROUND(Source!AF82*Source!I82, 2)</f>
        <v>4.3499999999999996</v>
      </c>
      <c r="I167" s="39"/>
      <c r="J167" s="39">
        <f>IF(Source!BA82&lt;&gt; 0, Source!BA82, 1)</f>
        <v>33.049999999999997</v>
      </c>
      <c r="K167" s="40">
        <f>Source!S82</f>
        <v>143.75</v>
      </c>
      <c r="L167" s="41"/>
      <c r="R167">
        <f>H167</f>
        <v>4.3499999999999996</v>
      </c>
    </row>
    <row r="168" spans="1:26" ht="14.25">
      <c r="A168" s="23"/>
      <c r="B168" s="55"/>
      <c r="C168" s="55" t="s">
        <v>63</v>
      </c>
      <c r="D168" s="37"/>
      <c r="E168" s="10"/>
      <c r="F168" s="38">
        <f>Source!AM82</f>
        <v>2186.19</v>
      </c>
      <c r="G168" s="39" t="str">
        <f>Source!DE82</f>
        <v>)*1,25</v>
      </c>
      <c r="H168" s="40">
        <f>ROUND(Source!AD82*Source!I82, 2)</f>
        <v>81.98</v>
      </c>
      <c r="I168" s="39"/>
      <c r="J168" s="39">
        <f>IF(Source!BB82&lt;&gt; 0, Source!BB82, 1)</f>
        <v>7.3</v>
      </c>
      <c r="K168" s="40">
        <f>Source!Q82</f>
        <v>598.47</v>
      </c>
      <c r="L168" s="41"/>
    </row>
    <row r="169" spans="1:26" ht="14.25">
      <c r="A169" s="23"/>
      <c r="B169" s="55"/>
      <c r="C169" s="55" t="s">
        <v>647</v>
      </c>
      <c r="D169" s="37"/>
      <c r="E169" s="10"/>
      <c r="F169" s="38">
        <f>Source!AN82</f>
        <v>177.53</v>
      </c>
      <c r="G169" s="39" t="str">
        <f>Source!DF82</f>
        <v>)*1,25</v>
      </c>
      <c r="H169" s="52">
        <f>ROUND(Source!AE82*Source!I82, 2)</f>
        <v>6.66</v>
      </c>
      <c r="I169" s="39"/>
      <c r="J169" s="39">
        <f>IF(Source!BS82&lt;&gt; 0, Source!BS82, 1)</f>
        <v>33.049999999999997</v>
      </c>
      <c r="K169" s="52">
        <f>Source!R82</f>
        <v>220.03</v>
      </c>
      <c r="L169" s="41"/>
      <c r="R169">
        <f>H169</f>
        <v>6.66</v>
      </c>
    </row>
    <row r="170" spans="1:26" ht="14.25">
      <c r="A170" s="23"/>
      <c r="B170" s="55"/>
      <c r="C170" s="55" t="s">
        <v>649</v>
      </c>
      <c r="D170" s="37"/>
      <c r="E170" s="10"/>
      <c r="F170" s="38">
        <f>Source!AL82</f>
        <v>12.2</v>
      </c>
      <c r="G170" s="39" t="str">
        <f>Source!DD82</f>
        <v/>
      </c>
      <c r="H170" s="40">
        <f>ROUND(Source!AC82*Source!I82, 2)</f>
        <v>0.37</v>
      </c>
      <c r="I170" s="39"/>
      <c r="J170" s="39">
        <f>IF(Source!BC82&lt;&gt; 0, Source!BC82, 1)</f>
        <v>9.1</v>
      </c>
      <c r="K170" s="40">
        <f>Source!P82</f>
        <v>3.33</v>
      </c>
      <c r="L170" s="41"/>
    </row>
    <row r="171" spans="1:26" ht="14.25">
      <c r="A171" s="23"/>
      <c r="B171" s="55"/>
      <c r="C171" s="55" t="s">
        <v>642</v>
      </c>
      <c r="D171" s="37" t="s">
        <v>643</v>
      </c>
      <c r="E171" s="10">
        <f>Source!BZ82</f>
        <v>142</v>
      </c>
      <c r="F171" s="73" t="str">
        <f>CONCATENATE(" )", Source!DL82, Source!FT82, "=", Source!FX82)</f>
        <v xml:space="preserve"> )*0,9=127,8</v>
      </c>
      <c r="G171" s="74"/>
      <c r="H171" s="40">
        <f>SUM(S165:S174)</f>
        <v>14.07</v>
      </c>
      <c r="I171" s="42"/>
      <c r="J171" s="36">
        <f>Source!AT82</f>
        <v>128</v>
      </c>
      <c r="K171" s="40">
        <f>SUM(T165:T174)</f>
        <v>465.64</v>
      </c>
      <c r="L171" s="41"/>
    </row>
    <row r="172" spans="1:26" ht="14.25">
      <c r="A172" s="23"/>
      <c r="B172" s="55"/>
      <c r="C172" s="55" t="s">
        <v>644</v>
      </c>
      <c r="D172" s="37" t="s">
        <v>643</v>
      </c>
      <c r="E172" s="10">
        <f>Source!CA82</f>
        <v>95</v>
      </c>
      <c r="F172" s="73" t="str">
        <f>CONCATENATE(" )", Source!DM82, Source!FU82, "=", Source!FY82)</f>
        <v xml:space="preserve"> )*0,85=80,75</v>
      </c>
      <c r="G172" s="74"/>
      <c r="H172" s="40">
        <f>SUM(U165:U174)</f>
        <v>8.89</v>
      </c>
      <c r="I172" s="42"/>
      <c r="J172" s="36">
        <f>Source!AU82</f>
        <v>81</v>
      </c>
      <c r="K172" s="40">
        <f>SUM(V165:V174)</f>
        <v>294.66000000000003</v>
      </c>
      <c r="L172" s="41"/>
    </row>
    <row r="173" spans="1:26" ht="14.25">
      <c r="A173" s="23"/>
      <c r="B173" s="55"/>
      <c r="C173" s="55" t="s">
        <v>645</v>
      </c>
      <c r="D173" s="37" t="s">
        <v>646</v>
      </c>
      <c r="E173" s="10">
        <f>Source!AQ82</f>
        <v>15.72</v>
      </c>
      <c r="F173" s="38"/>
      <c r="G173" s="39" t="str">
        <f>Source!DI82</f>
        <v>)*1,15</v>
      </c>
      <c r="H173" s="40"/>
      <c r="I173" s="39"/>
      <c r="J173" s="39"/>
      <c r="K173" s="40"/>
      <c r="L173" s="43">
        <f>Source!U82</f>
        <v>0.54233999999999993</v>
      </c>
    </row>
    <row r="174" spans="1:26" ht="28.5">
      <c r="A174" s="56" t="str">
        <f>Source!E83</f>
        <v>13,2</v>
      </c>
      <c r="B174" s="57" t="str">
        <f>Source!F83</f>
        <v>408-0445</v>
      </c>
      <c r="C174" s="57" t="str">
        <f>Source!G83</f>
        <v>Песок для строительных работ природный 50%; обогащенный 50%</v>
      </c>
      <c r="D174" s="44" t="str">
        <f>Source!H83</f>
        <v>м3</v>
      </c>
      <c r="E174" s="45">
        <f>Source!I83</f>
        <v>0.03</v>
      </c>
      <c r="F174" s="46">
        <f>Source!AL83+Source!AM83+Source!AO83</f>
        <v>55.12</v>
      </c>
      <c r="G174" s="47" t="s">
        <v>3</v>
      </c>
      <c r="H174" s="48">
        <f>ROUND(Source!AC83*Source!I83, 2)+ROUND(Source!AD83*Source!I83, 2)+ROUND(Source!AF83*Source!I83, 2)</f>
        <v>1.65</v>
      </c>
      <c r="I174" s="49"/>
      <c r="J174" s="49">
        <f>IF(Source!BC83&lt;&gt; 0, Source!BC83, 1)</f>
        <v>10.199999999999999</v>
      </c>
      <c r="K174" s="48">
        <f>Source!O83</f>
        <v>16.87</v>
      </c>
      <c r="L174" s="50"/>
      <c r="S174">
        <f>ROUND((Source!FX83/100)*((ROUND(Source!AF83*Source!I83, 2)+ROUND(Source!AE83*Source!I83, 2))), 2)</f>
        <v>0</v>
      </c>
      <c r="T174">
        <f>Source!X83</f>
        <v>0</v>
      </c>
      <c r="U174">
        <f>ROUND((Source!FY83/100)*((ROUND(Source!AF83*Source!I83, 2)+ROUND(Source!AE83*Source!I83, 2))), 2)</f>
        <v>0</v>
      </c>
      <c r="V174">
        <f>Source!Y83</f>
        <v>0</v>
      </c>
      <c r="W174">
        <f>IF(Source!BI83&lt;=1,H174, 0)</f>
        <v>1.65</v>
      </c>
      <c r="X174">
        <f>IF(Source!BI83=2,H174, 0)</f>
        <v>0</v>
      </c>
      <c r="Y174">
        <f>IF(Source!BI83=3,H174, 0)</f>
        <v>0</v>
      </c>
      <c r="Z174">
        <f>IF(Source!BI83=4,H174, 0)</f>
        <v>0</v>
      </c>
    </row>
    <row r="175" spans="1:26" ht="15">
      <c r="G175" s="72">
        <f>H167+H168+H170+H171+H172+SUM(H174:H174)</f>
        <v>111.31000000000002</v>
      </c>
      <c r="H175" s="72"/>
      <c r="J175" s="72">
        <f>K167+K168+K170+K171+K172+SUM(K174:K174)</f>
        <v>1522.72</v>
      </c>
      <c r="K175" s="72"/>
      <c r="L175" s="51">
        <f>Source!U82</f>
        <v>0.54233999999999993</v>
      </c>
      <c r="O175" s="32">
        <f>G175</f>
        <v>111.31000000000002</v>
      </c>
      <c r="P175" s="32">
        <f>J175</f>
        <v>1522.72</v>
      </c>
      <c r="Q175" s="32">
        <f>L175</f>
        <v>0.54233999999999993</v>
      </c>
      <c r="W175">
        <f>IF(Source!BI82&lt;=1,H167+H168+H170+H171+H172, 0)</f>
        <v>109.66000000000001</v>
      </c>
      <c r="X175">
        <f>IF(Source!BI82=2,H167+H168+H170+H171+H172, 0)</f>
        <v>0</v>
      </c>
      <c r="Y175">
        <f>IF(Source!BI82=3,H167+H168+H170+H171+H172, 0)</f>
        <v>0</v>
      </c>
      <c r="Z175">
        <f>IF(Source!BI82=4,H167+H168+H170+H171+H172, 0)</f>
        <v>0</v>
      </c>
    </row>
    <row r="176" spans="1:26" ht="79.5">
      <c r="A176" s="23" t="str">
        <f>Source!E84</f>
        <v>14</v>
      </c>
      <c r="B176" s="55" t="s">
        <v>657</v>
      </c>
      <c r="C176" s="55" t="str">
        <f>Source!G84</f>
        <v>Устройство бетонных плитных тротуаров с заполнением швов песком</v>
      </c>
      <c r="D176" s="37" t="str">
        <f>Source!H84</f>
        <v>100 м2 тротуара</v>
      </c>
      <c r="E176" s="10">
        <f>Source!I84</f>
        <v>0.22</v>
      </c>
      <c r="F176" s="38">
        <f>Source!AL84+Source!AM84+Source!AO84</f>
        <v>7762.7</v>
      </c>
      <c r="G176" s="39"/>
      <c r="H176" s="40"/>
      <c r="I176" s="39" t="str">
        <f>Source!BO84</f>
        <v>27-07-003-2</v>
      </c>
      <c r="J176" s="39"/>
      <c r="K176" s="40"/>
      <c r="L176" s="41"/>
      <c r="S176">
        <f>ROUND((Source!FX84/100)*((ROUND(Source!AF84*Source!I84, 2)+ROUND(Source!AE84*Source!I84, 2))), 2)</f>
        <v>113.98</v>
      </c>
      <c r="T176">
        <f>Source!X84</f>
        <v>3773.21</v>
      </c>
      <c r="U176">
        <f>ROUND((Source!FY84/100)*((ROUND(Source!AF84*Source!I84, 2)+ROUND(Source!AE84*Source!I84, 2))), 2)</f>
        <v>72.02</v>
      </c>
      <c r="V176">
        <f>Source!Y84</f>
        <v>2387.73</v>
      </c>
    </row>
    <row r="177" spans="1:26">
      <c r="C177" s="31" t="str">
        <f>"Объем: "&amp;Source!I84&amp;"=22/"&amp;"100"</f>
        <v>Объем: 0,22=22/100</v>
      </c>
    </row>
    <row r="178" spans="1:26" ht="14.25">
      <c r="A178" s="23"/>
      <c r="B178" s="55"/>
      <c r="C178" s="55" t="s">
        <v>641</v>
      </c>
      <c r="D178" s="37"/>
      <c r="E178" s="10"/>
      <c r="F178" s="38">
        <f>Source!AO84</f>
        <v>346.41</v>
      </c>
      <c r="G178" s="39" t="str">
        <f>Source!DG84</f>
        <v>)*1,15</v>
      </c>
      <c r="H178" s="40">
        <f>ROUND(Source!AF84*Source!I84, 2)</f>
        <v>87.64</v>
      </c>
      <c r="I178" s="39"/>
      <c r="J178" s="39">
        <f>IF(Source!BA84&lt;&gt; 0, Source!BA84, 1)</f>
        <v>33.049999999999997</v>
      </c>
      <c r="K178" s="40">
        <f>Source!S84</f>
        <v>2896.56</v>
      </c>
      <c r="L178" s="41"/>
      <c r="R178">
        <f>H178</f>
        <v>87.64</v>
      </c>
    </row>
    <row r="179" spans="1:26" ht="14.25">
      <c r="A179" s="23"/>
      <c r="B179" s="55"/>
      <c r="C179" s="55" t="s">
        <v>63</v>
      </c>
      <c r="D179" s="37"/>
      <c r="E179" s="10"/>
      <c r="F179" s="38">
        <f>Source!AM84</f>
        <v>403.53</v>
      </c>
      <c r="G179" s="39" t="str">
        <f>Source!DE84</f>
        <v>)*1,25</v>
      </c>
      <c r="H179" s="40">
        <f>ROUND(Source!AD84*Source!I84, 2)</f>
        <v>110.97</v>
      </c>
      <c r="I179" s="39"/>
      <c r="J179" s="39">
        <f>IF(Source!BB84&lt;&gt; 0, Source!BB84, 1)</f>
        <v>7.28</v>
      </c>
      <c r="K179" s="40">
        <f>Source!Q84</f>
        <v>807.87</v>
      </c>
      <c r="L179" s="41"/>
    </row>
    <row r="180" spans="1:26" ht="14.25">
      <c r="A180" s="23"/>
      <c r="B180" s="55"/>
      <c r="C180" s="55" t="s">
        <v>647</v>
      </c>
      <c r="D180" s="37"/>
      <c r="E180" s="10"/>
      <c r="F180" s="38">
        <f>Source!AN84</f>
        <v>5.64</v>
      </c>
      <c r="G180" s="39" t="str">
        <f>Source!DF84</f>
        <v>)*1,25</v>
      </c>
      <c r="H180" s="52">
        <f>ROUND(Source!AE84*Source!I84, 2)</f>
        <v>1.55</v>
      </c>
      <c r="I180" s="39"/>
      <c r="J180" s="39">
        <f>IF(Source!BS84&lt;&gt; 0, Source!BS84, 1)</f>
        <v>33.049999999999997</v>
      </c>
      <c r="K180" s="52">
        <f>Source!R84</f>
        <v>51.26</v>
      </c>
      <c r="L180" s="41"/>
      <c r="R180">
        <f>H180</f>
        <v>1.55</v>
      </c>
    </row>
    <row r="181" spans="1:26" ht="14.25">
      <c r="A181" s="23"/>
      <c r="B181" s="55"/>
      <c r="C181" s="55" t="s">
        <v>649</v>
      </c>
      <c r="D181" s="37"/>
      <c r="E181" s="10"/>
      <c r="F181" s="38">
        <f>Source!AL84</f>
        <v>7012.76</v>
      </c>
      <c r="G181" s="39" t="str">
        <f>Source!DD84</f>
        <v/>
      </c>
      <c r="H181" s="40">
        <f>ROUND(Source!AC84*Source!I84, 2)</f>
        <v>1542.81</v>
      </c>
      <c r="I181" s="39"/>
      <c r="J181" s="39">
        <f>IF(Source!BC84&lt;&gt; 0, Source!BC84, 1)</f>
        <v>4.4800000000000004</v>
      </c>
      <c r="K181" s="40">
        <f>Source!P84</f>
        <v>6911.78</v>
      </c>
      <c r="L181" s="41"/>
    </row>
    <row r="182" spans="1:26" ht="14.25">
      <c r="A182" s="23"/>
      <c r="B182" s="55"/>
      <c r="C182" s="55" t="s">
        <v>642</v>
      </c>
      <c r="D182" s="37" t="s">
        <v>643</v>
      </c>
      <c r="E182" s="10">
        <f>Source!BZ84</f>
        <v>142</v>
      </c>
      <c r="F182" s="73" t="str">
        <f>CONCATENATE(" )", Source!DL84, Source!FT84, "=", Source!FX84)</f>
        <v xml:space="preserve"> )*0,9=127,8</v>
      </c>
      <c r="G182" s="74"/>
      <c r="H182" s="40">
        <f>SUM(S176:S186)</f>
        <v>113.98</v>
      </c>
      <c r="I182" s="42"/>
      <c r="J182" s="36">
        <f>Source!AT84</f>
        <v>128</v>
      </c>
      <c r="K182" s="40">
        <f>SUM(T176:T186)</f>
        <v>3773.21</v>
      </c>
      <c r="L182" s="41"/>
    </row>
    <row r="183" spans="1:26" ht="14.25">
      <c r="A183" s="23"/>
      <c r="B183" s="55"/>
      <c r="C183" s="55" t="s">
        <v>644</v>
      </c>
      <c r="D183" s="37" t="s">
        <v>643</v>
      </c>
      <c r="E183" s="10">
        <f>Source!CA84</f>
        <v>95</v>
      </c>
      <c r="F183" s="73" t="str">
        <f>CONCATENATE(" )", Source!DM84, Source!FU84, "=", Source!FY84)</f>
        <v xml:space="preserve"> )*0,85=80,75</v>
      </c>
      <c r="G183" s="74"/>
      <c r="H183" s="40">
        <f>SUM(U176:U186)</f>
        <v>72.02</v>
      </c>
      <c r="I183" s="42"/>
      <c r="J183" s="36">
        <f>Source!AU84</f>
        <v>81</v>
      </c>
      <c r="K183" s="40">
        <f>SUM(V176:V186)</f>
        <v>2387.73</v>
      </c>
      <c r="L183" s="41"/>
    </row>
    <row r="184" spans="1:26" ht="14.25">
      <c r="A184" s="23"/>
      <c r="B184" s="55"/>
      <c r="C184" s="55" t="s">
        <v>645</v>
      </c>
      <c r="D184" s="37" t="s">
        <v>646</v>
      </c>
      <c r="E184" s="10">
        <f>Source!AQ84</f>
        <v>42.4</v>
      </c>
      <c r="F184" s="38"/>
      <c r="G184" s="39" t="str">
        <f>Source!DI84</f>
        <v>)*1,15</v>
      </c>
      <c r="H184" s="40"/>
      <c r="I184" s="39"/>
      <c r="J184" s="39"/>
      <c r="K184" s="40"/>
      <c r="L184" s="43">
        <f>Source!U84</f>
        <v>10.7272</v>
      </c>
    </row>
    <row r="185" spans="1:26" ht="28.5">
      <c r="A185" s="23" t="str">
        <f>Source!E85</f>
        <v>14,1</v>
      </c>
      <c r="B185" s="55" t="str">
        <f>Source!F85</f>
        <v>407-0027</v>
      </c>
      <c r="C185" s="55" t="str">
        <f>Source!G85</f>
        <v>Смесь пескоцементная с содержанием цемента до 67 %</v>
      </c>
      <c r="D185" s="37" t="str">
        <f>Source!H85</f>
        <v>м3</v>
      </c>
      <c r="E185" s="10">
        <f>Source!I85</f>
        <v>1.1000000000000001</v>
      </c>
      <c r="F185" s="38">
        <f>Source!AL85+Source!AM85+Source!AO85</f>
        <v>295.8</v>
      </c>
      <c r="G185" s="54" t="s">
        <v>3</v>
      </c>
      <c r="H185" s="40">
        <f>ROUND(Source!AC85*Source!I85, 2)+ROUND(Source!AD85*Source!I85, 2)+ROUND(Source!AF85*Source!I85, 2)</f>
        <v>325.38</v>
      </c>
      <c r="I185" s="39"/>
      <c r="J185" s="39">
        <f>IF(Source!BC85&lt;&gt; 0, Source!BC85, 1)</f>
        <v>10.73</v>
      </c>
      <c r="K185" s="40">
        <f>Source!O85</f>
        <v>3491.33</v>
      </c>
      <c r="L185" s="41"/>
      <c r="S185">
        <f>ROUND((Source!FX85/100)*((ROUND(Source!AF85*Source!I85, 2)+ROUND(Source!AE85*Source!I85, 2))), 2)</f>
        <v>0</v>
      </c>
      <c r="T185">
        <f>Source!X85</f>
        <v>0</v>
      </c>
      <c r="U185">
        <f>ROUND((Source!FY85/100)*((ROUND(Source!AF85*Source!I85, 2)+ROUND(Source!AE85*Source!I85, 2))), 2)</f>
        <v>0</v>
      </c>
      <c r="V185">
        <f>Source!Y85</f>
        <v>0</v>
      </c>
      <c r="W185">
        <f>IF(Source!BI85&lt;=1,H185, 0)</f>
        <v>325.38</v>
      </c>
      <c r="X185">
        <f>IF(Source!BI85=2,H185, 0)</f>
        <v>0</v>
      </c>
      <c r="Y185">
        <f>IF(Source!BI85=3,H185, 0)</f>
        <v>0</v>
      </c>
      <c r="Z185">
        <f>IF(Source!BI85=4,H185, 0)</f>
        <v>0</v>
      </c>
    </row>
    <row r="186" spans="1:26" ht="14.25">
      <c r="A186" s="56" t="str">
        <f>Source!E86</f>
        <v>14,2</v>
      </c>
      <c r="B186" s="57" t="str">
        <f>Source!F86</f>
        <v>407-9040</v>
      </c>
      <c r="C186" s="57" t="str">
        <f>Source!G86</f>
        <v>Смесь пескоцементная</v>
      </c>
      <c r="D186" s="44" t="str">
        <f>Source!H86</f>
        <v>м3</v>
      </c>
      <c r="E186" s="45">
        <f>Source!I86</f>
        <v>1.1000000000000001</v>
      </c>
      <c r="F186" s="46">
        <f>Source!AL86+Source!AM86+Source!AO86</f>
        <v>0</v>
      </c>
      <c r="G186" s="47" t="s">
        <v>3</v>
      </c>
      <c r="H186" s="48">
        <f>ROUND(Source!AC86*Source!I86, 2)+ROUND(Source!AD86*Source!I86, 2)+ROUND(Source!AF86*Source!I86, 2)</f>
        <v>0</v>
      </c>
      <c r="I186" s="49"/>
      <c r="J186" s="49">
        <f>IF(Source!BC86&lt;&gt; 0, Source!BC86, 1)</f>
        <v>1</v>
      </c>
      <c r="K186" s="48">
        <f>Source!O86</f>
        <v>0</v>
      </c>
      <c r="L186" s="50"/>
      <c r="S186">
        <f>ROUND((Source!FX86/100)*((ROUND(Source!AF86*Source!I86, 2)+ROUND(Source!AE86*Source!I86, 2))), 2)</f>
        <v>0</v>
      </c>
      <c r="T186">
        <f>Source!X86</f>
        <v>0</v>
      </c>
      <c r="U186">
        <f>ROUND((Source!FY86/100)*((ROUND(Source!AF86*Source!I86, 2)+ROUND(Source!AE86*Source!I86, 2))), 2)</f>
        <v>0</v>
      </c>
      <c r="V186">
        <f>Source!Y86</f>
        <v>0</v>
      </c>
      <c r="W186">
        <f>IF(Source!BI86&lt;=1,H186, 0)</f>
        <v>0</v>
      </c>
      <c r="X186">
        <f>IF(Source!BI86=2,H186, 0)</f>
        <v>0</v>
      </c>
      <c r="Y186">
        <f>IF(Source!BI86=3,H186, 0)</f>
        <v>0</v>
      </c>
      <c r="Z186">
        <f>IF(Source!BI86=4,H186, 0)</f>
        <v>0</v>
      </c>
    </row>
    <row r="187" spans="1:26" ht="15">
      <c r="G187" s="72">
        <f>H178+H179+H181+H182+H183+SUM(H185:H186)</f>
        <v>2252.8000000000002</v>
      </c>
      <c r="H187" s="72"/>
      <c r="J187" s="72">
        <f>K178+K179+K181+K182+K183+SUM(K185:K186)</f>
        <v>20268.479999999996</v>
      </c>
      <c r="K187" s="72"/>
      <c r="L187" s="51">
        <f>Source!U84</f>
        <v>10.7272</v>
      </c>
      <c r="O187" s="32">
        <f>G187</f>
        <v>2252.8000000000002</v>
      </c>
      <c r="P187" s="32">
        <f>J187</f>
        <v>20268.479999999996</v>
      </c>
      <c r="Q187" s="32">
        <f>L187</f>
        <v>10.7272</v>
      </c>
      <c r="W187">
        <f>IF(Source!BI84&lt;=1,H178+H179+H181+H182+H183, 0)</f>
        <v>1927.42</v>
      </c>
      <c r="X187">
        <f>IF(Source!BI84=2,H178+H179+H181+H182+H183, 0)</f>
        <v>0</v>
      </c>
      <c r="Y187">
        <f>IF(Source!BI84=3,H178+H179+H181+H182+H183, 0)</f>
        <v>0</v>
      </c>
      <c r="Z187">
        <f>IF(Source!BI84=4,H178+H179+H181+H182+H183, 0)</f>
        <v>0</v>
      </c>
    </row>
    <row r="189" spans="1:26" ht="15">
      <c r="A189" s="76" t="str">
        <f>CONCATENATE("Итого по разделу: ",IF(Source!G88&lt;&gt;"Новый раздел", Source!G88, ""))</f>
        <v>Итого по разделу: Монтаж</v>
      </c>
      <c r="B189" s="76"/>
      <c r="C189" s="76"/>
      <c r="D189" s="76"/>
      <c r="E189" s="76"/>
      <c r="F189" s="76"/>
      <c r="G189" s="75">
        <f>SUM(O78:O188)</f>
        <v>49806.200000000004</v>
      </c>
      <c r="H189" s="75"/>
      <c r="I189" s="35"/>
      <c r="J189" s="75">
        <f>SUM(P78:P188)</f>
        <v>246028.43</v>
      </c>
      <c r="K189" s="75"/>
      <c r="L189" s="51">
        <f>SUM(Q78:Q188)</f>
        <v>136.77176</v>
      </c>
    </row>
    <row r="193" spans="1:26" ht="16.5">
      <c r="A193" s="77" t="str">
        <f>CONCATENATE("Раздел: ",IF(Source!G118&lt;&gt;"Новый раздел", Source!G118, ""))</f>
        <v>Раздел: Крыльцо ОВП с торца</v>
      </c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1:26" ht="42.75">
      <c r="A194" s="23" t="str">
        <f>Source!E122</f>
        <v>1</v>
      </c>
      <c r="B194" s="55" t="str">
        <f>Source!F122</f>
        <v>57-2-3</v>
      </c>
      <c r="C194" s="55" t="str">
        <f>Source!G122</f>
        <v>Разборка покрытий полов из керамических плиток</v>
      </c>
      <c r="D194" s="37" t="str">
        <f>Source!H122</f>
        <v>100 м2 покрытия</v>
      </c>
      <c r="E194" s="10">
        <f>Source!I122</f>
        <v>3.2000000000000001E-2</v>
      </c>
      <c r="F194" s="38">
        <f>Source!AL122+Source!AM122+Source!AO122</f>
        <v>641</v>
      </c>
      <c r="G194" s="39"/>
      <c r="H194" s="40"/>
      <c r="I194" s="39" t="str">
        <f>Source!BO122</f>
        <v>57-2-3</v>
      </c>
      <c r="J194" s="39"/>
      <c r="K194" s="40"/>
      <c r="L194" s="41"/>
      <c r="S194">
        <f>ROUND((Source!FX122/100)*((ROUND(Source!AF122*Source!I122, 2)+ROUND(Source!AE122*Source!I122, 2))), 2)</f>
        <v>15.75</v>
      </c>
      <c r="T194">
        <f>Source!X122</f>
        <v>520.70000000000005</v>
      </c>
      <c r="U194">
        <f>ROUND((Source!FY122/100)*((ROUND(Source!AF122*Source!I122, 2)+ROUND(Source!AE122*Source!I122, 2))), 2)</f>
        <v>13.39</v>
      </c>
      <c r="V194">
        <f>Source!Y122</f>
        <v>442.6</v>
      </c>
    </row>
    <row r="195" spans="1:26">
      <c r="C195" s="31" t="str">
        <f>"Объем: "&amp;Source!I122&amp;"=3,2/"&amp;"100"</f>
        <v>Объем: 0,032=3,2/100</v>
      </c>
    </row>
    <row r="196" spans="1:26" ht="14.25">
      <c r="A196" s="23"/>
      <c r="B196" s="55"/>
      <c r="C196" s="55" t="s">
        <v>641</v>
      </c>
      <c r="D196" s="37"/>
      <c r="E196" s="10"/>
      <c r="F196" s="38">
        <f>Source!AO122</f>
        <v>595.99</v>
      </c>
      <c r="G196" s="39" t="str">
        <f>Source!DG122</f>
        <v/>
      </c>
      <c r="H196" s="40">
        <f>ROUND(Source!AF122*Source!I122, 2)</f>
        <v>19.07</v>
      </c>
      <c r="I196" s="39"/>
      <c r="J196" s="39">
        <f>IF(Source!BA122&lt;&gt; 0, Source!BA122, 1)</f>
        <v>33.049999999999997</v>
      </c>
      <c r="K196" s="40">
        <f>Source!S122</f>
        <v>630.32000000000005</v>
      </c>
      <c r="L196" s="41"/>
      <c r="R196">
        <f>H196</f>
        <v>19.07</v>
      </c>
    </row>
    <row r="197" spans="1:26" ht="14.25">
      <c r="A197" s="23"/>
      <c r="B197" s="55"/>
      <c r="C197" s="55" t="s">
        <v>63</v>
      </c>
      <c r="D197" s="37"/>
      <c r="E197" s="10"/>
      <c r="F197" s="38">
        <f>Source!AM122</f>
        <v>45.01</v>
      </c>
      <c r="G197" s="39" t="str">
        <f>Source!DE122</f>
        <v/>
      </c>
      <c r="H197" s="40">
        <f>ROUND(Source!AD122*Source!I122, 2)</f>
        <v>1.44</v>
      </c>
      <c r="I197" s="39"/>
      <c r="J197" s="39">
        <f>IF(Source!BB122&lt;&gt; 0, Source!BB122, 1)</f>
        <v>14.93</v>
      </c>
      <c r="K197" s="40">
        <f>Source!Q122</f>
        <v>21.5</v>
      </c>
      <c r="L197" s="41"/>
    </row>
    <row r="198" spans="1:26" ht="14.25">
      <c r="A198" s="23"/>
      <c r="B198" s="55"/>
      <c r="C198" s="55" t="s">
        <v>647</v>
      </c>
      <c r="D198" s="37"/>
      <c r="E198" s="10"/>
      <c r="F198" s="38">
        <f>Source!AN122</f>
        <v>19.440000000000001</v>
      </c>
      <c r="G198" s="39" t="str">
        <f>Source!DF122</f>
        <v/>
      </c>
      <c r="H198" s="52">
        <f>ROUND(Source!AE122*Source!I122, 2)</f>
        <v>0.62</v>
      </c>
      <c r="I198" s="39"/>
      <c r="J198" s="39">
        <f>IF(Source!BS122&lt;&gt; 0, Source!BS122, 1)</f>
        <v>33.049999999999997</v>
      </c>
      <c r="K198" s="52">
        <f>Source!R122</f>
        <v>20.56</v>
      </c>
      <c r="L198" s="41"/>
      <c r="R198">
        <f>H198</f>
        <v>0.62</v>
      </c>
    </row>
    <row r="199" spans="1:26" ht="14.25">
      <c r="A199" s="23"/>
      <c r="B199" s="55"/>
      <c r="C199" s="55" t="s">
        <v>642</v>
      </c>
      <c r="D199" s="37" t="s">
        <v>643</v>
      </c>
      <c r="E199" s="10">
        <f>Source!BZ122</f>
        <v>80</v>
      </c>
      <c r="F199" s="58"/>
      <c r="G199" s="39"/>
      <c r="H199" s="40">
        <f>SUM(S194:S202)</f>
        <v>15.75</v>
      </c>
      <c r="I199" s="42"/>
      <c r="J199" s="36">
        <f>Source!AT122</f>
        <v>80</v>
      </c>
      <c r="K199" s="40">
        <f>SUM(T194:T202)</f>
        <v>520.70000000000005</v>
      </c>
      <c r="L199" s="41"/>
    </row>
    <row r="200" spans="1:26" ht="14.25">
      <c r="A200" s="23"/>
      <c r="B200" s="55"/>
      <c r="C200" s="55" t="s">
        <v>644</v>
      </c>
      <c r="D200" s="37" t="s">
        <v>643</v>
      </c>
      <c r="E200" s="10">
        <f>Source!CA122</f>
        <v>68</v>
      </c>
      <c r="F200" s="58"/>
      <c r="G200" s="39"/>
      <c r="H200" s="40">
        <f>SUM(U194:U202)</f>
        <v>13.39</v>
      </c>
      <c r="I200" s="42"/>
      <c r="J200" s="36">
        <f>Source!AU122</f>
        <v>68</v>
      </c>
      <c r="K200" s="40">
        <f>SUM(V194:V202)</f>
        <v>442.6</v>
      </c>
      <c r="L200" s="41"/>
    </row>
    <row r="201" spans="1:26" ht="14.25">
      <c r="A201" s="23"/>
      <c r="B201" s="55"/>
      <c r="C201" s="55" t="s">
        <v>645</v>
      </c>
      <c r="D201" s="37" t="s">
        <v>646</v>
      </c>
      <c r="E201" s="10">
        <f>Source!AQ122</f>
        <v>69.87</v>
      </c>
      <c r="F201" s="38"/>
      <c r="G201" s="39" t="str">
        <f>Source!DI122</f>
        <v/>
      </c>
      <c r="H201" s="40"/>
      <c r="I201" s="39"/>
      <c r="J201" s="39"/>
      <c r="K201" s="40"/>
      <c r="L201" s="43">
        <f>Source!U122</f>
        <v>2.23584</v>
      </c>
    </row>
    <row r="202" spans="1:26" ht="14.25">
      <c r="A202" s="56" t="str">
        <f>Source!E123</f>
        <v>1,1</v>
      </c>
      <c r="B202" s="57" t="str">
        <f>Source!F123</f>
        <v>509-9900</v>
      </c>
      <c r="C202" s="57" t="str">
        <f>Source!G123</f>
        <v>Строительный мусор</v>
      </c>
      <c r="D202" s="44" t="str">
        <f>Source!H123</f>
        <v>т</v>
      </c>
      <c r="E202" s="45">
        <f>Source!I123</f>
        <v>0.16639999999999999</v>
      </c>
      <c r="F202" s="46">
        <f>Source!AL123+Source!AM123+Source!AO123</f>
        <v>0</v>
      </c>
      <c r="G202" s="47" t="s">
        <v>3</v>
      </c>
      <c r="H202" s="48">
        <f>ROUND(Source!AC123*Source!I123, 2)+ROUND(Source!AD123*Source!I123, 2)+ROUND(Source!AF123*Source!I123, 2)</f>
        <v>0</v>
      </c>
      <c r="I202" s="49"/>
      <c r="J202" s="49">
        <f>IF(Source!BC123&lt;&gt; 0, Source!BC123, 1)</f>
        <v>1</v>
      </c>
      <c r="K202" s="48">
        <f>Source!O123</f>
        <v>0</v>
      </c>
      <c r="L202" s="50"/>
      <c r="S202">
        <f>ROUND((Source!FX123/100)*((ROUND(Source!AF123*Source!I123, 2)+ROUND(Source!AE123*Source!I123, 2))), 2)</f>
        <v>0</v>
      </c>
      <c r="T202">
        <f>Source!X123</f>
        <v>0</v>
      </c>
      <c r="U202">
        <f>ROUND((Source!FY123/100)*((ROUND(Source!AF123*Source!I123, 2)+ROUND(Source!AE123*Source!I123, 2))), 2)</f>
        <v>0</v>
      </c>
      <c r="V202">
        <f>Source!Y123</f>
        <v>0</v>
      </c>
      <c r="W202">
        <f>IF(Source!BI123&lt;=1,H202, 0)</f>
        <v>0</v>
      </c>
      <c r="X202">
        <f>IF(Source!BI123=2,H202, 0)</f>
        <v>0</v>
      </c>
      <c r="Y202">
        <f>IF(Source!BI123=3,H202, 0)</f>
        <v>0</v>
      </c>
      <c r="Z202">
        <f>IF(Source!BI123=4,H202, 0)</f>
        <v>0</v>
      </c>
    </row>
    <row r="203" spans="1:26" ht="15">
      <c r="G203" s="72">
        <f>H196+H197+H199+H200+SUM(H202:H202)</f>
        <v>49.650000000000006</v>
      </c>
      <c r="H203" s="72"/>
      <c r="J203" s="72">
        <f>K196+K197+K199+K200+SUM(K202:K202)</f>
        <v>1615.12</v>
      </c>
      <c r="K203" s="72"/>
      <c r="L203" s="51">
        <f>Source!U122</f>
        <v>2.23584</v>
      </c>
      <c r="O203" s="32">
        <f>G203</f>
        <v>49.650000000000006</v>
      </c>
      <c r="P203" s="32">
        <f>J203</f>
        <v>1615.12</v>
      </c>
      <c r="Q203" s="32">
        <f>L203</f>
        <v>2.23584</v>
      </c>
      <c r="W203">
        <f>IF(Source!BI122&lt;=1,H196+H197+H199+H200, 0)</f>
        <v>49.650000000000006</v>
      </c>
      <c r="X203">
        <f>IF(Source!BI122=2,H196+H197+H199+H200, 0)</f>
        <v>0</v>
      </c>
      <c r="Y203">
        <f>IF(Source!BI122=3,H196+H197+H199+H200, 0)</f>
        <v>0</v>
      </c>
      <c r="Z203">
        <f>IF(Source!BI122=4,H196+H197+H199+H200, 0)</f>
        <v>0</v>
      </c>
    </row>
    <row r="204" spans="1:26" ht="79.5">
      <c r="A204" s="23" t="str">
        <f>Source!E124</f>
        <v>2</v>
      </c>
      <c r="B204" s="55" t="s">
        <v>653</v>
      </c>
      <c r="C204" s="55" t="str">
        <f>Source!G124</f>
        <v>Устройство стяжек на каждые 5 мм изменения толщины стяжки добавлять или исключать к расценке 11-01-011-01</v>
      </c>
      <c r="D204" s="37" t="str">
        <f>Source!H124</f>
        <v>100 м2 стяжки</v>
      </c>
      <c r="E204" s="10">
        <f>Source!I124</f>
        <v>3.2000000000000001E-2</v>
      </c>
      <c r="F204" s="38">
        <f>Source!AL124+Source!AM124+Source!AO124</f>
        <v>291.32000000000005</v>
      </c>
      <c r="G204" s="39"/>
      <c r="H204" s="40"/>
      <c r="I204" s="39" t="str">
        <f>Source!BO124</f>
        <v>11-01-011-2</v>
      </c>
      <c r="J204" s="39"/>
      <c r="K204" s="40"/>
      <c r="L204" s="41"/>
      <c r="S204">
        <f>ROUND((Source!FX124/100)*((ROUND(Source!AF124*Source!I124, 2)+ROUND(Source!AE124*Source!I124, 2))), 2)</f>
        <v>0.28999999999999998</v>
      </c>
      <c r="T204">
        <f>Source!X124</f>
        <v>9.52</v>
      </c>
      <c r="U204">
        <f>ROUND((Source!FY124/100)*((ROUND(Source!AF124*Source!I124, 2)+ROUND(Source!AE124*Source!I124, 2))), 2)</f>
        <v>0.17</v>
      </c>
      <c r="V204">
        <f>Source!Y124</f>
        <v>5.49</v>
      </c>
    </row>
    <row r="205" spans="1:26">
      <c r="C205" s="31" t="str">
        <f>"Объем: "&amp;Source!I124&amp;"=3,2/"&amp;"100"</f>
        <v>Объем: 0,032=3,2/100</v>
      </c>
    </row>
    <row r="206" spans="1:26" ht="14.25">
      <c r="A206" s="23"/>
      <c r="B206" s="55"/>
      <c r="C206" s="55" t="s">
        <v>641</v>
      </c>
      <c r="D206" s="37"/>
      <c r="E206" s="10"/>
      <c r="F206" s="38">
        <f>Source!AO124</f>
        <v>3.97</v>
      </c>
      <c r="G206" s="39" t="str">
        <f>Source!DG124</f>
        <v>)*1,15</v>
      </c>
      <c r="H206" s="40">
        <f>ROUND(Source!AF124*Source!I124, 2)</f>
        <v>0.15</v>
      </c>
      <c r="I206" s="39"/>
      <c r="J206" s="39">
        <f>IF(Source!BA124&lt;&gt; 0, Source!BA124, 1)</f>
        <v>33.049999999999997</v>
      </c>
      <c r="K206" s="40">
        <f>Source!S124</f>
        <v>4.83</v>
      </c>
      <c r="L206" s="41"/>
      <c r="R206">
        <f>H206</f>
        <v>0.15</v>
      </c>
    </row>
    <row r="207" spans="1:26" ht="14.25">
      <c r="A207" s="23"/>
      <c r="B207" s="55"/>
      <c r="C207" s="55" t="s">
        <v>63</v>
      </c>
      <c r="D207" s="37"/>
      <c r="E207" s="10"/>
      <c r="F207" s="38">
        <f>Source!AM124</f>
        <v>7.72</v>
      </c>
      <c r="G207" s="39" t="str">
        <f>Source!DE124</f>
        <v>)*1,25</v>
      </c>
      <c r="H207" s="40">
        <f>ROUND(Source!AD124*Source!I124, 2)</f>
        <v>0.31</v>
      </c>
      <c r="I207" s="39"/>
      <c r="J207" s="39">
        <f>IF(Source!BB124&lt;&gt; 0, Source!BB124, 1)</f>
        <v>13.93</v>
      </c>
      <c r="K207" s="40">
        <f>Source!Q124</f>
        <v>4.3</v>
      </c>
      <c r="L207" s="41"/>
    </row>
    <row r="208" spans="1:26" ht="14.25">
      <c r="A208" s="23"/>
      <c r="B208" s="55"/>
      <c r="C208" s="55" t="s">
        <v>647</v>
      </c>
      <c r="D208" s="37"/>
      <c r="E208" s="10"/>
      <c r="F208" s="38">
        <f>Source!AN124</f>
        <v>2.84</v>
      </c>
      <c r="G208" s="39" t="str">
        <f>Source!DF124</f>
        <v>)*1,25</v>
      </c>
      <c r="H208" s="52">
        <f>ROUND(Source!AE124*Source!I124, 2)</f>
        <v>0.11</v>
      </c>
      <c r="I208" s="39"/>
      <c r="J208" s="39">
        <f>IF(Source!BS124&lt;&gt; 0, Source!BS124, 1)</f>
        <v>33.049999999999997</v>
      </c>
      <c r="K208" s="52">
        <f>Source!R124</f>
        <v>3.75</v>
      </c>
      <c r="L208" s="41"/>
      <c r="R208">
        <f>H208</f>
        <v>0.11</v>
      </c>
    </row>
    <row r="209" spans="1:26" ht="14.25">
      <c r="A209" s="23"/>
      <c r="B209" s="55"/>
      <c r="C209" s="55" t="s">
        <v>649</v>
      </c>
      <c r="D209" s="37"/>
      <c r="E209" s="10"/>
      <c r="F209" s="38">
        <f>Source!AL124</f>
        <v>279.63</v>
      </c>
      <c r="G209" s="39" t="str">
        <f>Source!DD124</f>
        <v/>
      </c>
      <c r="H209" s="40">
        <f>ROUND(Source!AC124*Source!I124, 2)</f>
        <v>8.9499999999999993</v>
      </c>
      <c r="I209" s="39"/>
      <c r="J209" s="39">
        <f>IF(Source!BC124&lt;&gt; 0, Source!BC124, 1)</f>
        <v>6.2</v>
      </c>
      <c r="K209" s="40">
        <f>Source!P124</f>
        <v>55.48</v>
      </c>
      <c r="L209" s="41"/>
    </row>
    <row r="210" spans="1:26" ht="14.25">
      <c r="A210" s="23"/>
      <c r="B210" s="55"/>
      <c r="C210" s="55" t="s">
        <v>642</v>
      </c>
      <c r="D210" s="37" t="s">
        <v>643</v>
      </c>
      <c r="E210" s="10">
        <f>Source!BZ124</f>
        <v>123</v>
      </c>
      <c r="F210" s="73" t="str">
        <f>CONCATENATE(" )", Source!DL124, Source!FT124, "=", Source!FX124)</f>
        <v xml:space="preserve"> )*0,9=110,7</v>
      </c>
      <c r="G210" s="74"/>
      <c r="H210" s="40">
        <f>SUM(S204:S212)</f>
        <v>0.28999999999999998</v>
      </c>
      <c r="I210" s="42"/>
      <c r="J210" s="36">
        <f>Source!AT124</f>
        <v>111</v>
      </c>
      <c r="K210" s="40">
        <f>SUM(T204:T212)</f>
        <v>9.52</v>
      </c>
      <c r="L210" s="41"/>
    </row>
    <row r="211" spans="1:26" ht="14.25">
      <c r="A211" s="23"/>
      <c r="B211" s="55"/>
      <c r="C211" s="55" t="s">
        <v>644</v>
      </c>
      <c r="D211" s="37" t="s">
        <v>643</v>
      </c>
      <c r="E211" s="10">
        <f>Source!CA124</f>
        <v>75</v>
      </c>
      <c r="F211" s="73" t="str">
        <f>CONCATENATE(" )", Source!DM124, Source!FU124, "=", Source!FY124)</f>
        <v xml:space="preserve"> )*0,85=63,75</v>
      </c>
      <c r="G211" s="74"/>
      <c r="H211" s="40">
        <f>SUM(U204:U212)</f>
        <v>0.17</v>
      </c>
      <c r="I211" s="42"/>
      <c r="J211" s="36">
        <f>Source!AU124</f>
        <v>64</v>
      </c>
      <c r="K211" s="40">
        <f>SUM(V204:V212)</f>
        <v>5.49</v>
      </c>
      <c r="L211" s="41"/>
    </row>
    <row r="212" spans="1:26" ht="14.25">
      <c r="A212" s="56"/>
      <c r="B212" s="57"/>
      <c r="C212" s="57" t="s">
        <v>645</v>
      </c>
      <c r="D212" s="44" t="s">
        <v>646</v>
      </c>
      <c r="E212" s="45">
        <f>Source!AQ124</f>
        <v>0.5</v>
      </c>
      <c r="F212" s="46"/>
      <c r="G212" s="49" t="str">
        <f>Source!DI124</f>
        <v>)*1,15</v>
      </c>
      <c r="H212" s="48"/>
      <c r="I212" s="49"/>
      <c r="J212" s="49"/>
      <c r="K212" s="48"/>
      <c r="L212" s="53">
        <f>Source!U124</f>
        <v>1.84E-2</v>
      </c>
    </row>
    <row r="213" spans="1:26" ht="15">
      <c r="G213" s="72">
        <f>H206+H207+H209+H210+H211</f>
        <v>9.8699999999999992</v>
      </c>
      <c r="H213" s="72"/>
      <c r="J213" s="72">
        <f>K206+K207+K209+K210+K211</f>
        <v>79.61999999999999</v>
      </c>
      <c r="K213" s="72"/>
      <c r="L213" s="51">
        <f>Source!U124</f>
        <v>1.84E-2</v>
      </c>
      <c r="O213" s="32">
        <f>G213</f>
        <v>9.8699999999999992</v>
      </c>
      <c r="P213" s="32">
        <f>J213</f>
        <v>79.61999999999999</v>
      </c>
      <c r="Q213" s="32">
        <f>L213</f>
        <v>1.84E-2</v>
      </c>
      <c r="W213">
        <f>IF(Source!BI124&lt;=1,H206+H207+H209+H210+H211, 0)</f>
        <v>9.8699999999999992</v>
      </c>
      <c r="X213">
        <f>IF(Source!BI124=2,H206+H207+H209+H210+H211, 0)</f>
        <v>0</v>
      </c>
      <c r="Y213">
        <f>IF(Source!BI124=3,H206+H207+H209+H210+H211, 0)</f>
        <v>0</v>
      </c>
      <c r="Z213">
        <f>IF(Source!BI124=4,H206+H207+H209+H210+H211, 0)</f>
        <v>0</v>
      </c>
    </row>
    <row r="214" spans="1:26" ht="79.5">
      <c r="A214" s="23" t="str">
        <f>Source!E125</f>
        <v>3</v>
      </c>
      <c r="B214" s="55" t="s">
        <v>658</v>
      </c>
      <c r="C214" s="55" t="str">
        <f>Source!G125</f>
        <v>Устройство покрытий из керамогранитных плиток размером 30х30 см</v>
      </c>
      <c r="D214" s="37" t="str">
        <f>Source!H125</f>
        <v>100 м2</v>
      </c>
      <c r="E214" s="10">
        <f>Source!I125</f>
        <v>3.2000000000000001E-2</v>
      </c>
      <c r="F214" s="38">
        <f>Source!AL125+Source!AM125+Source!AO125</f>
        <v>9873.0199999999986</v>
      </c>
      <c r="G214" s="39"/>
      <c r="H214" s="40"/>
      <c r="I214" s="39" t="str">
        <f>Source!BO125</f>
        <v>11-01-300-1</v>
      </c>
      <c r="J214" s="39"/>
      <c r="K214" s="40"/>
      <c r="L214" s="41"/>
      <c r="S214">
        <f>ROUND((Source!FX125/100)*((ROUND(Source!AF125*Source!I125, 2)+ROUND(Source!AE125*Source!I125, 2))), 2)</f>
        <v>29.32</v>
      </c>
      <c r="T214">
        <f>Source!X125</f>
        <v>971.67</v>
      </c>
      <c r="U214">
        <f>ROUND((Source!FY125/100)*((ROUND(Source!AF125*Source!I125, 2)+ROUND(Source!AE125*Source!I125, 2))), 2)</f>
        <v>16.89</v>
      </c>
      <c r="V214">
        <f>Source!Y125</f>
        <v>560.24</v>
      </c>
    </row>
    <row r="215" spans="1:26">
      <c r="C215" s="31" t="str">
        <f>"Объем: "&amp;Source!I125&amp;"=3,2/"&amp;"100"</f>
        <v>Объем: 0,032=3,2/100</v>
      </c>
    </row>
    <row r="216" spans="1:26" ht="14.25">
      <c r="A216" s="23"/>
      <c r="B216" s="55"/>
      <c r="C216" s="55" t="s">
        <v>641</v>
      </c>
      <c r="D216" s="37"/>
      <c r="E216" s="10"/>
      <c r="F216" s="38">
        <f>Source!AO125</f>
        <v>669.75</v>
      </c>
      <c r="G216" s="39" t="str">
        <f>Source!DG125</f>
        <v>)*1,15</v>
      </c>
      <c r="H216" s="40">
        <f>ROUND(Source!AF125*Source!I125, 2)</f>
        <v>24.65</v>
      </c>
      <c r="I216" s="39"/>
      <c r="J216" s="39">
        <f>IF(Source!BA125&lt;&gt; 0, Source!BA125, 1)</f>
        <v>33.049999999999997</v>
      </c>
      <c r="K216" s="40">
        <f>Source!S125</f>
        <v>814.58</v>
      </c>
      <c r="L216" s="41"/>
      <c r="R216">
        <f>H216</f>
        <v>24.65</v>
      </c>
    </row>
    <row r="217" spans="1:26" ht="14.25">
      <c r="A217" s="23"/>
      <c r="B217" s="55"/>
      <c r="C217" s="55" t="s">
        <v>63</v>
      </c>
      <c r="D217" s="37"/>
      <c r="E217" s="10"/>
      <c r="F217" s="38">
        <f>Source!AM125</f>
        <v>147.97</v>
      </c>
      <c r="G217" s="39" t="str">
        <f>Source!DE125</f>
        <v>)*1,25</v>
      </c>
      <c r="H217" s="40">
        <f>ROUND(Source!AD125*Source!I125, 2)</f>
        <v>5.92</v>
      </c>
      <c r="I217" s="39"/>
      <c r="J217" s="39">
        <f>IF(Source!BB125&lt;&gt; 0, Source!BB125, 1)</f>
        <v>14.59</v>
      </c>
      <c r="K217" s="40">
        <f>Source!Q125</f>
        <v>86.36</v>
      </c>
      <c r="L217" s="41"/>
    </row>
    <row r="218" spans="1:26" ht="14.25">
      <c r="A218" s="23"/>
      <c r="B218" s="55"/>
      <c r="C218" s="55" t="s">
        <v>647</v>
      </c>
      <c r="D218" s="37"/>
      <c r="E218" s="10"/>
      <c r="F218" s="38">
        <f>Source!AN125</f>
        <v>45.99</v>
      </c>
      <c r="G218" s="39" t="str">
        <f>Source!DF125</f>
        <v>)*1,25</v>
      </c>
      <c r="H218" s="52">
        <f>ROUND(Source!AE125*Source!I125, 2)</f>
        <v>1.84</v>
      </c>
      <c r="I218" s="39"/>
      <c r="J218" s="39">
        <f>IF(Source!BS125&lt;&gt; 0, Source!BS125, 1)</f>
        <v>33.049999999999997</v>
      </c>
      <c r="K218" s="52">
        <f>Source!R125</f>
        <v>60.8</v>
      </c>
      <c r="L218" s="41"/>
      <c r="R218">
        <f>H218</f>
        <v>1.84</v>
      </c>
    </row>
    <row r="219" spans="1:26" ht="14.25">
      <c r="A219" s="23"/>
      <c r="B219" s="55"/>
      <c r="C219" s="55" t="s">
        <v>649</v>
      </c>
      <c r="D219" s="37"/>
      <c r="E219" s="10"/>
      <c r="F219" s="38">
        <f>Source!AL125</f>
        <v>9055.2999999999993</v>
      </c>
      <c r="G219" s="39" t="str">
        <f>Source!DD125</f>
        <v/>
      </c>
      <c r="H219" s="40">
        <f>ROUND(Source!AC125*Source!I125, 2)</f>
        <v>289.77</v>
      </c>
      <c r="I219" s="39"/>
      <c r="J219" s="39">
        <f>IF(Source!BC125&lt;&gt; 0, Source!BC125, 1)</f>
        <v>4.6100000000000003</v>
      </c>
      <c r="K219" s="40">
        <f>Source!P125</f>
        <v>1335.84</v>
      </c>
      <c r="L219" s="41"/>
    </row>
    <row r="220" spans="1:26" ht="14.25">
      <c r="A220" s="23"/>
      <c r="B220" s="55"/>
      <c r="C220" s="55" t="s">
        <v>642</v>
      </c>
      <c r="D220" s="37" t="s">
        <v>643</v>
      </c>
      <c r="E220" s="10">
        <f>Source!BZ125</f>
        <v>123</v>
      </c>
      <c r="F220" s="73" t="str">
        <f>CONCATENATE(" )", Source!DL125, Source!FT125, "=", Source!FX125)</f>
        <v xml:space="preserve"> )*0,9=110,7</v>
      </c>
      <c r="G220" s="74"/>
      <c r="H220" s="40">
        <f>SUM(S214:S222)</f>
        <v>29.32</v>
      </c>
      <c r="I220" s="42"/>
      <c r="J220" s="36">
        <f>Source!AT125</f>
        <v>111</v>
      </c>
      <c r="K220" s="40">
        <f>SUM(T214:T222)</f>
        <v>971.67</v>
      </c>
      <c r="L220" s="41"/>
    </row>
    <row r="221" spans="1:26" ht="14.25">
      <c r="A221" s="23"/>
      <c r="B221" s="55"/>
      <c r="C221" s="55" t="s">
        <v>644</v>
      </c>
      <c r="D221" s="37" t="s">
        <v>643</v>
      </c>
      <c r="E221" s="10">
        <f>Source!CA125</f>
        <v>75</v>
      </c>
      <c r="F221" s="73" t="str">
        <f>CONCATENATE(" )", Source!DM125, Source!FU125, "=", Source!FY125)</f>
        <v xml:space="preserve"> )*0,85=63,75</v>
      </c>
      <c r="G221" s="74"/>
      <c r="H221" s="40">
        <f>SUM(U214:U222)</f>
        <v>16.89</v>
      </c>
      <c r="I221" s="42"/>
      <c r="J221" s="36">
        <f>Source!AU125</f>
        <v>64</v>
      </c>
      <c r="K221" s="40">
        <f>SUM(V214:V222)</f>
        <v>560.24</v>
      </c>
      <c r="L221" s="41"/>
    </row>
    <row r="222" spans="1:26" ht="14.25">
      <c r="A222" s="56"/>
      <c r="B222" s="57"/>
      <c r="C222" s="57" t="s">
        <v>645</v>
      </c>
      <c r="D222" s="44" t="s">
        <v>646</v>
      </c>
      <c r="E222" s="45">
        <f>Source!AQ125</f>
        <v>76.63</v>
      </c>
      <c r="F222" s="46"/>
      <c r="G222" s="49" t="str">
        <f>Source!DI125</f>
        <v>)*1,15</v>
      </c>
      <c r="H222" s="48"/>
      <c r="I222" s="49"/>
      <c r="J222" s="49"/>
      <c r="K222" s="48"/>
      <c r="L222" s="53">
        <f>Source!U125</f>
        <v>2.8199839999999994</v>
      </c>
    </row>
    <row r="223" spans="1:26" ht="15">
      <c r="G223" s="72">
        <f>H216+H217+H219+H220+H221</f>
        <v>366.54999999999995</v>
      </c>
      <c r="H223" s="72"/>
      <c r="J223" s="72">
        <f>K216+K217+K219+K220+K221</f>
        <v>3768.6899999999996</v>
      </c>
      <c r="K223" s="72"/>
      <c r="L223" s="51">
        <f>Source!U125</f>
        <v>2.8199839999999994</v>
      </c>
      <c r="O223" s="32">
        <f>G223</f>
        <v>366.54999999999995</v>
      </c>
      <c r="P223" s="32">
        <f>J223</f>
        <v>3768.6899999999996</v>
      </c>
      <c r="Q223" s="32">
        <f>L223</f>
        <v>2.8199839999999994</v>
      </c>
      <c r="W223">
        <f>IF(Source!BI125&lt;=1,H216+H217+H219+H220+H221, 0)</f>
        <v>366.54999999999995</v>
      </c>
      <c r="X223">
        <f>IF(Source!BI125=2,H216+H217+H219+H220+H221, 0)</f>
        <v>0</v>
      </c>
      <c r="Y223">
        <f>IF(Source!BI125=3,H216+H217+H219+H220+H221, 0)</f>
        <v>0</v>
      </c>
      <c r="Z223">
        <f>IF(Source!BI125=4,H216+H217+H219+H220+H221, 0)</f>
        <v>0</v>
      </c>
    </row>
    <row r="224" spans="1:26" ht="42.75">
      <c r="A224" s="23" t="str">
        <f>Source!E126</f>
        <v>4</v>
      </c>
      <c r="B224" s="55" t="str">
        <f>Source!F126</f>
        <v>56-10-1</v>
      </c>
      <c r="C224" s="55" t="str">
        <f>Source!G126</f>
        <v>Снятие дверных полотен</v>
      </c>
      <c r="D224" s="37" t="str">
        <f>Source!H126</f>
        <v>100 м2 дверных полотен</v>
      </c>
      <c r="E224" s="10">
        <f>Source!I126</f>
        <v>3.9E-2</v>
      </c>
      <c r="F224" s="38">
        <f>Source!AL126+Source!AM126+Source!AO126</f>
        <v>288.06</v>
      </c>
      <c r="G224" s="39"/>
      <c r="H224" s="40"/>
      <c r="I224" s="39" t="str">
        <f>Source!BO126</f>
        <v>56-10-1</v>
      </c>
      <c r="J224" s="39"/>
      <c r="K224" s="40"/>
      <c r="L224" s="41"/>
      <c r="S224">
        <f>ROUND((Source!FX126/100)*((ROUND(Source!AF126*Source!I126, 2)+ROUND(Source!AE126*Source!I126, 2))), 2)</f>
        <v>9.2100000000000009</v>
      </c>
      <c r="T224">
        <f>Source!X126</f>
        <v>304.45999999999998</v>
      </c>
      <c r="U224">
        <f>ROUND((Source!FY126/100)*((ROUND(Source!AF126*Source!I126, 2)+ROUND(Source!AE126*Source!I126, 2))), 2)</f>
        <v>6.96</v>
      </c>
      <c r="V224">
        <f>Source!Y126</f>
        <v>230.2</v>
      </c>
    </row>
    <row r="225" spans="1:26">
      <c r="C225" s="31" t="str">
        <f>"Объем: "&amp;Source!I126&amp;"=3,9/"&amp;"100"</f>
        <v>Объем: 0,039=3,9/100</v>
      </c>
    </row>
    <row r="226" spans="1:26" ht="14.25">
      <c r="A226" s="23"/>
      <c r="B226" s="55"/>
      <c r="C226" s="55" t="s">
        <v>641</v>
      </c>
      <c r="D226" s="37"/>
      <c r="E226" s="10"/>
      <c r="F226" s="38">
        <f>Source!AO126</f>
        <v>288.06</v>
      </c>
      <c r="G226" s="39" t="str">
        <f>Source!DG126</f>
        <v/>
      </c>
      <c r="H226" s="40">
        <f>ROUND(Source!AF126*Source!I126, 2)</f>
        <v>11.23</v>
      </c>
      <c r="I226" s="39"/>
      <c r="J226" s="39">
        <f>IF(Source!BA126&lt;&gt; 0, Source!BA126, 1)</f>
        <v>33.049999999999997</v>
      </c>
      <c r="K226" s="40">
        <f>Source!S126</f>
        <v>371.29</v>
      </c>
      <c r="L226" s="41"/>
      <c r="R226">
        <f>H226</f>
        <v>11.23</v>
      </c>
    </row>
    <row r="227" spans="1:26" ht="14.25">
      <c r="A227" s="23"/>
      <c r="B227" s="55"/>
      <c r="C227" s="55" t="s">
        <v>642</v>
      </c>
      <c r="D227" s="37" t="s">
        <v>643</v>
      </c>
      <c r="E227" s="10">
        <f>Source!BZ126</f>
        <v>82</v>
      </c>
      <c r="F227" s="58"/>
      <c r="G227" s="39"/>
      <c r="H227" s="40">
        <f>SUM(S224:S230)</f>
        <v>9.2100000000000009</v>
      </c>
      <c r="I227" s="42"/>
      <c r="J227" s="36">
        <f>Source!AT126</f>
        <v>82</v>
      </c>
      <c r="K227" s="40">
        <f>SUM(T224:T230)</f>
        <v>304.45999999999998</v>
      </c>
      <c r="L227" s="41"/>
    </row>
    <row r="228" spans="1:26" ht="14.25">
      <c r="A228" s="23"/>
      <c r="B228" s="55"/>
      <c r="C228" s="55" t="s">
        <v>644</v>
      </c>
      <c r="D228" s="37" t="s">
        <v>643</v>
      </c>
      <c r="E228" s="10">
        <f>Source!CA126</f>
        <v>62</v>
      </c>
      <c r="F228" s="58"/>
      <c r="G228" s="39"/>
      <c r="H228" s="40">
        <f>SUM(U224:U230)</f>
        <v>6.96</v>
      </c>
      <c r="I228" s="42"/>
      <c r="J228" s="36">
        <f>Source!AU126</f>
        <v>62</v>
      </c>
      <c r="K228" s="40">
        <f>SUM(V224:V230)</f>
        <v>230.2</v>
      </c>
      <c r="L228" s="41"/>
    </row>
    <row r="229" spans="1:26" ht="14.25">
      <c r="A229" s="23"/>
      <c r="B229" s="55"/>
      <c r="C229" s="55" t="s">
        <v>645</v>
      </c>
      <c r="D229" s="37" t="s">
        <v>646</v>
      </c>
      <c r="E229" s="10">
        <f>Source!AQ126</f>
        <v>36.28</v>
      </c>
      <c r="F229" s="38"/>
      <c r="G229" s="39" t="str">
        <f>Source!DI126</f>
        <v/>
      </c>
      <c r="H229" s="40"/>
      <c r="I229" s="39"/>
      <c r="J229" s="39"/>
      <c r="K229" s="40"/>
      <c r="L229" s="43">
        <f>Source!U126</f>
        <v>1.41492</v>
      </c>
    </row>
    <row r="230" spans="1:26" ht="14.25">
      <c r="A230" s="56" t="str">
        <f>Source!E127</f>
        <v>4,1</v>
      </c>
      <c r="B230" s="57" t="str">
        <f>Source!F127</f>
        <v>509-9900</v>
      </c>
      <c r="C230" s="57" t="str">
        <f>Source!G127</f>
        <v>Строительный мусор</v>
      </c>
      <c r="D230" s="44" t="str">
        <f>Source!H127</f>
        <v>т</v>
      </c>
      <c r="E230" s="45">
        <f>Source!I127</f>
        <v>4.6019999999999998E-2</v>
      </c>
      <c r="F230" s="46">
        <f>Source!AL127+Source!AM127+Source!AO127</f>
        <v>0</v>
      </c>
      <c r="G230" s="47" t="s">
        <v>3</v>
      </c>
      <c r="H230" s="48">
        <f>ROUND(Source!AC127*Source!I127, 2)+ROUND(Source!AD127*Source!I127, 2)+ROUND(Source!AF127*Source!I127, 2)</f>
        <v>0</v>
      </c>
      <c r="I230" s="49"/>
      <c r="J230" s="49">
        <f>IF(Source!BC127&lt;&gt; 0, Source!BC127, 1)</f>
        <v>1</v>
      </c>
      <c r="K230" s="48">
        <f>Source!O127</f>
        <v>0</v>
      </c>
      <c r="L230" s="50"/>
      <c r="S230">
        <f>ROUND((Source!FX127/100)*((ROUND(Source!AF127*Source!I127, 2)+ROUND(Source!AE127*Source!I127, 2))), 2)</f>
        <v>0</v>
      </c>
      <c r="T230">
        <f>Source!X127</f>
        <v>0</v>
      </c>
      <c r="U230">
        <f>ROUND((Source!FY127/100)*((ROUND(Source!AF127*Source!I127, 2)+ROUND(Source!AE127*Source!I127, 2))), 2)</f>
        <v>0</v>
      </c>
      <c r="V230">
        <f>Source!Y127</f>
        <v>0</v>
      </c>
      <c r="W230">
        <f>IF(Source!BI127&lt;=1,H230, 0)</f>
        <v>0</v>
      </c>
      <c r="X230">
        <f>IF(Source!BI127=2,H230, 0)</f>
        <v>0</v>
      </c>
      <c r="Y230">
        <f>IF(Source!BI127=3,H230, 0)</f>
        <v>0</v>
      </c>
      <c r="Z230">
        <f>IF(Source!BI127=4,H230, 0)</f>
        <v>0</v>
      </c>
    </row>
    <row r="231" spans="1:26" ht="15">
      <c r="G231" s="72">
        <f>H226+H227+H228+SUM(H230:H230)</f>
        <v>27.400000000000002</v>
      </c>
      <c r="H231" s="72"/>
      <c r="J231" s="72">
        <f>K226+K227+K228+SUM(K230:K230)</f>
        <v>905.95</v>
      </c>
      <c r="K231" s="72"/>
      <c r="L231" s="51">
        <f>Source!U126</f>
        <v>1.41492</v>
      </c>
      <c r="O231" s="32">
        <f>G231</f>
        <v>27.400000000000002</v>
      </c>
      <c r="P231" s="32">
        <f>J231</f>
        <v>905.95</v>
      </c>
      <c r="Q231" s="32">
        <f>L231</f>
        <v>1.41492</v>
      </c>
      <c r="W231">
        <f>IF(Source!BI126&lt;=1,H226+H227+H228, 0)</f>
        <v>27.400000000000002</v>
      </c>
      <c r="X231">
        <f>IF(Source!BI126=2,H226+H227+H228, 0)</f>
        <v>0</v>
      </c>
      <c r="Y231">
        <f>IF(Source!BI126=3,H226+H227+H228, 0)</f>
        <v>0</v>
      </c>
      <c r="Z231">
        <f>IF(Source!BI126=4,H226+H227+H228, 0)</f>
        <v>0</v>
      </c>
    </row>
    <row r="232" spans="1:26" ht="79.5">
      <c r="A232" s="23" t="str">
        <f>Source!E128</f>
        <v>5</v>
      </c>
      <c r="B232" s="55" t="s">
        <v>650</v>
      </c>
      <c r="C232" s="55" t="str">
        <f>Source!G128</f>
        <v>Установка металлических дверных блоков в готовые проемы</v>
      </c>
      <c r="D232" s="37" t="str">
        <f>Source!H128</f>
        <v>1 м2 проема</v>
      </c>
      <c r="E232" s="10">
        <f>Source!I128</f>
        <v>2.1</v>
      </c>
      <c r="F232" s="38">
        <f>Source!AL128+Source!AM128+Source!AO128</f>
        <v>68.55</v>
      </c>
      <c r="G232" s="39"/>
      <c r="H232" s="40"/>
      <c r="I232" s="39" t="str">
        <f>Source!BO128</f>
        <v>09-04-012-1</v>
      </c>
      <c r="J232" s="39"/>
      <c r="K232" s="40"/>
      <c r="L232" s="41"/>
      <c r="S232">
        <f>ROUND((Source!FX128/100)*((ROUND(Source!AF128*Source!I128, 2)+ROUND(Source!AE128*Source!I128, 2))), 2)</f>
        <v>46.58</v>
      </c>
      <c r="T232">
        <f>Source!X128</f>
        <v>1539.33</v>
      </c>
      <c r="U232">
        <f>ROUND((Source!FY128/100)*((ROUND(Source!AF128*Source!I128, 2)+ROUND(Source!AE128*Source!I128, 2))), 2)</f>
        <v>41.54</v>
      </c>
      <c r="V232">
        <f>Source!Y128</f>
        <v>1368.3</v>
      </c>
    </row>
    <row r="233" spans="1:26" ht="14.25">
      <c r="A233" s="23"/>
      <c r="B233" s="55"/>
      <c r="C233" s="55" t="s">
        <v>641</v>
      </c>
      <c r="D233" s="37"/>
      <c r="E233" s="10"/>
      <c r="F233" s="38">
        <f>Source!AO128</f>
        <v>23.81</v>
      </c>
      <c r="G233" s="39" t="str">
        <f>Source!DG128</f>
        <v>)*1,15</v>
      </c>
      <c r="H233" s="40">
        <f>ROUND(Source!AF128*Source!I128, 2)</f>
        <v>57.5</v>
      </c>
      <c r="I233" s="39"/>
      <c r="J233" s="39">
        <f>IF(Source!BA128&lt;&gt; 0, Source!BA128, 1)</f>
        <v>33.049999999999997</v>
      </c>
      <c r="K233" s="40">
        <f>Source!S128</f>
        <v>1900.41</v>
      </c>
      <c r="L233" s="41"/>
      <c r="R233">
        <f>H233</f>
        <v>57.5</v>
      </c>
    </row>
    <row r="234" spans="1:26" ht="14.25">
      <c r="A234" s="23"/>
      <c r="B234" s="55"/>
      <c r="C234" s="55" t="s">
        <v>63</v>
      </c>
      <c r="D234" s="37"/>
      <c r="E234" s="10"/>
      <c r="F234" s="38">
        <f>Source!AM128</f>
        <v>19.07</v>
      </c>
      <c r="G234" s="39" t="str">
        <f>Source!DE128</f>
        <v>)*1,25</v>
      </c>
      <c r="H234" s="40">
        <f>ROUND(Source!AD128*Source!I128, 2)</f>
        <v>50.06</v>
      </c>
      <c r="I234" s="39"/>
      <c r="J234" s="39">
        <f>IF(Source!BB128&lt;&gt; 0, Source!BB128, 1)</f>
        <v>10.01</v>
      </c>
      <c r="K234" s="40">
        <f>Source!Q128</f>
        <v>501.09</v>
      </c>
      <c r="L234" s="41"/>
    </row>
    <row r="235" spans="1:26" ht="14.25">
      <c r="A235" s="23"/>
      <c r="B235" s="55"/>
      <c r="C235" s="55" t="s">
        <v>649</v>
      </c>
      <c r="D235" s="37"/>
      <c r="E235" s="10"/>
      <c r="F235" s="38">
        <f>Source!AL128</f>
        <v>25.67</v>
      </c>
      <c r="G235" s="39" t="str">
        <f>Source!DD128</f>
        <v/>
      </c>
      <c r="H235" s="40">
        <f>ROUND(Source!AC128*Source!I128, 2)</f>
        <v>53.91</v>
      </c>
      <c r="I235" s="39"/>
      <c r="J235" s="39">
        <f>IF(Source!BC128&lt;&gt; 0, Source!BC128, 1)</f>
        <v>6.1</v>
      </c>
      <c r="K235" s="40">
        <f>Source!P128</f>
        <v>328.83</v>
      </c>
      <c r="L235" s="41"/>
    </row>
    <row r="236" spans="1:26" ht="14.25">
      <c r="A236" s="23"/>
      <c r="B236" s="55"/>
      <c r="C236" s="55" t="s">
        <v>642</v>
      </c>
      <c r="D236" s="37" t="s">
        <v>643</v>
      </c>
      <c r="E236" s="10">
        <f>Source!BZ128</f>
        <v>90</v>
      </c>
      <c r="F236" s="73" t="str">
        <f>CONCATENATE(" )", Source!DL128, Source!FT128, "=", Source!FX128)</f>
        <v xml:space="preserve"> )*0,9=81</v>
      </c>
      <c r="G236" s="74"/>
      <c r="H236" s="40">
        <f>SUM(S232:S239)</f>
        <v>46.58</v>
      </c>
      <c r="I236" s="42"/>
      <c r="J236" s="36">
        <f>Source!AT128</f>
        <v>81</v>
      </c>
      <c r="K236" s="40">
        <f>SUM(T232:T239)</f>
        <v>1539.33</v>
      </c>
      <c r="L236" s="41"/>
    </row>
    <row r="237" spans="1:26" ht="14.25">
      <c r="A237" s="23"/>
      <c r="B237" s="55"/>
      <c r="C237" s="55" t="s">
        <v>644</v>
      </c>
      <c r="D237" s="37" t="s">
        <v>643</v>
      </c>
      <c r="E237" s="10">
        <f>Source!CA128</f>
        <v>85</v>
      </c>
      <c r="F237" s="73" t="str">
        <f>CONCATENATE(" )", Source!DM128, Source!FU128, "=", Source!FY128)</f>
        <v xml:space="preserve"> )*0,85=72,25</v>
      </c>
      <c r="G237" s="74"/>
      <c r="H237" s="40">
        <f>SUM(U232:U239)</f>
        <v>41.54</v>
      </c>
      <c r="I237" s="42"/>
      <c r="J237" s="36">
        <f>Source!AU128</f>
        <v>72</v>
      </c>
      <c r="K237" s="40">
        <f>SUM(V232:V239)</f>
        <v>1368.3</v>
      </c>
      <c r="L237" s="41"/>
    </row>
    <row r="238" spans="1:26" ht="14.25">
      <c r="A238" s="23"/>
      <c r="B238" s="55"/>
      <c r="C238" s="55" t="s">
        <v>645</v>
      </c>
      <c r="D238" s="37" t="s">
        <v>646</v>
      </c>
      <c r="E238" s="10">
        <f>Source!AQ128</f>
        <v>2.4</v>
      </c>
      <c r="F238" s="38"/>
      <c r="G238" s="39" t="str">
        <f>Source!DI128</f>
        <v>)*1,15</v>
      </c>
      <c r="H238" s="40"/>
      <c r="I238" s="39"/>
      <c r="J238" s="39"/>
      <c r="K238" s="40"/>
      <c r="L238" s="43">
        <f>Source!U128</f>
        <v>5.7959999999999994</v>
      </c>
    </row>
    <row r="239" spans="1:26" ht="42.75">
      <c r="A239" s="56" t="str">
        <f>Source!E129</f>
        <v>5,1</v>
      </c>
      <c r="B239" s="57" t="str">
        <f>Source!F129</f>
        <v>203-8116</v>
      </c>
      <c r="C239" s="57" t="str">
        <f>Source!G129</f>
        <v>Дверь противопожарная металлическая однопольная ДПМ-01/30, размером 900х2100 мм</v>
      </c>
      <c r="D239" s="44" t="str">
        <f>Source!H129</f>
        <v>шт.</v>
      </c>
      <c r="E239" s="45">
        <f>Source!I129</f>
        <v>1</v>
      </c>
      <c r="F239" s="46">
        <f>Source!AL129+Source!AM129+Source!AO129</f>
        <v>2755.24</v>
      </c>
      <c r="G239" s="47" t="s">
        <v>3</v>
      </c>
      <c r="H239" s="48">
        <f>ROUND(Source!AC129*Source!I129, 2)+ROUND(Source!AD129*Source!I129, 2)+ROUND(Source!AF129*Source!I129, 2)</f>
        <v>2755.24</v>
      </c>
      <c r="I239" s="49"/>
      <c r="J239" s="49">
        <f>IF(Source!BC129&lt;&gt; 0, Source!BC129, 1)</f>
        <v>3.97</v>
      </c>
      <c r="K239" s="48">
        <f>Source!O129</f>
        <v>10938.3</v>
      </c>
      <c r="L239" s="50"/>
      <c r="S239">
        <f>ROUND((Source!FX129/100)*((ROUND(Source!AF129*Source!I129, 2)+ROUND(Source!AE129*Source!I129, 2))), 2)</f>
        <v>0</v>
      </c>
      <c r="T239">
        <f>Source!X129</f>
        <v>0</v>
      </c>
      <c r="U239">
        <f>ROUND((Source!FY129/100)*((ROUND(Source!AF129*Source!I129, 2)+ROUND(Source!AE129*Source!I129, 2))), 2)</f>
        <v>0</v>
      </c>
      <c r="V239">
        <f>Source!Y129</f>
        <v>0</v>
      </c>
      <c r="W239">
        <f>IF(Source!BI129&lt;=1,H239, 0)</f>
        <v>2755.24</v>
      </c>
      <c r="X239">
        <f>IF(Source!BI129=2,H239, 0)</f>
        <v>0</v>
      </c>
      <c r="Y239">
        <f>IF(Source!BI129=3,H239, 0)</f>
        <v>0</v>
      </c>
      <c r="Z239">
        <f>IF(Source!BI129=4,H239, 0)</f>
        <v>0</v>
      </c>
    </row>
    <row r="240" spans="1:26" ht="15">
      <c r="G240" s="72">
        <f>H233+H234+H235+H236+H237+SUM(H239:H239)</f>
        <v>3004.83</v>
      </c>
      <c r="H240" s="72"/>
      <c r="J240" s="72">
        <f>K233+K234+K235+K236+K237+SUM(K239:K239)</f>
        <v>16576.259999999998</v>
      </c>
      <c r="K240" s="72"/>
      <c r="L240" s="51">
        <f>Source!U128</f>
        <v>5.7959999999999994</v>
      </c>
      <c r="O240" s="32">
        <f>G240</f>
        <v>3004.83</v>
      </c>
      <c r="P240" s="32">
        <f>J240</f>
        <v>16576.259999999998</v>
      </c>
      <c r="Q240" s="32">
        <f>L240</f>
        <v>5.7959999999999994</v>
      </c>
      <c r="W240">
        <f>IF(Source!BI128&lt;=1,H233+H234+H235+H236+H237, 0)</f>
        <v>249.59</v>
      </c>
      <c r="X240">
        <f>IF(Source!BI128=2,H233+H234+H235+H236+H237, 0)</f>
        <v>0</v>
      </c>
      <c r="Y240">
        <f>IF(Source!BI128=3,H233+H234+H235+H236+H237, 0)</f>
        <v>0</v>
      </c>
      <c r="Z240">
        <f>IF(Source!BI128=4,H233+H234+H235+H236+H237, 0)</f>
        <v>0</v>
      </c>
    </row>
    <row r="241" spans="1:26" ht="79.5">
      <c r="A241" s="23" t="str">
        <f>Source!E130</f>
        <v>6</v>
      </c>
      <c r="B241" s="55" t="s">
        <v>651</v>
      </c>
      <c r="C241" s="55" t="str">
        <f>Source!G130</f>
        <v>Установка блоков в наружных и внутренних дверных проемах в каменных стенах, площадь проема до 3 м2</v>
      </c>
      <c r="D241" s="37" t="str">
        <f>Source!H130</f>
        <v>100 м2 проемов</v>
      </c>
      <c r="E241" s="10">
        <f>Source!I130</f>
        <v>1.7999999999999999E-2</v>
      </c>
      <c r="F241" s="38">
        <f>Source!AL130+Source!AM130+Source!AO130</f>
        <v>25578.37</v>
      </c>
      <c r="G241" s="39"/>
      <c r="H241" s="40"/>
      <c r="I241" s="39" t="str">
        <f>Source!BO130</f>
        <v>10-01-039-1</v>
      </c>
      <c r="J241" s="39"/>
      <c r="K241" s="40"/>
      <c r="L241" s="41"/>
      <c r="S241">
        <f>ROUND((Source!FX130/100)*((ROUND(Source!AF130*Source!I130, 2)+ROUND(Source!AE130*Source!I130, 2))), 2)</f>
        <v>24.71</v>
      </c>
      <c r="T241">
        <f>Source!X130</f>
        <v>815</v>
      </c>
      <c r="U241">
        <f>ROUND((Source!FY130/100)*((ROUND(Source!AF130*Source!I130, 2)+ROUND(Source!AE130*Source!I130, 2))), 2)</f>
        <v>12.46</v>
      </c>
      <c r="V241">
        <f>Source!Y130</f>
        <v>415.19</v>
      </c>
    </row>
    <row r="242" spans="1:26">
      <c r="C242" s="31" t="str">
        <f>"Объем: "&amp;Source!I130&amp;"=1,8/"&amp;"100"</f>
        <v>Объем: 0,018=1,8/100</v>
      </c>
    </row>
    <row r="243" spans="1:26" ht="14.25">
      <c r="A243" s="23"/>
      <c r="B243" s="55"/>
      <c r="C243" s="55" t="s">
        <v>641</v>
      </c>
      <c r="D243" s="37"/>
      <c r="E243" s="10"/>
      <c r="F243" s="38">
        <f>Source!AO130</f>
        <v>957.29</v>
      </c>
      <c r="G243" s="39" t="str">
        <f>Source!DG130</f>
        <v>)*1,15</v>
      </c>
      <c r="H243" s="40">
        <f>ROUND(Source!AF130*Source!I130, 2)</f>
        <v>19.82</v>
      </c>
      <c r="I243" s="39"/>
      <c r="J243" s="39">
        <f>IF(Source!BA130&lt;&gt; 0, Source!BA130, 1)</f>
        <v>33.049999999999997</v>
      </c>
      <c r="K243" s="40">
        <f>Source!S130</f>
        <v>654.91999999999996</v>
      </c>
      <c r="L243" s="41"/>
      <c r="R243">
        <f>H243</f>
        <v>19.82</v>
      </c>
    </row>
    <row r="244" spans="1:26" ht="14.25">
      <c r="A244" s="23"/>
      <c r="B244" s="55"/>
      <c r="C244" s="55" t="s">
        <v>63</v>
      </c>
      <c r="D244" s="37"/>
      <c r="E244" s="10"/>
      <c r="F244" s="38">
        <f>Source!AM130</f>
        <v>1250.3</v>
      </c>
      <c r="G244" s="39" t="str">
        <f>Source!DE130</f>
        <v>)*1,25</v>
      </c>
      <c r="H244" s="40">
        <f>ROUND(Source!AD130*Source!I130, 2)</f>
        <v>28.13</v>
      </c>
      <c r="I244" s="39"/>
      <c r="J244" s="39">
        <f>IF(Source!BB130&lt;&gt; 0, Source!BB130, 1)</f>
        <v>10.36</v>
      </c>
      <c r="K244" s="40">
        <f>Source!Q130</f>
        <v>291.44</v>
      </c>
      <c r="L244" s="41"/>
    </row>
    <row r="245" spans="1:26" ht="14.25">
      <c r="A245" s="23"/>
      <c r="B245" s="55"/>
      <c r="C245" s="55" t="s">
        <v>647</v>
      </c>
      <c r="D245" s="37"/>
      <c r="E245" s="10"/>
      <c r="F245" s="38">
        <f>Source!AN130</f>
        <v>153.22999999999999</v>
      </c>
      <c r="G245" s="39" t="str">
        <f>Source!DF130</f>
        <v>)*1,25</v>
      </c>
      <c r="H245" s="52">
        <f>ROUND(Source!AE130*Source!I130, 2)</f>
        <v>3.45</v>
      </c>
      <c r="I245" s="39"/>
      <c r="J245" s="39">
        <f>IF(Source!BS130&lt;&gt; 0, Source!BS130, 1)</f>
        <v>33.049999999999997</v>
      </c>
      <c r="K245" s="52">
        <f>Source!R130</f>
        <v>113.95</v>
      </c>
      <c r="L245" s="41"/>
      <c r="R245">
        <f>H245</f>
        <v>3.45</v>
      </c>
    </row>
    <row r="246" spans="1:26" ht="14.25">
      <c r="A246" s="23"/>
      <c r="B246" s="55"/>
      <c r="C246" s="55" t="s">
        <v>649</v>
      </c>
      <c r="D246" s="37"/>
      <c r="E246" s="10"/>
      <c r="F246" s="38">
        <f>Source!AL130</f>
        <v>23370.78</v>
      </c>
      <c r="G246" s="39" t="str">
        <f>Source!DD130</f>
        <v/>
      </c>
      <c r="H246" s="40">
        <f>ROUND(Source!AC130*Source!I130, 2)</f>
        <v>420.67</v>
      </c>
      <c r="I246" s="39"/>
      <c r="J246" s="39">
        <f>IF(Source!BC130&lt;&gt; 0, Source!BC130, 1)</f>
        <v>4.95</v>
      </c>
      <c r="K246" s="40">
        <f>Source!P130</f>
        <v>2082.34</v>
      </c>
      <c r="L246" s="41"/>
    </row>
    <row r="247" spans="1:26" ht="14.25">
      <c r="A247" s="23"/>
      <c r="B247" s="55"/>
      <c r="C247" s="55" t="s">
        <v>642</v>
      </c>
      <c r="D247" s="37" t="s">
        <v>643</v>
      </c>
      <c r="E247" s="10">
        <f>Source!BZ130</f>
        <v>118</v>
      </c>
      <c r="F247" s="73" t="str">
        <f>CONCATENATE(" )", Source!DL130, Source!FT130, "=", Source!FX130)</f>
        <v xml:space="preserve"> )*0,9=106,2</v>
      </c>
      <c r="G247" s="74"/>
      <c r="H247" s="40">
        <f>SUM(S241:S250)</f>
        <v>24.71</v>
      </c>
      <c r="I247" s="42"/>
      <c r="J247" s="36">
        <f>Source!AT130</f>
        <v>106</v>
      </c>
      <c r="K247" s="40">
        <f>SUM(T241:T250)</f>
        <v>815</v>
      </c>
      <c r="L247" s="41"/>
    </row>
    <row r="248" spans="1:26" ht="14.25">
      <c r="A248" s="23"/>
      <c r="B248" s="55"/>
      <c r="C248" s="55" t="s">
        <v>644</v>
      </c>
      <c r="D248" s="37" t="s">
        <v>643</v>
      </c>
      <c r="E248" s="10">
        <f>Source!CA130</f>
        <v>63</v>
      </c>
      <c r="F248" s="73" t="str">
        <f>CONCATENATE(" )", Source!DM130, Source!FU130, "=", Source!FY130)</f>
        <v xml:space="preserve"> )*0,85=53,55</v>
      </c>
      <c r="G248" s="74"/>
      <c r="H248" s="40">
        <f>SUM(U241:U250)</f>
        <v>12.46</v>
      </c>
      <c r="I248" s="42"/>
      <c r="J248" s="36">
        <f>Source!AU130</f>
        <v>54</v>
      </c>
      <c r="K248" s="40">
        <f>SUM(V241:V250)</f>
        <v>415.19</v>
      </c>
      <c r="L248" s="41"/>
    </row>
    <row r="249" spans="1:26" ht="14.25">
      <c r="A249" s="23"/>
      <c r="B249" s="55"/>
      <c r="C249" s="55" t="s">
        <v>645</v>
      </c>
      <c r="D249" s="37" t="s">
        <v>646</v>
      </c>
      <c r="E249" s="10">
        <f>Source!AQ130</f>
        <v>104.28</v>
      </c>
      <c r="F249" s="38"/>
      <c r="G249" s="39" t="str">
        <f>Source!DI130</f>
        <v>)*1,15</v>
      </c>
      <c r="H249" s="40"/>
      <c r="I249" s="39"/>
      <c r="J249" s="39"/>
      <c r="K249" s="40"/>
      <c r="L249" s="43">
        <f>Source!U130</f>
        <v>2.1585959999999997</v>
      </c>
    </row>
    <row r="250" spans="1:26" ht="57">
      <c r="A250" s="56" t="str">
        <f>Source!E131</f>
        <v>6,1</v>
      </c>
      <c r="B250" s="57" t="str">
        <f>Source!F131</f>
        <v>203-4097</v>
      </c>
      <c r="C250" s="57" t="str">
        <f>Source!G131</f>
        <v>Дверь балконная пластиковая, поворотно-откидная, с двухкамерным стеклопакетом (32 мм), площадью более 1,5 м2</v>
      </c>
      <c r="D250" s="44" t="str">
        <f>Source!H131</f>
        <v>м2</v>
      </c>
      <c r="E250" s="45">
        <f>Source!I131</f>
        <v>1.8</v>
      </c>
      <c r="F250" s="46">
        <f>Source!AL131+Source!AM131+Source!AO131</f>
        <v>3663.98</v>
      </c>
      <c r="G250" s="47" t="s">
        <v>3</v>
      </c>
      <c r="H250" s="48">
        <f>ROUND(Source!AC131*Source!I131, 2)+ROUND(Source!AD131*Source!I131, 2)+ROUND(Source!AF131*Source!I131, 2)</f>
        <v>6595.16</v>
      </c>
      <c r="I250" s="49"/>
      <c r="J250" s="49">
        <f>IF(Source!BC131&lt;&gt; 0, Source!BC131, 1)</f>
        <v>1.44</v>
      </c>
      <c r="K250" s="48">
        <f>Source!O131</f>
        <v>9497.0400000000009</v>
      </c>
      <c r="L250" s="50"/>
      <c r="S250">
        <f>ROUND((Source!FX131/100)*((ROUND(Source!AF131*Source!I131, 2)+ROUND(Source!AE131*Source!I131, 2))), 2)</f>
        <v>0</v>
      </c>
      <c r="T250">
        <f>Source!X131</f>
        <v>0</v>
      </c>
      <c r="U250">
        <f>ROUND((Source!FY131/100)*((ROUND(Source!AF131*Source!I131, 2)+ROUND(Source!AE131*Source!I131, 2))), 2)</f>
        <v>0</v>
      </c>
      <c r="V250">
        <f>Source!Y131</f>
        <v>0</v>
      </c>
      <c r="W250">
        <f>IF(Source!BI131&lt;=1,H250, 0)</f>
        <v>6595.16</v>
      </c>
      <c r="X250">
        <f>IF(Source!BI131=2,H250, 0)</f>
        <v>0</v>
      </c>
      <c r="Y250">
        <f>IF(Source!BI131=3,H250, 0)</f>
        <v>0</v>
      </c>
      <c r="Z250">
        <f>IF(Source!BI131=4,H250, 0)</f>
        <v>0</v>
      </c>
    </row>
    <row r="251" spans="1:26" ht="15">
      <c r="G251" s="72">
        <f>H243+H244+H246+H247+H248+SUM(H250:H250)</f>
        <v>7100.95</v>
      </c>
      <c r="H251" s="72"/>
      <c r="J251" s="72">
        <f>K243+K244+K246+K247+K248+SUM(K250:K250)</f>
        <v>13755.93</v>
      </c>
      <c r="K251" s="72"/>
      <c r="L251" s="51">
        <f>Source!U130</f>
        <v>2.1585959999999997</v>
      </c>
      <c r="O251" s="32">
        <f>G251</f>
        <v>7100.95</v>
      </c>
      <c r="P251" s="32">
        <f>J251</f>
        <v>13755.93</v>
      </c>
      <c r="Q251" s="32">
        <f>L251</f>
        <v>2.1585959999999997</v>
      </c>
      <c r="W251">
        <f>IF(Source!BI130&lt;=1,H243+H244+H246+H247+H248, 0)</f>
        <v>505.78999999999996</v>
      </c>
      <c r="X251">
        <f>IF(Source!BI130=2,H243+H244+H246+H247+H248, 0)</f>
        <v>0</v>
      </c>
      <c r="Y251">
        <f>IF(Source!BI130=3,H243+H244+H246+H247+H248, 0)</f>
        <v>0</v>
      </c>
      <c r="Z251">
        <f>IF(Source!BI130=4,H243+H244+H246+H247+H248, 0)</f>
        <v>0</v>
      </c>
    </row>
    <row r="252" spans="1:26" ht="42.75">
      <c r="A252" s="23" t="str">
        <f>Source!E132</f>
        <v>7</v>
      </c>
      <c r="B252" s="55" t="str">
        <f>Source!F132</f>
        <v>59-3-1</v>
      </c>
      <c r="C252" s="55" t="str">
        <f>Source!G132</f>
        <v>Разборка металлических лестничных решеток при весе одного метра решетки до 60 кг</v>
      </c>
      <c r="D252" s="37" t="str">
        <f>Source!H132</f>
        <v>100 м решетки</v>
      </c>
      <c r="E252" s="10">
        <f>Source!I132</f>
        <v>7.0000000000000007E-2</v>
      </c>
      <c r="F252" s="38">
        <f>Source!AL132+Source!AM132+Source!AO132</f>
        <v>428.59000000000003</v>
      </c>
      <c r="G252" s="39"/>
      <c r="H252" s="40"/>
      <c r="I252" s="39" t="str">
        <f>Source!BO132</f>
        <v>59-3-1</v>
      </c>
      <c r="J252" s="39"/>
      <c r="K252" s="40"/>
      <c r="L252" s="41"/>
      <c r="S252">
        <f>ROUND((Source!FX132/100)*((ROUND(Source!AF132*Source!I132, 2)+ROUND(Source!AE132*Source!I132, 2))), 2)</f>
        <v>19.98</v>
      </c>
      <c r="T252">
        <f>Source!X132</f>
        <v>660.33</v>
      </c>
      <c r="U252">
        <f>ROUND((Source!FY132/100)*((ROUND(Source!AF132*Source!I132, 2)+ROUND(Source!AE132*Source!I132, 2))), 2)</f>
        <v>15.77</v>
      </c>
      <c r="V252">
        <f>Source!Y132</f>
        <v>521.32000000000005</v>
      </c>
    </row>
    <row r="253" spans="1:26">
      <c r="C253" s="31" t="str">
        <f>"Объем: "&amp;Source!I132&amp;"=7/"&amp;"100"</f>
        <v>Объем: 0,07=7/100</v>
      </c>
    </row>
    <row r="254" spans="1:26" ht="14.25">
      <c r="A254" s="23"/>
      <c r="B254" s="55"/>
      <c r="C254" s="55" t="s">
        <v>641</v>
      </c>
      <c r="D254" s="37"/>
      <c r="E254" s="10"/>
      <c r="F254" s="38">
        <f>Source!AO132</f>
        <v>375.56</v>
      </c>
      <c r="G254" s="39" t="str">
        <f>Source!DG132</f>
        <v/>
      </c>
      <c r="H254" s="40">
        <f>ROUND(Source!AF132*Source!I132, 2)</f>
        <v>26.29</v>
      </c>
      <c r="I254" s="39"/>
      <c r="J254" s="39">
        <f>IF(Source!BA132&lt;&gt; 0, Source!BA132, 1)</f>
        <v>33.049999999999997</v>
      </c>
      <c r="K254" s="40">
        <f>Source!S132</f>
        <v>868.86</v>
      </c>
      <c r="L254" s="41"/>
      <c r="R254">
        <f>H254</f>
        <v>26.29</v>
      </c>
    </row>
    <row r="255" spans="1:26" ht="14.25">
      <c r="A255" s="23"/>
      <c r="B255" s="55"/>
      <c r="C255" s="55" t="s">
        <v>63</v>
      </c>
      <c r="D255" s="37"/>
      <c r="E255" s="10"/>
      <c r="F255" s="38">
        <f>Source!AM132</f>
        <v>5.64</v>
      </c>
      <c r="G255" s="39" t="str">
        <f>Source!DE132</f>
        <v/>
      </c>
      <c r="H255" s="40">
        <f>ROUND(Source!AD132*Source!I132, 2)</f>
        <v>0.39</v>
      </c>
      <c r="I255" s="39"/>
      <c r="J255" s="39">
        <f>IF(Source!BB132&lt;&gt; 0, Source!BB132, 1)</f>
        <v>7.12</v>
      </c>
      <c r="K255" s="40">
        <f>Source!Q132</f>
        <v>2.81</v>
      </c>
      <c r="L255" s="41"/>
    </row>
    <row r="256" spans="1:26" ht="14.25">
      <c r="A256" s="23"/>
      <c r="B256" s="55"/>
      <c r="C256" s="55" t="s">
        <v>649</v>
      </c>
      <c r="D256" s="37"/>
      <c r="E256" s="10"/>
      <c r="F256" s="38">
        <f>Source!AL132</f>
        <v>47.39</v>
      </c>
      <c r="G256" s="39" t="str">
        <f>Source!DD132</f>
        <v/>
      </c>
      <c r="H256" s="40">
        <f>ROUND(Source!AC132*Source!I132, 2)</f>
        <v>3.32</v>
      </c>
      <c r="I256" s="39"/>
      <c r="J256" s="39">
        <f>IF(Source!BC132&lt;&gt; 0, Source!BC132, 1)</f>
        <v>11.26</v>
      </c>
      <c r="K256" s="40">
        <f>Source!P132</f>
        <v>37.35</v>
      </c>
      <c r="L256" s="41"/>
    </row>
    <row r="257" spans="1:26" ht="14.25">
      <c r="A257" s="23"/>
      <c r="B257" s="55"/>
      <c r="C257" s="55" t="s">
        <v>642</v>
      </c>
      <c r="D257" s="37" t="s">
        <v>643</v>
      </c>
      <c r="E257" s="10">
        <f>Source!BZ132</f>
        <v>76</v>
      </c>
      <c r="F257" s="58"/>
      <c r="G257" s="39"/>
      <c r="H257" s="40">
        <f>SUM(S252:S260)</f>
        <v>19.98</v>
      </c>
      <c r="I257" s="42"/>
      <c r="J257" s="36">
        <f>Source!AT132</f>
        <v>76</v>
      </c>
      <c r="K257" s="40">
        <f>SUM(T252:T260)</f>
        <v>660.33</v>
      </c>
      <c r="L257" s="41"/>
    </row>
    <row r="258" spans="1:26" ht="14.25">
      <c r="A258" s="23"/>
      <c r="B258" s="55"/>
      <c r="C258" s="55" t="s">
        <v>644</v>
      </c>
      <c r="D258" s="37" t="s">
        <v>643</v>
      </c>
      <c r="E258" s="10">
        <f>Source!CA132</f>
        <v>60</v>
      </c>
      <c r="F258" s="58"/>
      <c r="G258" s="39"/>
      <c r="H258" s="40">
        <f>SUM(U252:U260)</f>
        <v>15.77</v>
      </c>
      <c r="I258" s="42"/>
      <c r="J258" s="36">
        <f>Source!AU132</f>
        <v>60</v>
      </c>
      <c r="K258" s="40">
        <f>SUM(V252:V260)</f>
        <v>521.32000000000005</v>
      </c>
      <c r="L258" s="41"/>
    </row>
    <row r="259" spans="1:26" ht="14.25">
      <c r="A259" s="23"/>
      <c r="B259" s="55"/>
      <c r="C259" s="55" t="s">
        <v>645</v>
      </c>
      <c r="D259" s="37" t="s">
        <v>646</v>
      </c>
      <c r="E259" s="10">
        <f>Source!AQ132</f>
        <v>47.3</v>
      </c>
      <c r="F259" s="38"/>
      <c r="G259" s="39" t="str">
        <f>Source!DI132</f>
        <v/>
      </c>
      <c r="H259" s="40"/>
      <c r="I259" s="39"/>
      <c r="J259" s="39"/>
      <c r="K259" s="40"/>
      <c r="L259" s="43">
        <f>Source!U132</f>
        <v>3.3109999999999999</v>
      </c>
    </row>
    <row r="260" spans="1:26" ht="14.25">
      <c r="A260" s="56" t="str">
        <f>Source!E133</f>
        <v>7,1</v>
      </c>
      <c r="B260" s="57" t="str">
        <f>Source!F133</f>
        <v>509-9900</v>
      </c>
      <c r="C260" s="57" t="str">
        <f>Source!G133</f>
        <v>Строительный мусор</v>
      </c>
      <c r="D260" s="44" t="str">
        <f>Source!H133</f>
        <v>т</v>
      </c>
      <c r="E260" s="45">
        <f>Source!I133</f>
        <v>0.17499999999999999</v>
      </c>
      <c r="F260" s="46">
        <f>Source!AL133+Source!AM133+Source!AO133</f>
        <v>0</v>
      </c>
      <c r="G260" s="47" t="s">
        <v>3</v>
      </c>
      <c r="H260" s="48">
        <f>ROUND(Source!AC133*Source!I133, 2)+ROUND(Source!AD133*Source!I133, 2)+ROUND(Source!AF133*Source!I133, 2)</f>
        <v>0</v>
      </c>
      <c r="I260" s="49"/>
      <c r="J260" s="49">
        <f>IF(Source!BC133&lt;&gt; 0, Source!BC133, 1)</f>
        <v>1</v>
      </c>
      <c r="K260" s="48">
        <f>Source!O133</f>
        <v>0</v>
      </c>
      <c r="L260" s="50"/>
      <c r="S260">
        <f>ROUND((Source!FX133/100)*((ROUND(Source!AF133*Source!I133, 2)+ROUND(Source!AE133*Source!I133, 2))), 2)</f>
        <v>0</v>
      </c>
      <c r="T260">
        <f>Source!X133</f>
        <v>0</v>
      </c>
      <c r="U260">
        <f>ROUND((Source!FY133/100)*((ROUND(Source!AF133*Source!I133, 2)+ROUND(Source!AE133*Source!I133, 2))), 2)</f>
        <v>0</v>
      </c>
      <c r="V260">
        <f>Source!Y133</f>
        <v>0</v>
      </c>
      <c r="W260">
        <f>IF(Source!BI133&lt;=1,H260, 0)</f>
        <v>0</v>
      </c>
      <c r="X260">
        <f>IF(Source!BI133=2,H260, 0)</f>
        <v>0</v>
      </c>
      <c r="Y260">
        <f>IF(Source!BI133=3,H260, 0)</f>
        <v>0</v>
      </c>
      <c r="Z260">
        <f>IF(Source!BI133=4,H260, 0)</f>
        <v>0</v>
      </c>
    </row>
    <row r="261" spans="1:26" ht="15">
      <c r="G261" s="72">
        <f>H254+H255+H256+H257+H258+SUM(H260:H260)</f>
        <v>65.75</v>
      </c>
      <c r="H261" s="72"/>
      <c r="J261" s="72">
        <f>K254+K255+K256+K257+K258+SUM(K260:K260)</f>
        <v>2090.67</v>
      </c>
      <c r="K261" s="72"/>
      <c r="L261" s="51">
        <f>Source!U132</f>
        <v>3.3109999999999999</v>
      </c>
      <c r="O261" s="32">
        <f>G261</f>
        <v>65.75</v>
      </c>
      <c r="P261" s="32">
        <f>J261</f>
        <v>2090.67</v>
      </c>
      <c r="Q261" s="32">
        <f>L261</f>
        <v>3.3109999999999999</v>
      </c>
      <c r="W261">
        <f>IF(Source!BI132&lt;=1,H254+H255+H256+H257+H258, 0)</f>
        <v>65.75</v>
      </c>
      <c r="X261">
        <f>IF(Source!BI132=2,H254+H255+H256+H257+H258, 0)</f>
        <v>0</v>
      </c>
      <c r="Y261">
        <f>IF(Source!BI132=3,H254+H255+H256+H257+H258, 0)</f>
        <v>0</v>
      </c>
      <c r="Z261">
        <f>IF(Source!BI132=4,H254+H255+H256+H257+H258, 0)</f>
        <v>0</v>
      </c>
    </row>
    <row r="262" spans="1:26" ht="79.5">
      <c r="A262" s="23" t="str">
        <f>Source!E134</f>
        <v>8</v>
      </c>
      <c r="B262" s="55" t="s">
        <v>659</v>
      </c>
      <c r="C262" s="55" t="str">
        <f>Source!G134</f>
        <v>Ограждение лестничных площадок перилами</v>
      </c>
      <c r="D262" s="37" t="str">
        <f>Source!H134</f>
        <v>100 м перил</v>
      </c>
      <c r="E262" s="10">
        <f>Source!I134</f>
        <v>7.0000000000000007E-2</v>
      </c>
      <c r="F262" s="38">
        <f>Source!AL134+Source!AM134+Source!AO134</f>
        <v>459.92</v>
      </c>
      <c r="G262" s="39"/>
      <c r="H262" s="40"/>
      <c r="I262" s="39" t="str">
        <f>Source!BO134</f>
        <v>10-02-041-1</v>
      </c>
      <c r="J262" s="39"/>
      <c r="K262" s="40"/>
      <c r="L262" s="41"/>
      <c r="S262">
        <f>ROUND((Source!FX134/100)*((ROUND(Source!AF134*Source!I134, 2)+ROUND(Source!AE134*Source!I134, 2))), 2)</f>
        <v>22.4</v>
      </c>
      <c r="T262">
        <f>Source!X134</f>
        <v>738.58</v>
      </c>
      <c r="U262">
        <f>ROUND((Source!FY134/100)*((ROUND(Source!AF134*Source!I134, 2)+ROUND(Source!AE134*Source!I134, 2))), 2)</f>
        <v>11.29</v>
      </c>
      <c r="V262">
        <f>Source!Y134</f>
        <v>376.26</v>
      </c>
    </row>
    <row r="263" spans="1:26">
      <c r="C263" s="31" t="str">
        <f>"Объем: "&amp;Source!I134&amp;"=7/"&amp;"100"</f>
        <v>Объем: 0,07=7/100</v>
      </c>
    </row>
    <row r="264" spans="1:26" ht="14.25">
      <c r="A264" s="23"/>
      <c r="B264" s="55"/>
      <c r="C264" s="55" t="s">
        <v>641</v>
      </c>
      <c r="D264" s="37"/>
      <c r="E264" s="10"/>
      <c r="F264" s="38">
        <f>Source!AO134</f>
        <v>254.99</v>
      </c>
      <c r="G264" s="39" t="str">
        <f>Source!DG134</f>
        <v>)*1,15</v>
      </c>
      <c r="H264" s="40">
        <f>ROUND(Source!AF134*Source!I134, 2)</f>
        <v>20.53</v>
      </c>
      <c r="I264" s="39"/>
      <c r="J264" s="39">
        <f>IF(Source!BA134&lt;&gt; 0, Source!BA134, 1)</f>
        <v>33.049999999999997</v>
      </c>
      <c r="K264" s="40">
        <f>Source!S134</f>
        <v>678.41</v>
      </c>
      <c r="L264" s="41"/>
      <c r="R264">
        <f>H264</f>
        <v>20.53</v>
      </c>
    </row>
    <row r="265" spans="1:26" ht="14.25">
      <c r="A265" s="23"/>
      <c r="B265" s="55"/>
      <c r="C265" s="55" t="s">
        <v>63</v>
      </c>
      <c r="D265" s="37"/>
      <c r="E265" s="10"/>
      <c r="F265" s="38">
        <f>Source!AM134</f>
        <v>113.66</v>
      </c>
      <c r="G265" s="39" t="str">
        <f>Source!DE134</f>
        <v>)*1,25</v>
      </c>
      <c r="H265" s="40">
        <f>ROUND(Source!AD134*Source!I134, 2)</f>
        <v>9.9499999999999993</v>
      </c>
      <c r="I265" s="39"/>
      <c r="J265" s="39">
        <f>IF(Source!BB134&lt;&gt; 0, Source!BB134, 1)</f>
        <v>10.3</v>
      </c>
      <c r="K265" s="40">
        <f>Source!Q134</f>
        <v>102.44</v>
      </c>
      <c r="L265" s="41"/>
    </row>
    <row r="266" spans="1:26" ht="14.25">
      <c r="A266" s="23"/>
      <c r="B266" s="55"/>
      <c r="C266" s="55" t="s">
        <v>647</v>
      </c>
      <c r="D266" s="37"/>
      <c r="E266" s="10"/>
      <c r="F266" s="38">
        <f>Source!AN134</f>
        <v>6.35</v>
      </c>
      <c r="G266" s="39" t="str">
        <f>Source!DF134</f>
        <v>)*1,25</v>
      </c>
      <c r="H266" s="52">
        <f>ROUND(Source!AE134*Source!I134, 2)</f>
        <v>0.56000000000000005</v>
      </c>
      <c r="I266" s="39"/>
      <c r="J266" s="39">
        <f>IF(Source!BS134&lt;&gt; 0, Source!BS134, 1)</f>
        <v>33.049999999999997</v>
      </c>
      <c r="K266" s="52">
        <f>Source!R134</f>
        <v>18.36</v>
      </c>
      <c r="L266" s="41"/>
      <c r="R266">
        <f>H266</f>
        <v>0.56000000000000005</v>
      </c>
    </row>
    <row r="267" spans="1:26" ht="14.25">
      <c r="A267" s="23"/>
      <c r="B267" s="55"/>
      <c r="C267" s="55" t="s">
        <v>649</v>
      </c>
      <c r="D267" s="37"/>
      <c r="E267" s="10"/>
      <c r="F267" s="38">
        <f>Source!AL134</f>
        <v>91.27</v>
      </c>
      <c r="G267" s="39" t="str">
        <f>Source!DD134</f>
        <v/>
      </c>
      <c r="H267" s="40">
        <f>ROUND(Source!AC134*Source!I134, 2)</f>
        <v>6.39</v>
      </c>
      <c r="I267" s="39"/>
      <c r="J267" s="39">
        <f>IF(Source!BC134&lt;&gt; 0, Source!BC134, 1)</f>
        <v>4.5599999999999996</v>
      </c>
      <c r="K267" s="40">
        <f>Source!P134</f>
        <v>29.13</v>
      </c>
      <c r="L267" s="41"/>
    </row>
    <row r="268" spans="1:26" ht="14.25">
      <c r="A268" s="23"/>
      <c r="B268" s="55"/>
      <c r="C268" s="55" t="s">
        <v>642</v>
      </c>
      <c r="D268" s="37" t="s">
        <v>643</v>
      </c>
      <c r="E268" s="10">
        <f>Source!BZ134</f>
        <v>118</v>
      </c>
      <c r="F268" s="73" t="str">
        <f>CONCATENATE(" )", Source!DL134, Source!FT134, "=", Source!FX134)</f>
        <v xml:space="preserve"> )*0,9=106,2</v>
      </c>
      <c r="G268" s="74"/>
      <c r="H268" s="40">
        <f>SUM(S262:S270)</f>
        <v>22.4</v>
      </c>
      <c r="I268" s="42"/>
      <c r="J268" s="36">
        <f>Source!AT134</f>
        <v>106</v>
      </c>
      <c r="K268" s="40">
        <f>SUM(T262:T270)</f>
        <v>738.58</v>
      </c>
      <c r="L268" s="41"/>
    </row>
    <row r="269" spans="1:26" ht="14.25">
      <c r="A269" s="23"/>
      <c r="B269" s="55"/>
      <c r="C269" s="55" t="s">
        <v>644</v>
      </c>
      <c r="D269" s="37" t="s">
        <v>643</v>
      </c>
      <c r="E269" s="10">
        <f>Source!CA134</f>
        <v>63</v>
      </c>
      <c r="F269" s="73" t="str">
        <f>CONCATENATE(" )", Source!DM134, Source!FU134, "=", Source!FY134)</f>
        <v xml:space="preserve"> )*0,85=53,55</v>
      </c>
      <c r="G269" s="74"/>
      <c r="H269" s="40">
        <f>SUM(U262:U270)</f>
        <v>11.29</v>
      </c>
      <c r="I269" s="42"/>
      <c r="J269" s="36">
        <f>Source!AU134</f>
        <v>54</v>
      </c>
      <c r="K269" s="40">
        <f>SUM(V262:V270)</f>
        <v>376.26</v>
      </c>
      <c r="L269" s="41"/>
    </row>
    <row r="270" spans="1:26" ht="14.25">
      <c r="A270" s="56"/>
      <c r="B270" s="57"/>
      <c r="C270" s="57" t="s">
        <v>645</v>
      </c>
      <c r="D270" s="44" t="s">
        <v>646</v>
      </c>
      <c r="E270" s="45">
        <f>Source!AQ134</f>
        <v>28.78</v>
      </c>
      <c r="F270" s="46"/>
      <c r="G270" s="49" t="str">
        <f>Source!DI134</f>
        <v>)*1,15</v>
      </c>
      <c r="H270" s="48"/>
      <c r="I270" s="49"/>
      <c r="J270" s="49"/>
      <c r="K270" s="48"/>
      <c r="L270" s="53">
        <f>Source!U134</f>
        <v>2.3167900000000001</v>
      </c>
    </row>
    <row r="271" spans="1:26" ht="15">
      <c r="G271" s="72">
        <f>H264+H265+H267+H268+H269</f>
        <v>70.56</v>
      </c>
      <c r="H271" s="72"/>
      <c r="J271" s="72">
        <f>K264+K265+K267+K268+K269</f>
        <v>1924.82</v>
      </c>
      <c r="K271" s="72"/>
      <c r="L271" s="51">
        <f>Source!U134</f>
        <v>2.3167900000000001</v>
      </c>
      <c r="O271" s="32">
        <f>G271</f>
        <v>70.56</v>
      </c>
      <c r="P271" s="32">
        <f>J271</f>
        <v>1924.82</v>
      </c>
      <c r="Q271" s="32">
        <f>L271</f>
        <v>2.3167900000000001</v>
      </c>
      <c r="W271">
        <f>IF(Source!BI134&lt;=1,H264+H265+H267+H268+H269, 0)</f>
        <v>70.56</v>
      </c>
      <c r="X271">
        <f>IF(Source!BI134=2,H264+H265+H267+H268+H269, 0)</f>
        <v>0</v>
      </c>
      <c r="Y271">
        <f>IF(Source!BI134=3,H264+H265+H267+H268+H269, 0)</f>
        <v>0</v>
      </c>
      <c r="Z271">
        <f>IF(Source!BI134=4,H264+H265+H267+H268+H269, 0)</f>
        <v>0</v>
      </c>
    </row>
    <row r="272" spans="1:26" ht="42.75">
      <c r="A272" s="56" t="str">
        <f>Source!E135</f>
        <v>9</v>
      </c>
      <c r="B272" s="57" t="str">
        <f>Source!F135</f>
        <v>201-0650</v>
      </c>
      <c r="C272" s="57" t="str">
        <f>Source!G135</f>
        <v>Ограждения лестничных проемов, лестничные марши, пожарные лестницы</v>
      </c>
      <c r="D272" s="44" t="str">
        <f>Source!H135</f>
        <v>т</v>
      </c>
      <c r="E272" s="45">
        <f>Source!I135</f>
        <v>7.0000000000000007E-2</v>
      </c>
      <c r="F272" s="46">
        <f>Source!AL135</f>
        <v>7571</v>
      </c>
      <c r="G272" s="49" t="str">
        <f>Source!DD135</f>
        <v/>
      </c>
      <c r="H272" s="48">
        <f>ROUND(Source!AC135*Source!I135, 2)</f>
        <v>529.97</v>
      </c>
      <c r="I272" s="49" t="str">
        <f>Source!BO135</f>
        <v>201-0650</v>
      </c>
      <c r="J272" s="49">
        <f>IF(Source!BC135&lt;&gt; 0, Source!BC135, 1)</f>
        <v>10.029999999999999</v>
      </c>
      <c r="K272" s="48">
        <f>Source!P135</f>
        <v>5315.6</v>
      </c>
      <c r="L272" s="50"/>
      <c r="S272">
        <f>ROUND((Source!FX135/100)*((ROUND(Source!AF135*Source!I135, 2)+ROUND(Source!AE135*Source!I135, 2))), 2)</f>
        <v>0</v>
      </c>
      <c r="T272">
        <f>Source!X135</f>
        <v>0</v>
      </c>
      <c r="U272">
        <f>ROUND((Source!FY135/100)*((ROUND(Source!AF135*Source!I135, 2)+ROUND(Source!AE135*Source!I135, 2))), 2)</f>
        <v>0</v>
      </c>
      <c r="V272">
        <f>Source!Y135</f>
        <v>0</v>
      </c>
    </row>
    <row r="273" spans="1:26" ht="15">
      <c r="G273" s="72">
        <f>H272</f>
        <v>529.97</v>
      </c>
      <c r="H273" s="72"/>
      <c r="J273" s="72">
        <f>K272</f>
        <v>5315.6</v>
      </c>
      <c r="K273" s="72"/>
      <c r="L273" s="51">
        <f>Source!U135</f>
        <v>0</v>
      </c>
      <c r="O273" s="32">
        <f>G273</f>
        <v>529.97</v>
      </c>
      <c r="P273" s="32">
        <f>J273</f>
        <v>5315.6</v>
      </c>
      <c r="Q273" s="32">
        <f>L273</f>
        <v>0</v>
      </c>
      <c r="W273">
        <f>IF(Source!BI135&lt;=1,H272, 0)</f>
        <v>529.97</v>
      </c>
      <c r="X273">
        <f>IF(Source!BI135=2,H272, 0)</f>
        <v>0</v>
      </c>
      <c r="Y273">
        <f>IF(Source!BI135=3,H272, 0)</f>
        <v>0</v>
      </c>
      <c r="Z273">
        <f>IF(Source!BI135=4,H272, 0)</f>
        <v>0</v>
      </c>
    </row>
    <row r="274" spans="1:26" ht="42.75">
      <c r="A274" s="23" t="str">
        <f>Source!E136</f>
        <v>10</v>
      </c>
      <c r="B274" s="55" t="str">
        <f>Source!F136</f>
        <v>59-5-2</v>
      </c>
      <c r="C274" s="55" t="str">
        <f>Source!G136</f>
        <v>Ремонт ступеней бетонных</v>
      </c>
      <c r="D274" s="37" t="str">
        <f>Source!H136</f>
        <v>100 ступеней</v>
      </c>
      <c r="E274" s="10">
        <f>Source!I136</f>
        <v>3.2000000000000001E-2</v>
      </c>
      <c r="F274" s="38">
        <f>Source!AL136+Source!AM136+Source!AO136</f>
        <v>1459.54</v>
      </c>
      <c r="G274" s="39"/>
      <c r="H274" s="40"/>
      <c r="I274" s="39" t="str">
        <f>Source!BO136</f>
        <v>59-5-2</v>
      </c>
      <c r="J274" s="39"/>
      <c r="K274" s="40"/>
      <c r="L274" s="41"/>
      <c r="S274">
        <f>ROUND((Source!FX136/100)*((ROUND(Source!AF136*Source!I136, 2)+ROUND(Source!AE136*Source!I136, 2))), 2)</f>
        <v>21.72</v>
      </c>
      <c r="T274">
        <f>Source!X136</f>
        <v>717.68</v>
      </c>
      <c r="U274">
        <f>ROUND((Source!FY136/100)*((ROUND(Source!AF136*Source!I136, 2)+ROUND(Source!AE136*Source!I136, 2))), 2)</f>
        <v>17.149999999999999</v>
      </c>
      <c r="V274">
        <f>Source!Y136</f>
        <v>566.59</v>
      </c>
    </row>
    <row r="275" spans="1:26">
      <c r="C275" s="31" t="str">
        <f>"Объем: "&amp;Source!I136&amp;"=3,2/"&amp;"100"</f>
        <v>Объем: 0,032=3,2/100</v>
      </c>
    </row>
    <row r="276" spans="1:26" ht="14.25">
      <c r="A276" s="23"/>
      <c r="B276" s="55"/>
      <c r="C276" s="55" t="s">
        <v>641</v>
      </c>
      <c r="D276" s="37"/>
      <c r="E276" s="10"/>
      <c r="F276" s="38">
        <f>Source!AO136</f>
        <v>888.97</v>
      </c>
      <c r="G276" s="39" t="str">
        <f>Source!DG136</f>
        <v/>
      </c>
      <c r="H276" s="40">
        <f>ROUND(Source!AF136*Source!I136, 2)</f>
        <v>28.45</v>
      </c>
      <c r="I276" s="39"/>
      <c r="J276" s="39">
        <f>IF(Source!BA136&lt;&gt; 0, Source!BA136, 1)</f>
        <v>33.049999999999997</v>
      </c>
      <c r="K276" s="40">
        <f>Source!S136</f>
        <v>940.17</v>
      </c>
      <c r="L276" s="41"/>
      <c r="R276">
        <f>H276</f>
        <v>28.45</v>
      </c>
    </row>
    <row r="277" spans="1:26" ht="14.25">
      <c r="A277" s="23"/>
      <c r="B277" s="55"/>
      <c r="C277" s="55" t="s">
        <v>63</v>
      </c>
      <c r="D277" s="37"/>
      <c r="E277" s="10"/>
      <c r="F277" s="38">
        <f>Source!AM136</f>
        <v>22.14</v>
      </c>
      <c r="G277" s="39" t="str">
        <f>Source!DE136</f>
        <v/>
      </c>
      <c r="H277" s="40">
        <f>ROUND(Source!AD136*Source!I136, 2)</f>
        <v>0.71</v>
      </c>
      <c r="I277" s="39"/>
      <c r="J277" s="39">
        <f>IF(Source!BB136&lt;&gt; 0, Source!BB136, 1)</f>
        <v>12.43</v>
      </c>
      <c r="K277" s="40">
        <f>Source!Q136</f>
        <v>8.81</v>
      </c>
      <c r="L277" s="41"/>
    </row>
    <row r="278" spans="1:26" ht="14.25">
      <c r="A278" s="23"/>
      <c r="B278" s="55"/>
      <c r="C278" s="55" t="s">
        <v>647</v>
      </c>
      <c r="D278" s="37"/>
      <c r="E278" s="10"/>
      <c r="F278" s="38">
        <f>Source!AN136</f>
        <v>3.92</v>
      </c>
      <c r="G278" s="39" t="str">
        <f>Source!DF136</f>
        <v/>
      </c>
      <c r="H278" s="52">
        <f>ROUND(Source!AE136*Source!I136, 2)</f>
        <v>0.13</v>
      </c>
      <c r="I278" s="39"/>
      <c r="J278" s="39">
        <f>IF(Source!BS136&lt;&gt; 0, Source!BS136, 1)</f>
        <v>33.049999999999997</v>
      </c>
      <c r="K278" s="52">
        <f>Source!R136</f>
        <v>4.1500000000000004</v>
      </c>
      <c r="L278" s="41"/>
      <c r="R278">
        <f>H278</f>
        <v>0.13</v>
      </c>
    </row>
    <row r="279" spans="1:26" ht="14.25">
      <c r="A279" s="23"/>
      <c r="B279" s="55"/>
      <c r="C279" s="55" t="s">
        <v>649</v>
      </c>
      <c r="D279" s="37"/>
      <c r="E279" s="10"/>
      <c r="F279" s="38">
        <f>Source!AL136</f>
        <v>548.42999999999995</v>
      </c>
      <c r="G279" s="39" t="str">
        <f>Source!DD136</f>
        <v/>
      </c>
      <c r="H279" s="40">
        <f>ROUND(Source!AC136*Source!I136, 2)</f>
        <v>17.55</v>
      </c>
      <c r="I279" s="39"/>
      <c r="J279" s="39">
        <f>IF(Source!BC136&lt;&gt; 0, Source!BC136, 1)</f>
        <v>7.11</v>
      </c>
      <c r="K279" s="40">
        <f>Source!P136</f>
        <v>124.78</v>
      </c>
      <c r="L279" s="41"/>
    </row>
    <row r="280" spans="1:26" ht="14.25">
      <c r="A280" s="23"/>
      <c r="B280" s="55"/>
      <c r="C280" s="55" t="s">
        <v>642</v>
      </c>
      <c r="D280" s="37" t="s">
        <v>643</v>
      </c>
      <c r="E280" s="10">
        <f>Source!BZ136</f>
        <v>76</v>
      </c>
      <c r="F280" s="58"/>
      <c r="G280" s="39"/>
      <c r="H280" s="40">
        <f>SUM(S274:S282)</f>
        <v>21.72</v>
      </c>
      <c r="I280" s="42"/>
      <c r="J280" s="36">
        <f>Source!AT136</f>
        <v>76</v>
      </c>
      <c r="K280" s="40">
        <f>SUM(T274:T282)</f>
        <v>717.68</v>
      </c>
      <c r="L280" s="41"/>
    </row>
    <row r="281" spans="1:26" ht="14.25">
      <c r="A281" s="23"/>
      <c r="B281" s="55"/>
      <c r="C281" s="55" t="s">
        <v>644</v>
      </c>
      <c r="D281" s="37" t="s">
        <v>643</v>
      </c>
      <c r="E281" s="10">
        <f>Source!CA136</f>
        <v>60</v>
      </c>
      <c r="F281" s="58"/>
      <c r="G281" s="39"/>
      <c r="H281" s="40">
        <f>SUM(U274:U282)</f>
        <v>17.149999999999999</v>
      </c>
      <c r="I281" s="42"/>
      <c r="J281" s="36">
        <f>Source!AU136</f>
        <v>60</v>
      </c>
      <c r="K281" s="40">
        <f>SUM(V274:V282)</f>
        <v>566.59</v>
      </c>
      <c r="L281" s="41"/>
    </row>
    <row r="282" spans="1:26" ht="14.25">
      <c r="A282" s="56"/>
      <c r="B282" s="57"/>
      <c r="C282" s="57" t="s">
        <v>645</v>
      </c>
      <c r="D282" s="44" t="s">
        <v>646</v>
      </c>
      <c r="E282" s="45">
        <f>Source!AQ136</f>
        <v>102.89</v>
      </c>
      <c r="F282" s="46"/>
      <c r="G282" s="49" t="str">
        <f>Source!DI136</f>
        <v/>
      </c>
      <c r="H282" s="48"/>
      <c r="I282" s="49"/>
      <c r="J282" s="49"/>
      <c r="K282" s="48"/>
      <c r="L282" s="53">
        <f>Source!U136</f>
        <v>3.2924800000000003</v>
      </c>
    </row>
    <row r="283" spans="1:26" ht="15">
      <c r="G283" s="72">
        <f>H276+H277+H279+H280+H281</f>
        <v>85.580000000000013</v>
      </c>
      <c r="H283" s="72"/>
      <c r="J283" s="72">
        <f>K276+K277+K279+K280+K281</f>
        <v>2358.0300000000002</v>
      </c>
      <c r="K283" s="72"/>
      <c r="L283" s="51">
        <f>Source!U136</f>
        <v>3.2924800000000003</v>
      </c>
      <c r="O283" s="32">
        <f>G283</f>
        <v>85.580000000000013</v>
      </c>
      <c r="P283" s="32">
        <f>J283</f>
        <v>2358.0300000000002</v>
      </c>
      <c r="Q283" s="32">
        <f>L283</f>
        <v>3.2924800000000003</v>
      </c>
      <c r="W283">
        <f>IF(Source!BI136&lt;=1,H276+H277+H279+H280+H281, 0)</f>
        <v>85.580000000000013</v>
      </c>
      <c r="X283">
        <f>IF(Source!BI136=2,H276+H277+H279+H280+H281, 0)</f>
        <v>0</v>
      </c>
      <c r="Y283">
        <f>IF(Source!BI136=3,H276+H277+H279+H280+H281, 0)</f>
        <v>0</v>
      </c>
      <c r="Z283">
        <f>IF(Source!BI136=4,H276+H277+H279+H280+H281, 0)</f>
        <v>0</v>
      </c>
    </row>
    <row r="284" spans="1:26" ht="79.5">
      <c r="A284" s="23" t="str">
        <f>Source!E137</f>
        <v>11</v>
      </c>
      <c r="B284" s="55" t="s">
        <v>660</v>
      </c>
      <c r="C284" s="55" t="str">
        <f>Source!G137</f>
        <v>Облицовка ступеней керамогранитными плитками толщиной до 15 мм</v>
      </c>
      <c r="D284" s="37" t="str">
        <f>Source!H137</f>
        <v>100 м2 поверхности облицовки</v>
      </c>
      <c r="E284" s="10">
        <f>Source!I137</f>
        <v>3.2000000000000001E-2</v>
      </c>
      <c r="F284" s="38">
        <f>Source!AL137+Source!AM137+Source!AO137</f>
        <v>21222.97</v>
      </c>
      <c r="G284" s="39"/>
      <c r="H284" s="40"/>
      <c r="I284" s="39" t="str">
        <f>Source!BO137</f>
        <v>15-01-045-1</v>
      </c>
      <c r="J284" s="39"/>
      <c r="K284" s="40"/>
      <c r="L284" s="41"/>
      <c r="S284">
        <f>ROUND((Source!FX137/100)*((ROUND(Source!AF137*Source!I137, 2)+ROUND(Source!AE137*Source!I137, 2))), 2)</f>
        <v>121.59</v>
      </c>
      <c r="T284">
        <f>Source!X137</f>
        <v>4040.18</v>
      </c>
      <c r="U284">
        <f>ROUND((Source!FY137/100)*((ROUND(Source!AF137*Source!I137, 2)+ROUND(Source!AE137*Source!I137, 2))), 2)</f>
        <v>60.15</v>
      </c>
      <c r="V284">
        <f>Source!Y137</f>
        <v>1998.83</v>
      </c>
    </row>
    <row r="285" spans="1:26">
      <c r="C285" s="31" t="str">
        <f>"Объем: "&amp;Source!I137&amp;"=3,2/"&amp;"100"</f>
        <v>Объем: 0,032=3,2/100</v>
      </c>
    </row>
    <row r="286" spans="1:26" ht="14.25">
      <c r="A286" s="23"/>
      <c r="B286" s="55"/>
      <c r="C286" s="55" t="s">
        <v>641</v>
      </c>
      <c r="D286" s="37"/>
      <c r="E286" s="10"/>
      <c r="F286" s="38">
        <f>Source!AO137</f>
        <v>3471.6</v>
      </c>
      <c r="G286" s="39" t="str">
        <f>Source!DG137</f>
        <v>)*1,15</v>
      </c>
      <c r="H286" s="40">
        <f>ROUND(Source!AF137*Source!I137, 2)</f>
        <v>127.75</v>
      </c>
      <c r="I286" s="39"/>
      <c r="J286" s="39">
        <f>IF(Source!BA137&lt;&gt; 0, Source!BA137, 1)</f>
        <v>33.049999999999997</v>
      </c>
      <c r="K286" s="40">
        <f>Source!S137</f>
        <v>4222.3</v>
      </c>
      <c r="L286" s="41"/>
      <c r="R286">
        <f>H286</f>
        <v>127.75</v>
      </c>
    </row>
    <row r="287" spans="1:26" ht="14.25">
      <c r="A287" s="23"/>
      <c r="B287" s="55"/>
      <c r="C287" s="55" t="s">
        <v>63</v>
      </c>
      <c r="D287" s="37"/>
      <c r="E287" s="10"/>
      <c r="F287" s="38">
        <f>Source!AM137</f>
        <v>72.989999999999995</v>
      </c>
      <c r="G287" s="39" t="str">
        <f>Source!DE137</f>
        <v>)*1,25</v>
      </c>
      <c r="H287" s="40">
        <f>ROUND(Source!AD137*Source!I137, 2)</f>
        <v>2.92</v>
      </c>
      <c r="I287" s="39"/>
      <c r="J287" s="39">
        <f>IF(Source!BB137&lt;&gt; 0, Source!BB137, 1)</f>
        <v>15.78</v>
      </c>
      <c r="K287" s="40">
        <f>Source!Q137</f>
        <v>46.07</v>
      </c>
      <c r="L287" s="41"/>
    </row>
    <row r="288" spans="1:26" ht="14.25">
      <c r="A288" s="23"/>
      <c r="B288" s="55"/>
      <c r="C288" s="55" t="s">
        <v>647</v>
      </c>
      <c r="D288" s="37"/>
      <c r="E288" s="10"/>
      <c r="F288" s="38">
        <f>Source!AN137</f>
        <v>23.09</v>
      </c>
      <c r="G288" s="39" t="str">
        <f>Source!DF137</f>
        <v>)*1,25</v>
      </c>
      <c r="H288" s="52">
        <f>ROUND(Source!AE137*Source!I137, 2)</f>
        <v>0.92</v>
      </c>
      <c r="I288" s="39"/>
      <c r="J288" s="39">
        <f>IF(Source!BS137&lt;&gt; 0, Source!BS137, 1)</f>
        <v>33.049999999999997</v>
      </c>
      <c r="K288" s="52">
        <f>Source!R137</f>
        <v>30.52</v>
      </c>
      <c r="L288" s="41"/>
      <c r="R288">
        <f>H288</f>
        <v>0.92</v>
      </c>
    </row>
    <row r="289" spans="1:26" ht="14.25">
      <c r="A289" s="23"/>
      <c r="B289" s="55"/>
      <c r="C289" s="55" t="s">
        <v>649</v>
      </c>
      <c r="D289" s="37"/>
      <c r="E289" s="10"/>
      <c r="F289" s="38">
        <f>Source!AL137</f>
        <v>17678.38</v>
      </c>
      <c r="G289" s="39" t="str">
        <f>Source!DD137</f>
        <v/>
      </c>
      <c r="H289" s="40">
        <f>ROUND(Source!AC137*Source!I137, 2)</f>
        <v>565.71</v>
      </c>
      <c r="I289" s="39"/>
      <c r="J289" s="39">
        <f>IF(Source!BC137&lt;&gt; 0, Source!BC137, 1)</f>
        <v>3.65</v>
      </c>
      <c r="K289" s="40">
        <f>Source!P137</f>
        <v>2064.83</v>
      </c>
      <c r="L289" s="41"/>
    </row>
    <row r="290" spans="1:26" ht="14.25">
      <c r="A290" s="23"/>
      <c r="B290" s="55"/>
      <c r="C290" s="55" t="s">
        <v>642</v>
      </c>
      <c r="D290" s="37" t="s">
        <v>643</v>
      </c>
      <c r="E290" s="10">
        <f>Source!BZ137</f>
        <v>105</v>
      </c>
      <c r="F290" s="73" t="str">
        <f>CONCATENATE(" )", Source!DL137, Source!FT137, "=", Source!FX137)</f>
        <v xml:space="preserve"> )*0,9=94,5</v>
      </c>
      <c r="G290" s="74"/>
      <c r="H290" s="40">
        <f>SUM(S284:S292)</f>
        <v>121.59</v>
      </c>
      <c r="I290" s="42"/>
      <c r="J290" s="36">
        <f>Source!AT137</f>
        <v>95</v>
      </c>
      <c r="K290" s="40">
        <f>SUM(T284:T292)</f>
        <v>4040.18</v>
      </c>
      <c r="L290" s="41"/>
    </row>
    <row r="291" spans="1:26" ht="14.25">
      <c r="A291" s="23"/>
      <c r="B291" s="55"/>
      <c r="C291" s="55" t="s">
        <v>644</v>
      </c>
      <c r="D291" s="37" t="s">
        <v>643</v>
      </c>
      <c r="E291" s="10">
        <f>Source!CA137</f>
        <v>55</v>
      </c>
      <c r="F291" s="73" t="str">
        <f>CONCATENATE(" )", Source!DM137, Source!FU137, "=", Source!FY137)</f>
        <v xml:space="preserve"> )*0,85=46,75</v>
      </c>
      <c r="G291" s="74"/>
      <c r="H291" s="40">
        <f>SUM(U284:U292)</f>
        <v>60.15</v>
      </c>
      <c r="I291" s="42"/>
      <c r="J291" s="36">
        <f>Source!AU137</f>
        <v>47</v>
      </c>
      <c r="K291" s="40">
        <f>SUM(V284:V292)</f>
        <v>1998.83</v>
      </c>
      <c r="L291" s="41"/>
    </row>
    <row r="292" spans="1:26" ht="14.25">
      <c r="A292" s="56"/>
      <c r="B292" s="57"/>
      <c r="C292" s="57" t="s">
        <v>645</v>
      </c>
      <c r="D292" s="44" t="s">
        <v>646</v>
      </c>
      <c r="E292" s="45">
        <f>Source!AQ137</f>
        <v>378.17</v>
      </c>
      <c r="F292" s="46"/>
      <c r="G292" s="49" t="str">
        <f>Source!DI137</f>
        <v>)*1,15</v>
      </c>
      <c r="H292" s="48"/>
      <c r="I292" s="49"/>
      <c r="J292" s="49"/>
      <c r="K292" s="48"/>
      <c r="L292" s="53">
        <f>Source!U137</f>
        <v>13.916656</v>
      </c>
    </row>
    <row r="293" spans="1:26" ht="15">
      <c r="G293" s="72">
        <f>H286+H287+H289+H290+H291</f>
        <v>878.12</v>
      </c>
      <c r="H293" s="72"/>
      <c r="J293" s="72">
        <f>K286+K287+K289+K290+K291</f>
        <v>12372.21</v>
      </c>
      <c r="K293" s="72"/>
      <c r="L293" s="51">
        <f>Source!U137</f>
        <v>13.916656</v>
      </c>
      <c r="O293" s="32">
        <f>G293</f>
        <v>878.12</v>
      </c>
      <c r="P293" s="32">
        <f>J293</f>
        <v>12372.21</v>
      </c>
      <c r="Q293" s="32">
        <f>L293</f>
        <v>13.916656</v>
      </c>
      <c r="W293">
        <f>IF(Source!BI137&lt;=1,H286+H287+H289+H290+H291, 0)</f>
        <v>878.12</v>
      </c>
      <c r="X293">
        <f>IF(Source!BI137=2,H286+H287+H289+H290+H291, 0)</f>
        <v>0</v>
      </c>
      <c r="Y293">
        <f>IF(Source!BI137=3,H286+H287+H289+H290+H291, 0)</f>
        <v>0</v>
      </c>
      <c r="Z293">
        <f>IF(Source!BI137=4,H286+H287+H289+H290+H291, 0)</f>
        <v>0</v>
      </c>
    </row>
    <row r="294" spans="1:26" ht="79.5">
      <c r="A294" s="23" t="str">
        <f>Source!E138</f>
        <v>13</v>
      </c>
      <c r="B294" s="55" t="s">
        <v>661</v>
      </c>
      <c r="C294" s="55" t="str">
        <f>Source!G138</f>
        <v>Монтаж кровельного покрытия из профилированного листа при высоте здания до 25 м</v>
      </c>
      <c r="D294" s="37" t="str">
        <f>Source!H138</f>
        <v>100 м2 покрытия</v>
      </c>
      <c r="E294" s="10">
        <f>Source!I138</f>
        <v>1.4999999999999999E-2</v>
      </c>
      <c r="F294" s="38">
        <f>Source!AL138+Source!AM138+Source!AO138</f>
        <v>946.18</v>
      </c>
      <c r="G294" s="39"/>
      <c r="H294" s="40"/>
      <c r="I294" s="39" t="str">
        <f>Source!BO138</f>
        <v>09-04-002-1</v>
      </c>
      <c r="J294" s="39"/>
      <c r="K294" s="40"/>
      <c r="L294" s="41"/>
      <c r="S294">
        <f>ROUND((Source!FX138/100)*((ROUND(Source!AF138*Source!I138, 2)+ROUND(Source!AE138*Source!I138, 2))), 2)</f>
        <v>4.9000000000000004</v>
      </c>
      <c r="T294">
        <f>Source!X138</f>
        <v>162.06</v>
      </c>
      <c r="U294">
        <f>ROUND((Source!FY138/100)*((ROUND(Source!AF138*Source!I138, 2)+ROUND(Source!AE138*Source!I138, 2))), 2)</f>
        <v>4.37</v>
      </c>
      <c r="V294">
        <f>Source!Y138</f>
        <v>144.06</v>
      </c>
    </row>
    <row r="295" spans="1:26">
      <c r="C295" s="31" t="str">
        <f>"Объем: "&amp;Source!I138&amp;"=1,5/"&amp;"100"</f>
        <v>Объем: 0,015=1,5/100</v>
      </c>
    </row>
    <row r="296" spans="1:26" ht="14.25">
      <c r="A296" s="23"/>
      <c r="B296" s="55"/>
      <c r="C296" s="55" t="s">
        <v>641</v>
      </c>
      <c r="D296" s="37"/>
      <c r="E296" s="10"/>
      <c r="F296" s="38">
        <f>Source!AO138</f>
        <v>310.27</v>
      </c>
      <c r="G296" s="39" t="str">
        <f>Source!DG138</f>
        <v>)*1,15</v>
      </c>
      <c r="H296" s="40">
        <f>ROUND(Source!AF138*Source!I138, 2)</f>
        <v>5.35</v>
      </c>
      <c r="I296" s="39"/>
      <c r="J296" s="39">
        <f>IF(Source!BA138&lt;&gt; 0, Source!BA138, 1)</f>
        <v>33.049999999999997</v>
      </c>
      <c r="K296" s="40">
        <f>Source!S138</f>
        <v>176.89</v>
      </c>
      <c r="L296" s="41"/>
      <c r="R296">
        <f>H296</f>
        <v>5.35</v>
      </c>
    </row>
    <row r="297" spans="1:26" ht="14.25">
      <c r="A297" s="23"/>
      <c r="B297" s="55"/>
      <c r="C297" s="55" t="s">
        <v>63</v>
      </c>
      <c r="D297" s="37"/>
      <c r="E297" s="10"/>
      <c r="F297" s="38">
        <f>Source!AM138</f>
        <v>481.94</v>
      </c>
      <c r="G297" s="39" t="str">
        <f>Source!DE138</f>
        <v>)*1,25</v>
      </c>
      <c r="H297" s="40">
        <f>ROUND(Source!AD138*Source!I138, 2)</f>
        <v>9.0399999999999991</v>
      </c>
      <c r="I297" s="39"/>
      <c r="J297" s="39">
        <f>IF(Source!BB138&lt;&gt; 0, Source!BB138, 1)</f>
        <v>8.0399999999999991</v>
      </c>
      <c r="K297" s="40">
        <f>Source!Q138</f>
        <v>72.650000000000006</v>
      </c>
      <c r="L297" s="41"/>
    </row>
    <row r="298" spans="1:26" ht="14.25">
      <c r="A298" s="23"/>
      <c r="B298" s="55"/>
      <c r="C298" s="55" t="s">
        <v>647</v>
      </c>
      <c r="D298" s="37"/>
      <c r="E298" s="10"/>
      <c r="F298" s="38">
        <f>Source!AN138</f>
        <v>37.43</v>
      </c>
      <c r="G298" s="39" t="str">
        <f>Source!DF138</f>
        <v>)*1,25</v>
      </c>
      <c r="H298" s="52">
        <f>ROUND(Source!AE138*Source!I138, 2)</f>
        <v>0.7</v>
      </c>
      <c r="I298" s="39"/>
      <c r="J298" s="39">
        <f>IF(Source!BS138&lt;&gt; 0, Source!BS138, 1)</f>
        <v>33.049999999999997</v>
      </c>
      <c r="K298" s="52">
        <f>Source!R138</f>
        <v>23.19</v>
      </c>
      <c r="L298" s="41"/>
      <c r="R298">
        <f>H298</f>
        <v>0.7</v>
      </c>
    </row>
    <row r="299" spans="1:26" ht="14.25">
      <c r="A299" s="23"/>
      <c r="B299" s="55"/>
      <c r="C299" s="55" t="s">
        <v>649</v>
      </c>
      <c r="D299" s="37"/>
      <c r="E299" s="10"/>
      <c r="F299" s="38">
        <f>Source!AL138</f>
        <v>153.97</v>
      </c>
      <c r="G299" s="39" t="str">
        <f>Source!DD138</f>
        <v/>
      </c>
      <c r="H299" s="40">
        <f>ROUND(Source!AC138*Source!I138, 2)</f>
        <v>2.31</v>
      </c>
      <c r="I299" s="39"/>
      <c r="J299" s="39">
        <f>IF(Source!BC138&lt;&gt; 0, Source!BC138, 1)</f>
        <v>10.029999999999999</v>
      </c>
      <c r="K299" s="40">
        <f>Source!P138</f>
        <v>23.16</v>
      </c>
      <c r="L299" s="41"/>
    </row>
    <row r="300" spans="1:26" ht="14.25">
      <c r="A300" s="23"/>
      <c r="B300" s="55"/>
      <c r="C300" s="55" t="s">
        <v>642</v>
      </c>
      <c r="D300" s="37" t="s">
        <v>643</v>
      </c>
      <c r="E300" s="10">
        <f>Source!BZ138</f>
        <v>90</v>
      </c>
      <c r="F300" s="73" t="str">
        <f>CONCATENATE(" )", Source!DL138, Source!FT138, "=", Source!FX138)</f>
        <v xml:space="preserve"> )*0,9=81</v>
      </c>
      <c r="G300" s="74"/>
      <c r="H300" s="40">
        <f>SUM(S294:S302)</f>
        <v>4.9000000000000004</v>
      </c>
      <c r="I300" s="42"/>
      <c r="J300" s="36">
        <f>Source!AT138</f>
        <v>81</v>
      </c>
      <c r="K300" s="40">
        <f>SUM(T294:T302)</f>
        <v>162.06</v>
      </c>
      <c r="L300" s="41"/>
    </row>
    <row r="301" spans="1:26" ht="14.25">
      <c r="A301" s="23"/>
      <c r="B301" s="55"/>
      <c r="C301" s="55" t="s">
        <v>644</v>
      </c>
      <c r="D301" s="37" t="s">
        <v>643</v>
      </c>
      <c r="E301" s="10">
        <f>Source!CA138</f>
        <v>85</v>
      </c>
      <c r="F301" s="73" t="str">
        <f>CONCATENATE(" )", Source!DM138, Source!FU138, "=", Source!FY138)</f>
        <v xml:space="preserve"> )*0,85=72,25</v>
      </c>
      <c r="G301" s="74"/>
      <c r="H301" s="40">
        <f>SUM(U294:U302)</f>
        <v>4.37</v>
      </c>
      <c r="I301" s="42"/>
      <c r="J301" s="36">
        <f>Source!AU138</f>
        <v>72</v>
      </c>
      <c r="K301" s="40">
        <f>SUM(V294:V302)</f>
        <v>144.06</v>
      </c>
      <c r="L301" s="41"/>
    </row>
    <row r="302" spans="1:26" ht="14.25">
      <c r="A302" s="56"/>
      <c r="B302" s="57"/>
      <c r="C302" s="57" t="s">
        <v>645</v>
      </c>
      <c r="D302" s="44" t="s">
        <v>646</v>
      </c>
      <c r="E302" s="45">
        <f>Source!AQ138</f>
        <v>35.5</v>
      </c>
      <c r="F302" s="46"/>
      <c r="G302" s="49" t="str">
        <f>Source!DI138</f>
        <v>)*1,15</v>
      </c>
      <c r="H302" s="48"/>
      <c r="I302" s="49"/>
      <c r="J302" s="49"/>
      <c r="K302" s="48"/>
      <c r="L302" s="53">
        <f>Source!U138</f>
        <v>0.61237499999999989</v>
      </c>
    </row>
    <row r="303" spans="1:26" ht="15">
      <c r="G303" s="72">
        <f>H296+H297+H299+H300+H301</f>
        <v>25.970000000000002</v>
      </c>
      <c r="H303" s="72"/>
      <c r="J303" s="72">
        <f>K296+K297+K299+K300+K301</f>
        <v>578.81999999999994</v>
      </c>
      <c r="K303" s="72"/>
      <c r="L303" s="51">
        <f>Source!U138</f>
        <v>0.61237499999999989</v>
      </c>
      <c r="O303" s="32">
        <f>G303</f>
        <v>25.970000000000002</v>
      </c>
      <c r="P303" s="32">
        <f>J303</f>
        <v>578.81999999999994</v>
      </c>
      <c r="Q303" s="32">
        <f>L303</f>
        <v>0.61237499999999989</v>
      </c>
      <c r="W303">
        <f>IF(Source!BI138&lt;=1,H296+H297+H299+H300+H301, 0)</f>
        <v>25.970000000000002</v>
      </c>
      <c r="X303">
        <f>IF(Source!BI138=2,H296+H297+H299+H300+H301, 0)</f>
        <v>0</v>
      </c>
      <c r="Y303">
        <f>IF(Source!BI138=3,H296+H297+H299+H300+H301, 0)</f>
        <v>0</v>
      </c>
      <c r="Z303">
        <f>IF(Source!BI138=4,H296+H297+H299+H300+H301, 0)</f>
        <v>0</v>
      </c>
    </row>
    <row r="304" spans="1:26" ht="93.75">
      <c r="A304" s="56" t="str">
        <f>Source!E139</f>
        <v>14</v>
      </c>
      <c r="B304" s="57" t="s">
        <v>662</v>
      </c>
      <c r="C304" s="57" t="str">
        <f>Source!G139</f>
        <v>профнастил оцинкованный С 21  0,4х1050х3000</v>
      </c>
      <c r="D304" s="44" t="str">
        <f>Source!H139</f>
        <v/>
      </c>
      <c r="E304" s="45">
        <f>Source!I139</f>
        <v>1.5</v>
      </c>
      <c r="F304" s="46">
        <f>Source!AL139</f>
        <v>683.33</v>
      </c>
      <c r="G304" s="49" t="str">
        <f>Source!DD139</f>
        <v/>
      </c>
      <c r="H304" s="48">
        <f>ROUND(Source!AC139*Source!I139, 2)</f>
        <v>1025</v>
      </c>
      <c r="I304" s="49" t="str">
        <f>Source!BO139</f>
        <v/>
      </c>
      <c r="J304" s="49">
        <f>IF(Source!BC139&lt;&gt; 0, Source!BC139, 1)</f>
        <v>1</v>
      </c>
      <c r="K304" s="48">
        <f>Source!P139</f>
        <v>1025</v>
      </c>
      <c r="L304" s="50"/>
      <c r="S304">
        <f>ROUND((Source!FX139/100)*((ROUND(Source!AF139*Source!I139, 2)+ROUND(Source!AE139*Source!I139, 2))), 2)</f>
        <v>0</v>
      </c>
      <c r="T304">
        <f>Source!X139</f>
        <v>0</v>
      </c>
      <c r="U304">
        <f>ROUND((Source!FY139/100)*((ROUND(Source!AF139*Source!I139, 2)+ROUND(Source!AE139*Source!I139, 2))), 2)</f>
        <v>0</v>
      </c>
      <c r="V304">
        <f>Source!Y139</f>
        <v>0</v>
      </c>
    </row>
    <row r="305" spans="1:32" ht="15">
      <c r="G305" s="72">
        <f>H304</f>
        <v>1025</v>
      </c>
      <c r="H305" s="72"/>
      <c r="J305" s="72">
        <f>K304</f>
        <v>1025</v>
      </c>
      <c r="K305" s="72"/>
      <c r="L305" s="51">
        <f>Source!U139</f>
        <v>0</v>
      </c>
      <c r="O305" s="32">
        <f>G305</f>
        <v>1025</v>
      </c>
      <c r="P305" s="32">
        <f>J305</f>
        <v>1025</v>
      </c>
      <c r="Q305" s="32">
        <f>L305</f>
        <v>0</v>
      </c>
      <c r="W305">
        <f>IF(Source!BI139&lt;=1,H304, 0)</f>
        <v>0</v>
      </c>
      <c r="X305">
        <f>IF(Source!BI139=2,H304, 0)</f>
        <v>0</v>
      </c>
      <c r="Y305">
        <f>IF(Source!BI139=3,H304, 0)</f>
        <v>0</v>
      </c>
      <c r="Z305">
        <f>IF(Source!BI139=4,H304, 0)</f>
        <v>1025</v>
      </c>
    </row>
    <row r="307" spans="1:32" ht="15">
      <c r="A307" s="76" t="str">
        <f>CONCATENATE("Итого по разделу: ",IF(Source!G141&lt;&gt;"Новый раздел", Source!G141, ""))</f>
        <v>Итого по разделу: Крыльцо ОВП с торца</v>
      </c>
      <c r="B307" s="76"/>
      <c r="C307" s="76"/>
      <c r="D307" s="76"/>
      <c r="E307" s="76"/>
      <c r="F307" s="76"/>
      <c r="G307" s="75">
        <f>SUM(O193:O306)</f>
        <v>13240.199999999999</v>
      </c>
      <c r="H307" s="75"/>
      <c r="I307" s="35"/>
      <c r="J307" s="75">
        <f>SUM(P193:P306)</f>
        <v>62366.719999999994</v>
      </c>
      <c r="K307" s="75"/>
      <c r="L307" s="51">
        <f>SUM(Q193:Q306)</f>
        <v>37.893040999999997</v>
      </c>
    </row>
    <row r="311" spans="1:32" ht="15">
      <c r="A311" s="76" t="str">
        <f>CONCATENATE("Итого по локальной смете: ",IF(Source!G171&lt;&gt;"Новая локальная смета", Source!G171, ""))</f>
        <v xml:space="preserve">Итого по локальной смете: </v>
      </c>
      <c r="B311" s="76"/>
      <c r="C311" s="76"/>
      <c r="D311" s="76"/>
      <c r="E311" s="76"/>
      <c r="F311" s="76"/>
      <c r="G311" s="75">
        <f>SUM(O42:O310)</f>
        <v>63673.720000000016</v>
      </c>
      <c r="H311" s="75"/>
      <c r="I311" s="35"/>
      <c r="J311" s="75">
        <f>SUM(P42:P310)</f>
        <v>328515.88</v>
      </c>
      <c r="K311" s="75"/>
      <c r="L311" s="51">
        <f>SUM(Q42:Q310)</f>
        <v>204.487921</v>
      </c>
    </row>
    <row r="315" spans="1:32" ht="15">
      <c r="A315" s="76" t="str">
        <f>CONCATENATE("Итого по смете: ",IF(Source!G201&lt;&gt;"Новый объект", Source!G201, ""))</f>
        <v>Итого по смете: Ремонт выходов  ОВП 1 этаж ИП 2021</v>
      </c>
      <c r="B315" s="76"/>
      <c r="C315" s="76"/>
      <c r="D315" s="76"/>
      <c r="E315" s="76"/>
      <c r="F315" s="76"/>
      <c r="G315" s="75">
        <f>SUM(O1:O314)</f>
        <v>63673.720000000016</v>
      </c>
      <c r="H315" s="75"/>
      <c r="I315" s="35"/>
      <c r="J315" s="75">
        <f>SUM(P1:P314)</f>
        <v>328515.88</v>
      </c>
      <c r="K315" s="75"/>
      <c r="L315" s="51">
        <f>SUM(Q1:Q314)</f>
        <v>204.487921</v>
      </c>
      <c r="AF315" s="59" t="str">
        <f>CONCATENATE("Итого по смете: ",IF(Source!G201&lt;&gt;"Новый объект", Source!G201, ""))</f>
        <v>Итого по смете: Ремонт выходов  ОВП 1 этаж ИП 2021</v>
      </c>
    </row>
    <row r="317" spans="1:32" ht="14.25">
      <c r="C317" s="80" t="str">
        <f>Source!H230</f>
        <v>с НДС 20%</v>
      </c>
      <c r="D317" s="80"/>
      <c r="E317" s="80"/>
      <c r="F317" s="80"/>
      <c r="G317" s="80"/>
      <c r="H317" s="80"/>
      <c r="I317" s="80"/>
      <c r="J317" s="81">
        <f>IF(Source!F230=0, "", Source!F230)</f>
        <v>65703.179999999993</v>
      </c>
      <c r="K317" s="81"/>
    </row>
    <row r="318" spans="1:32" ht="14.25">
      <c r="C318" s="80" t="str">
        <f>Source!H231</f>
        <v>Всего с НДС 20%</v>
      </c>
      <c r="D318" s="80"/>
      <c r="E318" s="80"/>
      <c r="F318" s="80"/>
      <c r="G318" s="80"/>
      <c r="H318" s="80"/>
      <c r="I318" s="80"/>
      <c r="J318" s="81">
        <f>IF(Source!F231=0, "", Source!F231)</f>
        <v>394219.06</v>
      </c>
      <c r="K318" s="81"/>
    </row>
    <row r="321" spans="1:12" ht="14.25">
      <c r="A321" s="34" t="s">
        <v>663</v>
      </c>
      <c r="B321" s="34"/>
      <c r="C321" s="10" t="s">
        <v>664</v>
      </c>
      <c r="D321" s="33" t="str">
        <f>IF(Source!CP12&lt;&gt;"", Source!CP12," ")</f>
        <v xml:space="preserve"> </v>
      </c>
      <c r="E321" s="33"/>
      <c r="F321" s="33"/>
      <c r="G321" s="33"/>
      <c r="H321" s="33"/>
      <c r="I321" s="11" t="str">
        <f>IF(Source!CO12&lt;&gt;"", Source!CO12," ")</f>
        <v xml:space="preserve"> </v>
      </c>
      <c r="J321" s="10"/>
      <c r="K321" s="11"/>
      <c r="L321" s="11"/>
    </row>
    <row r="322" spans="1:12" ht="14.25">
      <c r="A322" s="11"/>
      <c r="B322" s="11"/>
      <c r="C322" s="10"/>
      <c r="D322" s="78" t="s">
        <v>665</v>
      </c>
      <c r="E322" s="78"/>
      <c r="F322" s="78"/>
      <c r="G322" s="78"/>
      <c r="H322" s="78"/>
      <c r="I322" s="11"/>
      <c r="J322" s="10"/>
      <c r="K322" s="11"/>
      <c r="L322" s="11"/>
    </row>
    <row r="323" spans="1:12" ht="14.25">
      <c r="A323" s="11"/>
      <c r="B323" s="11"/>
      <c r="C323" s="10"/>
      <c r="D323" s="11"/>
      <c r="E323" s="11"/>
      <c r="F323" s="11"/>
      <c r="G323" s="11"/>
      <c r="H323" s="11"/>
      <c r="I323" s="11"/>
      <c r="J323" s="10"/>
      <c r="K323" s="11"/>
      <c r="L323" s="11"/>
    </row>
    <row r="324" spans="1:12" ht="14.25">
      <c r="A324" s="34" t="s">
        <v>663</v>
      </c>
      <c r="B324" s="34"/>
      <c r="C324" s="10" t="s">
        <v>666</v>
      </c>
      <c r="D324" s="33" t="str">
        <f>IF(Source!AC12&lt;&gt;"", Source!AC12," ")</f>
        <v xml:space="preserve"> </v>
      </c>
      <c r="E324" s="33"/>
      <c r="F324" s="33"/>
      <c r="G324" s="33"/>
      <c r="H324" s="33"/>
      <c r="I324" s="11" t="str">
        <f>IF(Source!AB12&lt;&gt;"", Source!AB12," ")</f>
        <v xml:space="preserve"> </v>
      </c>
      <c r="J324" s="10"/>
      <c r="K324" s="11"/>
      <c r="L324" s="11"/>
    </row>
    <row r="325" spans="1:12" ht="14.25">
      <c r="A325" s="11"/>
      <c r="B325" s="11"/>
      <c r="C325" s="11"/>
      <c r="D325" s="78" t="s">
        <v>665</v>
      </c>
      <c r="E325" s="78"/>
      <c r="F325" s="78"/>
      <c r="G325" s="78"/>
      <c r="H325" s="78"/>
      <c r="I325" s="11"/>
      <c r="J325" s="11"/>
      <c r="K325" s="11"/>
      <c r="L325" s="11"/>
    </row>
    <row r="326" spans="1:12" ht="14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</row>
    <row r="327" spans="1:12" ht="14.25">
      <c r="A327" s="11"/>
      <c r="B327" s="11"/>
      <c r="C327" s="10" t="s">
        <v>667</v>
      </c>
      <c r="D327" s="33" t="str">
        <f>IF(Source!AE12&lt;&gt;"", Source!AE12," ")</f>
        <v xml:space="preserve"> </v>
      </c>
      <c r="E327" s="33"/>
      <c r="F327" s="33"/>
      <c r="G327" s="33"/>
      <c r="H327" s="33"/>
      <c r="I327" s="11" t="str">
        <f>IF(Source!AD12&lt;&gt;"", Source!AD12," ")</f>
        <v xml:space="preserve"> </v>
      </c>
      <c r="J327" s="10"/>
      <c r="K327" s="11"/>
      <c r="L327" s="11"/>
    </row>
    <row r="328" spans="1:12" ht="14.25">
      <c r="A328" s="11"/>
      <c r="B328" s="11"/>
      <c r="C328" s="11"/>
      <c r="D328" s="78" t="s">
        <v>665</v>
      </c>
      <c r="E328" s="78"/>
      <c r="F328" s="78"/>
      <c r="G328" s="78"/>
      <c r="H328" s="78"/>
      <c r="I328" s="11"/>
      <c r="J328" s="11"/>
      <c r="K328" s="11"/>
      <c r="L328" s="11"/>
    </row>
  </sheetData>
  <mergeCells count="167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317:I317"/>
    <mergeCell ref="J317:K317"/>
    <mergeCell ref="C318:I318"/>
    <mergeCell ref="J318:K318"/>
    <mergeCell ref="D322:H322"/>
    <mergeCell ref="F101:G101"/>
    <mergeCell ref="J96:K96"/>
    <mergeCell ref="G96:H96"/>
    <mergeCell ref="F93:G93"/>
    <mergeCell ref="D325:H325"/>
    <mergeCell ref="D328:H328"/>
    <mergeCell ref="F113:G113"/>
    <mergeCell ref="J106:K106"/>
    <mergeCell ref="G106:H106"/>
    <mergeCell ref="F102:G102"/>
    <mergeCell ref="J147:K147"/>
    <mergeCell ref="G147:H147"/>
    <mergeCell ref="F145:G145"/>
    <mergeCell ref="F144:G144"/>
    <mergeCell ref="J52:K52"/>
    <mergeCell ref="G52:H52"/>
    <mergeCell ref="A44:L44"/>
    <mergeCell ref="A42:L42"/>
    <mergeCell ref="F162:G162"/>
    <mergeCell ref="F161:G161"/>
    <mergeCell ref="J157:K157"/>
    <mergeCell ref="G157:H157"/>
    <mergeCell ref="F155:G155"/>
    <mergeCell ref="F154:G154"/>
    <mergeCell ref="G74:H74"/>
    <mergeCell ref="J74:K74"/>
    <mergeCell ref="A74:F74"/>
    <mergeCell ref="J72:K72"/>
    <mergeCell ref="G72:H72"/>
    <mergeCell ref="J62:K62"/>
    <mergeCell ref="G62:H62"/>
    <mergeCell ref="F92:G92"/>
    <mergeCell ref="J86:K86"/>
    <mergeCell ref="G86:H86"/>
    <mergeCell ref="F84:G84"/>
    <mergeCell ref="F83:G83"/>
    <mergeCell ref="A78:L78"/>
    <mergeCell ref="F125:G125"/>
    <mergeCell ref="F124:G124"/>
    <mergeCell ref="J117:K117"/>
    <mergeCell ref="G117:H117"/>
    <mergeCell ref="F114:G114"/>
    <mergeCell ref="F220:G220"/>
    <mergeCell ref="J213:K213"/>
    <mergeCell ref="G213:H213"/>
    <mergeCell ref="F211:G211"/>
    <mergeCell ref="F210:G210"/>
    <mergeCell ref="J137:K137"/>
    <mergeCell ref="G137:H137"/>
    <mergeCell ref="F135:G135"/>
    <mergeCell ref="F134:G134"/>
    <mergeCell ref="J127:K127"/>
    <mergeCell ref="G127:H127"/>
    <mergeCell ref="F172:G172"/>
    <mergeCell ref="F171:G171"/>
    <mergeCell ref="J164:K164"/>
    <mergeCell ref="G164:H164"/>
    <mergeCell ref="J273:K273"/>
    <mergeCell ref="G273:H273"/>
    <mergeCell ref="J271:K271"/>
    <mergeCell ref="G271:H271"/>
    <mergeCell ref="F269:G269"/>
    <mergeCell ref="F268:G268"/>
    <mergeCell ref="J187:K187"/>
    <mergeCell ref="G187:H187"/>
    <mergeCell ref="F183:G183"/>
    <mergeCell ref="F182:G182"/>
    <mergeCell ref="J175:K175"/>
    <mergeCell ref="G175:H175"/>
    <mergeCell ref="J203:K203"/>
    <mergeCell ref="G203:H203"/>
    <mergeCell ref="A193:L193"/>
    <mergeCell ref="G189:H189"/>
    <mergeCell ref="J189:K189"/>
    <mergeCell ref="A189:F189"/>
    <mergeCell ref="J223:K223"/>
    <mergeCell ref="G223:H223"/>
    <mergeCell ref="F221:G221"/>
    <mergeCell ref="G315:H315"/>
    <mergeCell ref="J315:K315"/>
    <mergeCell ref="A315:F315"/>
    <mergeCell ref="G311:H311"/>
    <mergeCell ref="J311:K311"/>
    <mergeCell ref="A311:F311"/>
    <mergeCell ref="G307:H307"/>
    <mergeCell ref="J240:K240"/>
    <mergeCell ref="G240:H240"/>
    <mergeCell ref="F237:G237"/>
    <mergeCell ref="F236:G236"/>
    <mergeCell ref="J231:K231"/>
    <mergeCell ref="G231:H231"/>
    <mergeCell ref="J261:K261"/>
    <mergeCell ref="G261:H261"/>
    <mergeCell ref="J251:K251"/>
    <mergeCell ref="G251:H251"/>
    <mergeCell ref="F248:G248"/>
    <mergeCell ref="F247:G247"/>
    <mergeCell ref="J283:K283"/>
    <mergeCell ref="G283:H283"/>
    <mergeCell ref="F301:G301"/>
    <mergeCell ref="F300:G300"/>
    <mergeCell ref="J293:K293"/>
    <mergeCell ref="G293:H293"/>
    <mergeCell ref="F291:G291"/>
    <mergeCell ref="F290:G290"/>
    <mergeCell ref="J307:K307"/>
    <mergeCell ref="A307:F307"/>
    <mergeCell ref="J305:K305"/>
    <mergeCell ref="G305:H305"/>
    <mergeCell ref="J303:K303"/>
    <mergeCell ref="G303:H303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8"/>
  <sheetViews>
    <sheetView tabSelected="1" zoomScaleNormal="100" workbookViewId="0"/>
  </sheetViews>
  <sheetFormatPr defaultRowHeight="12.75"/>
  <cols>
    <col min="1" max="1" width="6.7109375" customWidth="1"/>
    <col min="2" max="2" width="75.7109375" customWidth="1"/>
    <col min="3" max="5" width="15.7109375" customWidth="1"/>
    <col min="30" max="31" width="0" hidden="1" customWidth="1"/>
  </cols>
  <sheetData>
    <row r="1" spans="1:5" ht="14.25">
      <c r="A1" s="11"/>
      <c r="B1" s="11"/>
      <c r="C1" s="11"/>
      <c r="D1" s="11"/>
      <c r="E1" s="11"/>
    </row>
    <row r="2" spans="1:5" ht="15.75">
      <c r="A2" s="93" t="str">
        <f>CONCATENATE("Дефектный акт ", IF(Source!AN15&lt;&gt;"", Source!AN15," "))</f>
        <v xml:space="preserve">Дефектный акт  </v>
      </c>
      <c r="B2" s="93"/>
      <c r="C2" s="93"/>
      <c r="D2" s="93"/>
      <c r="E2" s="11"/>
    </row>
    <row r="3" spans="1:5" ht="15">
      <c r="A3" s="94" t="str">
        <f>CONCATENATE("На капитальный ремонт ", Source!G12)</f>
        <v>На капитальный ремонт Ремонт выходов  ОВП 1 этаж ИП 2021</v>
      </c>
      <c r="B3" s="94"/>
      <c r="C3" s="94"/>
      <c r="D3" s="94"/>
      <c r="E3" s="11"/>
    </row>
    <row r="4" spans="1:5" ht="14.25">
      <c r="A4" s="11"/>
      <c r="B4" s="11"/>
      <c r="C4" s="11"/>
      <c r="D4" s="11"/>
      <c r="E4" s="11"/>
    </row>
    <row r="5" spans="1:5" ht="15">
      <c r="A5" s="11"/>
      <c r="B5" s="60" t="s">
        <v>668</v>
      </c>
      <c r="C5" s="11"/>
      <c r="D5" s="11"/>
      <c r="E5" s="11"/>
    </row>
    <row r="6" spans="1:5" ht="15">
      <c r="A6" s="11"/>
      <c r="B6" s="60" t="s">
        <v>669</v>
      </c>
      <c r="C6" s="11"/>
      <c r="D6" s="11"/>
      <c r="E6" s="11"/>
    </row>
    <row r="7" spans="1:5" ht="15">
      <c r="A7" s="11"/>
      <c r="B7" s="60" t="s">
        <v>670</v>
      </c>
      <c r="C7" s="11"/>
      <c r="D7" s="11"/>
      <c r="E7" s="11"/>
    </row>
    <row r="8" spans="1:5" ht="28.5">
      <c r="A8" s="28" t="s">
        <v>628</v>
      </c>
      <c r="B8" s="28" t="s">
        <v>630</v>
      </c>
      <c r="C8" s="28" t="s">
        <v>671</v>
      </c>
      <c r="D8" s="28" t="s">
        <v>672</v>
      </c>
      <c r="E8" s="61" t="s">
        <v>673</v>
      </c>
    </row>
    <row r="9" spans="1:5" ht="14.25">
      <c r="A9" s="62">
        <v>1</v>
      </c>
      <c r="B9" s="62">
        <v>2</v>
      </c>
      <c r="C9" s="62">
        <v>3</v>
      </c>
      <c r="D9" s="62">
        <v>4</v>
      </c>
      <c r="E9" s="63">
        <v>5</v>
      </c>
    </row>
    <row r="10" spans="1:5" ht="16.5">
      <c r="A10" s="95" t="str">
        <f>CONCATENATE("Локальная смета: ", Source!G20)</f>
        <v>Локальная смета: Новая локальная смета</v>
      </c>
      <c r="B10" s="95"/>
      <c r="C10" s="95"/>
      <c r="D10" s="95"/>
      <c r="E10" s="95"/>
    </row>
    <row r="11" spans="1:5" ht="16.5">
      <c r="A11" s="95" t="str">
        <f>CONCATENATE("Раздел: ", Source!G24)</f>
        <v>Раздел: Демонтаж</v>
      </c>
      <c r="B11" s="95"/>
      <c r="C11" s="95"/>
      <c r="D11" s="95"/>
      <c r="E11" s="95"/>
    </row>
    <row r="12" spans="1:5" ht="42.75">
      <c r="A12" s="68" t="str">
        <f>Source!E28</f>
        <v>1</v>
      </c>
      <c r="B12" s="69" t="str">
        <f>Source!G28</f>
        <v>Снятие дверных полотен</v>
      </c>
      <c r="C12" s="70" t="str">
        <f>Source!H28</f>
        <v>100 м2 дверных полотен</v>
      </c>
      <c r="D12" s="71">
        <f>Source!I28</f>
        <v>6.4000000000000001E-2</v>
      </c>
      <c r="E12" s="69"/>
    </row>
    <row r="13" spans="1:5" ht="14.25">
      <c r="A13" s="68" t="str">
        <f>Source!E29</f>
        <v>1,1</v>
      </c>
      <c r="B13" s="69" t="str">
        <f>Source!G29</f>
        <v>Строительный мусор</v>
      </c>
      <c r="C13" s="70" t="str">
        <f>Source!H29</f>
        <v>т</v>
      </c>
      <c r="D13" s="71">
        <f>Source!I29</f>
        <v>7.5520000000000004E-2</v>
      </c>
      <c r="E13" s="69"/>
    </row>
    <row r="14" spans="1:5" ht="28.5">
      <c r="A14" s="68" t="str">
        <f>Source!E30</f>
        <v>2</v>
      </c>
      <c r="B14" s="69" t="str">
        <f>Source!G30</f>
        <v>Демонтаж дверных коробок в каменных стенах с отбивкой штукатурки в откосах</v>
      </c>
      <c r="C14" s="70" t="str">
        <f>Source!H30</f>
        <v>100 коробок</v>
      </c>
      <c r="D14" s="71">
        <f>Source!I30</f>
        <v>0.13</v>
      </c>
      <c r="E14" s="69"/>
    </row>
    <row r="15" spans="1:5" ht="14.25">
      <c r="A15" s="68" t="str">
        <f>Source!E31</f>
        <v>2,1</v>
      </c>
      <c r="B15" s="69" t="str">
        <f>Source!G31</f>
        <v>Строительный мусор</v>
      </c>
      <c r="C15" s="70" t="str">
        <f>Source!H31</f>
        <v>т</v>
      </c>
      <c r="D15" s="71">
        <f>Source!I31</f>
        <v>1.365</v>
      </c>
      <c r="E15" s="69"/>
    </row>
    <row r="16" spans="1:5" ht="28.5">
      <c r="A16" s="68" t="str">
        <f>Source!E32</f>
        <v>3</v>
      </c>
      <c r="B16" s="69" t="str">
        <f>Source!G32</f>
        <v>Разборка покрытий полов из керамических плиток</v>
      </c>
      <c r="C16" s="70" t="str">
        <f>Source!H32</f>
        <v>100 м2 покрытия</v>
      </c>
      <c r="D16" s="71">
        <f>Source!I32</f>
        <v>0.06</v>
      </c>
      <c r="E16" s="69"/>
    </row>
    <row r="17" spans="1:5" ht="14.25">
      <c r="A17" s="68" t="str">
        <f>Source!E33</f>
        <v>3,1</v>
      </c>
      <c r="B17" s="69" t="str">
        <f>Source!G33</f>
        <v>Строительный мусор</v>
      </c>
      <c r="C17" s="70" t="str">
        <f>Source!H33</f>
        <v>т</v>
      </c>
      <c r="D17" s="71">
        <f>Source!I33</f>
        <v>0.312</v>
      </c>
      <c r="E17" s="69"/>
    </row>
    <row r="18" spans="1:5" ht="16.5">
      <c r="A18" s="95" t="str">
        <f>CONCATENATE("Раздел: ", Source!G65)</f>
        <v>Раздел: Монтаж</v>
      </c>
      <c r="B18" s="95"/>
      <c r="C18" s="95"/>
      <c r="D18" s="95"/>
      <c r="E18" s="95"/>
    </row>
    <row r="19" spans="1:5" ht="42.75">
      <c r="A19" s="68" t="str">
        <f>Source!E69</f>
        <v>1</v>
      </c>
      <c r="B19" s="69" t="str">
        <f>Source!G69</f>
        <v>Устройство козырьков</v>
      </c>
      <c r="C19" s="70" t="str">
        <f>Source!H69</f>
        <v>1 м2 горизонтальной проекции</v>
      </c>
      <c r="D19" s="71">
        <f>Source!I69</f>
        <v>6.4</v>
      </c>
      <c r="E19" s="69"/>
    </row>
    <row r="20" spans="1:5" ht="28.5">
      <c r="A20" s="68" t="str">
        <f>Source!E70</f>
        <v>2</v>
      </c>
      <c r="B20" s="69" t="str">
        <f>Source!G70</f>
        <v>Монтаж кровельного покрытия из профилированного листа при высоте здания до 25 м</v>
      </c>
      <c r="C20" s="70" t="str">
        <f>Source!H70</f>
        <v>100 м2 покрытия</v>
      </c>
      <c r="D20" s="71">
        <f>Source!I70</f>
        <v>6.4000000000000001E-2</v>
      </c>
      <c r="E20" s="69"/>
    </row>
    <row r="21" spans="1:5" ht="14.25">
      <c r="A21" s="68" t="str">
        <f>Source!E71</f>
        <v>2,1</v>
      </c>
      <c r="B21" s="69" t="str">
        <f>Source!G71</f>
        <v>Профнастил оцинкованный С-21 0,4х1050x3000</v>
      </c>
      <c r="C21" s="70" t="str">
        <f>Source!H71</f>
        <v>шт.</v>
      </c>
      <c r="D21" s="71">
        <f>Source!I71</f>
        <v>2.8444440000000002</v>
      </c>
      <c r="E21" s="69"/>
    </row>
    <row r="22" spans="1:5" ht="14.25">
      <c r="A22" s="68" t="str">
        <f>Source!E72</f>
        <v>3</v>
      </c>
      <c r="B22" s="69" t="str">
        <f>Source!G72</f>
        <v>Установка металлических дверных блоков в готовые проемы</v>
      </c>
      <c r="C22" s="70" t="str">
        <f>Source!H72</f>
        <v>1 м2 проема</v>
      </c>
      <c r="D22" s="71">
        <f>Source!I72</f>
        <v>6.4</v>
      </c>
      <c r="E22" s="69"/>
    </row>
    <row r="23" spans="1:5" ht="28.5">
      <c r="A23" s="68" t="str">
        <f>Source!E73</f>
        <v>3,1</v>
      </c>
      <c r="B23" s="69" t="str">
        <f>Source!G73</f>
        <v>Дверь противопожарная металлическая однопольная ДПМ-01/30, размером 800х2100 мм</v>
      </c>
      <c r="C23" s="70" t="str">
        <f>Source!H73</f>
        <v>шт.</v>
      </c>
      <c r="D23" s="71">
        <f>Source!I73</f>
        <v>2</v>
      </c>
      <c r="E23" s="69"/>
    </row>
    <row r="24" spans="1:5" ht="28.5">
      <c r="A24" s="68" t="str">
        <f>Source!E74</f>
        <v>3,2</v>
      </c>
      <c r="B24" s="69" t="str">
        <f>Source!G74</f>
        <v>Дверь противопожарная металлическая остекленная двупольная ДПМО-02/30, размером 1300х2100 мм</v>
      </c>
      <c r="C24" s="70" t="str">
        <f>Source!H74</f>
        <v>шт.</v>
      </c>
      <c r="D24" s="71">
        <f>Source!I74</f>
        <v>2</v>
      </c>
      <c r="E24" s="69"/>
    </row>
    <row r="25" spans="1:5" ht="28.5">
      <c r="A25" s="68" t="str">
        <f>Source!E75</f>
        <v>4</v>
      </c>
      <c r="B25" s="69" t="str">
        <f>Source!G75</f>
        <v>Установка блоков в наружных и внутренних дверных проемах в каменных стенах, площадь проема до 3 м2</v>
      </c>
      <c r="C25" s="70" t="str">
        <f>Source!H75</f>
        <v>100 м2 проемов</v>
      </c>
      <c r="D25" s="71">
        <f>Source!I75</f>
        <v>0.06</v>
      </c>
      <c r="E25" s="69"/>
    </row>
    <row r="26" spans="1:5" ht="28.5">
      <c r="A26" s="68" t="str">
        <f>Source!E76</f>
        <v>4,1</v>
      </c>
      <c r="B26" s="69" t="str">
        <f>Source!G76</f>
        <v>Дверь балконная пластиковая, поворотно-откидная, с двухкамерным стеклопакетом (32 мм), площадью более 1,5 м2</v>
      </c>
      <c r="C26" s="70" t="str">
        <f>Source!H76</f>
        <v>м2</v>
      </c>
      <c r="D26" s="71">
        <f>Source!I76</f>
        <v>6</v>
      </c>
      <c r="E26" s="69"/>
    </row>
    <row r="27" spans="1:5" ht="57">
      <c r="A27" s="68" t="str">
        <f>Source!E77</f>
        <v>5</v>
      </c>
      <c r="B27" s="69" t="str">
        <f>Source!G77</f>
        <v>Штукатурка поверхностей оконных и дверных откосов по бетону и камню плоских</v>
      </c>
      <c r="C27" s="70" t="str">
        <f>Source!H77</f>
        <v>100 м2 оштукатуриваемой поверхности</v>
      </c>
      <c r="D27" s="71">
        <f>Source!I77</f>
        <v>0.13</v>
      </c>
      <c r="E27" s="69"/>
    </row>
    <row r="28" spans="1:5" ht="42.75">
      <c r="A28" s="68" t="str">
        <f>Source!E78</f>
        <v>6</v>
      </c>
      <c r="B28" s="69" t="str">
        <f>Source!G78</f>
        <v>Окраска поливинилацетатными водоэмульсионными составами улучшенная по штукатурке стен</v>
      </c>
      <c r="C28" s="70" t="str">
        <f>Source!H78</f>
        <v>100 м2 окрашиваемой поверхности</v>
      </c>
      <c r="D28" s="71">
        <f>Source!I78</f>
        <v>0.13</v>
      </c>
      <c r="E28" s="69"/>
    </row>
    <row r="29" spans="1:5" ht="28.5">
      <c r="A29" s="68" t="str">
        <f>Source!E79</f>
        <v>8</v>
      </c>
      <c r="B29" s="69" t="str">
        <f>Source!G79</f>
        <v>Устройство стяжек на каждые 5 мм изменения толщины стяжки добавлять или исключать к расценке 11-01-011-01</v>
      </c>
      <c r="C29" s="70" t="str">
        <f>Source!H79</f>
        <v>100 м2 стяжки</v>
      </c>
      <c r="D29" s="71">
        <f>Source!I79</f>
        <v>0.06</v>
      </c>
      <c r="E29" s="69"/>
    </row>
    <row r="30" spans="1:5" ht="28.5">
      <c r="A30" s="68" t="str">
        <f>Source!E80</f>
        <v>10</v>
      </c>
      <c r="B30" s="69" t="str">
        <f>Source!G80</f>
        <v>Устройство покрытий из плит керамогранитных размером 40х40 см</v>
      </c>
      <c r="C30" s="70" t="str">
        <f>Source!H80</f>
        <v>100 м2 покрытия</v>
      </c>
      <c r="D30" s="71">
        <f>Source!I80</f>
        <v>0.06</v>
      </c>
      <c r="E30" s="69"/>
    </row>
    <row r="31" spans="1:5" ht="28.5">
      <c r="A31" s="68" t="str">
        <f>Source!E81</f>
        <v>11</v>
      </c>
      <c r="B31" s="69" t="str">
        <f>Source!G81</f>
        <v>Разработка грунта вручную в траншеях глубиной до 2 м без креплений с откосами, группа грунтов 2</v>
      </c>
      <c r="C31" s="70" t="str">
        <f>Source!H81</f>
        <v>100 м3 грунта</v>
      </c>
      <c r="D31" s="71">
        <f>Source!I81</f>
        <v>1.9E-2</v>
      </c>
      <c r="E31" s="69"/>
    </row>
    <row r="32" spans="1:5" ht="57">
      <c r="A32" s="68" t="str">
        <f>Source!E82</f>
        <v>13</v>
      </c>
      <c r="B32" s="69" t="str">
        <f>Source!G82</f>
        <v>Устройство подстилающих и выравнивающих слоев оснований из песка</v>
      </c>
      <c r="C32" s="70" t="str">
        <f>Source!H82</f>
        <v>100 м3 материала основания (в плотном теле)</v>
      </c>
      <c r="D32" s="71">
        <f>Source!I82</f>
        <v>0.03</v>
      </c>
      <c r="E32" s="69"/>
    </row>
    <row r="33" spans="1:5" ht="14.25">
      <c r="A33" s="68" t="str">
        <f>Source!E83</f>
        <v>13,2</v>
      </c>
      <c r="B33" s="69" t="str">
        <f>Source!G83</f>
        <v>Песок для строительных работ природный 50%; обогащенный 50%</v>
      </c>
      <c r="C33" s="70" t="str">
        <f>Source!H83</f>
        <v>м3</v>
      </c>
      <c r="D33" s="71">
        <f>Source!I83</f>
        <v>0.03</v>
      </c>
      <c r="E33" s="69"/>
    </row>
    <row r="34" spans="1:5" ht="28.5">
      <c r="A34" s="68" t="str">
        <f>Source!E84</f>
        <v>14</v>
      </c>
      <c r="B34" s="69" t="str">
        <f>Source!G84</f>
        <v>Устройство бетонных плитных тротуаров с заполнением швов песком</v>
      </c>
      <c r="C34" s="70" t="str">
        <f>Source!H84</f>
        <v>100 м2 тротуара</v>
      </c>
      <c r="D34" s="71">
        <f>Source!I84</f>
        <v>0.22</v>
      </c>
      <c r="E34" s="69"/>
    </row>
    <row r="35" spans="1:5" ht="14.25">
      <c r="A35" s="68" t="str">
        <f>Source!E85</f>
        <v>14,1</v>
      </c>
      <c r="B35" s="69" t="str">
        <f>Source!G85</f>
        <v>Смесь пескоцементная с содержанием цемента до 67 %</v>
      </c>
      <c r="C35" s="70" t="str">
        <f>Source!H85</f>
        <v>м3</v>
      </c>
      <c r="D35" s="71">
        <f>Source!I85</f>
        <v>1.1000000000000001</v>
      </c>
      <c r="E35" s="69"/>
    </row>
    <row r="36" spans="1:5" ht="14.25">
      <c r="A36" s="68" t="str">
        <f>Source!E86</f>
        <v>14,2</v>
      </c>
      <c r="B36" s="69" t="str">
        <f>Source!G86</f>
        <v>Смесь пескоцементная</v>
      </c>
      <c r="C36" s="70" t="str">
        <f>Source!H86</f>
        <v>м3</v>
      </c>
      <c r="D36" s="71">
        <f>Source!I86</f>
        <v>1.1000000000000001</v>
      </c>
      <c r="E36" s="69"/>
    </row>
    <row r="37" spans="1:5" ht="16.5">
      <c r="A37" s="95" t="str">
        <f>CONCATENATE("Раздел: ", Source!G118)</f>
        <v>Раздел: Крыльцо ОВП с торца</v>
      </c>
      <c r="B37" s="95"/>
      <c r="C37" s="95"/>
      <c r="D37" s="95"/>
      <c r="E37" s="95"/>
    </row>
    <row r="38" spans="1:5" ht="28.5">
      <c r="A38" s="68" t="str">
        <f>Source!E122</f>
        <v>1</v>
      </c>
      <c r="B38" s="69" t="str">
        <f>Source!G122</f>
        <v>Разборка покрытий полов из керамических плиток</v>
      </c>
      <c r="C38" s="70" t="str">
        <f>Source!H122</f>
        <v>100 м2 покрытия</v>
      </c>
      <c r="D38" s="71">
        <f>Source!I122</f>
        <v>3.2000000000000001E-2</v>
      </c>
      <c r="E38" s="69"/>
    </row>
    <row r="39" spans="1:5" ht="14.25">
      <c r="A39" s="68" t="str">
        <f>Source!E123</f>
        <v>1,1</v>
      </c>
      <c r="B39" s="69" t="str">
        <f>Source!G123</f>
        <v>Строительный мусор</v>
      </c>
      <c r="C39" s="70" t="str">
        <f>Source!H123</f>
        <v>т</v>
      </c>
      <c r="D39" s="71">
        <f>Source!I123</f>
        <v>0.16639999999999999</v>
      </c>
      <c r="E39" s="69"/>
    </row>
    <row r="40" spans="1:5" ht="28.5">
      <c r="A40" s="68" t="str">
        <f>Source!E124</f>
        <v>2</v>
      </c>
      <c r="B40" s="69" t="str">
        <f>Source!G124</f>
        <v>Устройство стяжек на каждые 5 мм изменения толщины стяжки добавлять или исключать к расценке 11-01-011-01</v>
      </c>
      <c r="C40" s="70" t="str">
        <f>Source!H124</f>
        <v>100 м2 стяжки</v>
      </c>
      <c r="D40" s="71">
        <f>Source!I124</f>
        <v>3.2000000000000001E-2</v>
      </c>
      <c r="E40" s="69"/>
    </row>
    <row r="41" spans="1:5" ht="14.25">
      <c r="A41" s="68" t="str">
        <f>Source!E125</f>
        <v>3</v>
      </c>
      <c r="B41" s="69" t="str">
        <f>Source!G125</f>
        <v>Устройство покрытий из керамогранитных плиток размером 30х30 см</v>
      </c>
      <c r="C41" s="70" t="str">
        <f>Source!H125</f>
        <v>100 м2</v>
      </c>
      <c r="D41" s="71">
        <f>Source!I125</f>
        <v>3.2000000000000001E-2</v>
      </c>
      <c r="E41" s="69"/>
    </row>
    <row r="42" spans="1:5" ht="42.75">
      <c r="A42" s="68" t="str">
        <f>Source!E126</f>
        <v>4</v>
      </c>
      <c r="B42" s="69" t="str">
        <f>Source!G126</f>
        <v>Снятие дверных полотен</v>
      </c>
      <c r="C42" s="70" t="str">
        <f>Source!H126</f>
        <v>100 м2 дверных полотен</v>
      </c>
      <c r="D42" s="71">
        <f>Source!I126</f>
        <v>3.9E-2</v>
      </c>
      <c r="E42" s="69"/>
    </row>
    <row r="43" spans="1:5" ht="14.25">
      <c r="A43" s="68" t="str">
        <f>Source!E127</f>
        <v>4,1</v>
      </c>
      <c r="B43" s="69" t="str">
        <f>Source!G127</f>
        <v>Строительный мусор</v>
      </c>
      <c r="C43" s="70" t="str">
        <f>Source!H127</f>
        <v>т</v>
      </c>
      <c r="D43" s="71">
        <f>Source!I127</f>
        <v>4.6019999999999998E-2</v>
      </c>
      <c r="E43" s="69"/>
    </row>
    <row r="44" spans="1:5" ht="14.25">
      <c r="A44" s="68" t="str">
        <f>Source!E128</f>
        <v>5</v>
      </c>
      <c r="B44" s="69" t="str">
        <f>Source!G128</f>
        <v>Установка металлических дверных блоков в готовые проемы</v>
      </c>
      <c r="C44" s="70" t="str">
        <f>Source!H128</f>
        <v>1 м2 проема</v>
      </c>
      <c r="D44" s="71">
        <f>Source!I128</f>
        <v>2.1</v>
      </c>
      <c r="E44" s="69"/>
    </row>
    <row r="45" spans="1:5" ht="28.5">
      <c r="A45" s="68" t="str">
        <f>Source!E129</f>
        <v>5,1</v>
      </c>
      <c r="B45" s="69" t="str">
        <f>Source!G129</f>
        <v>Дверь противопожарная металлическая однопольная ДПМ-01/30, размером 900х2100 мм</v>
      </c>
      <c r="C45" s="70" t="str">
        <f>Source!H129</f>
        <v>шт.</v>
      </c>
      <c r="D45" s="71">
        <f>Source!I129</f>
        <v>1</v>
      </c>
      <c r="E45" s="69"/>
    </row>
    <row r="46" spans="1:5" ht="28.5">
      <c r="A46" s="68" t="str">
        <f>Source!E130</f>
        <v>6</v>
      </c>
      <c r="B46" s="69" t="str">
        <f>Source!G130</f>
        <v>Установка блоков в наружных и внутренних дверных проемах в каменных стенах, площадь проема до 3 м2</v>
      </c>
      <c r="C46" s="70" t="str">
        <f>Source!H130</f>
        <v>100 м2 проемов</v>
      </c>
      <c r="D46" s="71">
        <f>Source!I130</f>
        <v>1.7999999999999999E-2</v>
      </c>
      <c r="E46" s="69"/>
    </row>
    <row r="47" spans="1:5" ht="28.5">
      <c r="A47" s="68" t="str">
        <f>Source!E131</f>
        <v>6,1</v>
      </c>
      <c r="B47" s="69" t="str">
        <f>Source!G131</f>
        <v>Дверь балконная пластиковая, поворотно-откидная, с двухкамерным стеклопакетом (32 мм), площадью более 1,5 м2</v>
      </c>
      <c r="C47" s="70" t="str">
        <f>Source!H131</f>
        <v>м2</v>
      </c>
      <c r="D47" s="71">
        <f>Source!I131</f>
        <v>1.8</v>
      </c>
      <c r="E47" s="69"/>
    </row>
    <row r="48" spans="1:5" ht="28.5">
      <c r="A48" s="68" t="str">
        <f>Source!E132</f>
        <v>7</v>
      </c>
      <c r="B48" s="69" t="str">
        <f>Source!G132</f>
        <v>Разборка металлических лестничных решеток при весе одного метра решетки до 60 кг</v>
      </c>
      <c r="C48" s="70" t="str">
        <f>Source!H132</f>
        <v>100 м решетки</v>
      </c>
      <c r="D48" s="71">
        <f>Source!I132</f>
        <v>7.0000000000000007E-2</v>
      </c>
      <c r="E48" s="69"/>
    </row>
    <row r="49" spans="1:5" ht="14.25">
      <c r="A49" s="68" t="str">
        <f>Source!E133</f>
        <v>7,1</v>
      </c>
      <c r="B49" s="69" t="str">
        <f>Source!G133</f>
        <v>Строительный мусор</v>
      </c>
      <c r="C49" s="70" t="str">
        <f>Source!H133</f>
        <v>т</v>
      </c>
      <c r="D49" s="71">
        <f>Source!I133</f>
        <v>0.17499999999999999</v>
      </c>
      <c r="E49" s="69"/>
    </row>
    <row r="50" spans="1:5" ht="14.25">
      <c r="A50" s="68" t="str">
        <f>Source!E134</f>
        <v>8</v>
      </c>
      <c r="B50" s="69" t="str">
        <f>Source!G134</f>
        <v>Ограждение лестничных площадок перилами</v>
      </c>
      <c r="C50" s="70" t="str">
        <f>Source!H134</f>
        <v>100 м перил</v>
      </c>
      <c r="D50" s="71">
        <f>Source!I134</f>
        <v>7.0000000000000007E-2</v>
      </c>
      <c r="E50" s="69"/>
    </row>
    <row r="51" spans="1:5" ht="28.5">
      <c r="A51" s="68" t="str">
        <f>Source!E135</f>
        <v>9</v>
      </c>
      <c r="B51" s="69" t="str">
        <f>Source!G135</f>
        <v>Ограждения лестничных проемов, лестничные марши, пожарные лестницы</v>
      </c>
      <c r="C51" s="70" t="str">
        <f>Source!H135</f>
        <v>т</v>
      </c>
      <c r="D51" s="71">
        <f>Source!I135</f>
        <v>7.0000000000000007E-2</v>
      </c>
      <c r="E51" s="69"/>
    </row>
    <row r="52" spans="1:5" ht="14.25">
      <c r="A52" s="68" t="str">
        <f>Source!E136</f>
        <v>10</v>
      </c>
      <c r="B52" s="69" t="str">
        <f>Source!G136</f>
        <v>Ремонт ступеней бетонных</v>
      </c>
      <c r="C52" s="70" t="str">
        <f>Source!H136</f>
        <v>100 ступеней</v>
      </c>
      <c r="D52" s="71">
        <f>Source!I136</f>
        <v>3.2000000000000001E-2</v>
      </c>
      <c r="E52" s="69"/>
    </row>
    <row r="53" spans="1:5" ht="42.75">
      <c r="A53" s="68" t="str">
        <f>Source!E137</f>
        <v>11</v>
      </c>
      <c r="B53" s="69" t="str">
        <f>Source!G137</f>
        <v>Облицовка ступеней керамогранитными плитками толщиной до 15 мм</v>
      </c>
      <c r="C53" s="70" t="str">
        <f>Source!H137</f>
        <v>100 м2 поверхности облицовки</v>
      </c>
      <c r="D53" s="71">
        <f>Source!I137</f>
        <v>3.2000000000000001E-2</v>
      </c>
      <c r="E53" s="69"/>
    </row>
    <row r="54" spans="1:5" ht="28.5">
      <c r="A54" s="68" t="str">
        <f>Source!E138</f>
        <v>13</v>
      </c>
      <c r="B54" s="69" t="str">
        <f>Source!G138</f>
        <v>Монтаж кровельного покрытия из профилированного листа при высоте здания до 25 м</v>
      </c>
      <c r="C54" s="70" t="str">
        <f>Source!H138</f>
        <v>100 м2 покрытия</v>
      </c>
      <c r="D54" s="71">
        <f>Source!I138</f>
        <v>1.4999999999999999E-2</v>
      </c>
      <c r="E54" s="69"/>
    </row>
    <row r="55" spans="1:5" ht="14.25">
      <c r="A55" s="64" t="str">
        <f>Source!E139</f>
        <v>14</v>
      </c>
      <c r="B55" s="65" t="str">
        <f>Source!G139</f>
        <v>профнастил оцинкованный С 21  0,4х1050х3000</v>
      </c>
      <c r="C55" s="66" t="str">
        <f>Source!H139</f>
        <v/>
      </c>
      <c r="D55" s="67">
        <f>Source!I139</f>
        <v>1.5</v>
      </c>
      <c r="E55" s="65"/>
    </row>
    <row r="58" spans="1:5" ht="15">
      <c r="A58" s="35" t="s">
        <v>674</v>
      </c>
      <c r="B58" s="35"/>
      <c r="C58" s="35" t="s">
        <v>675</v>
      </c>
      <c r="D58" s="35"/>
      <c r="E58" s="35"/>
    </row>
  </sheetData>
  <mergeCells count="6">
    <mergeCell ref="A37:E37"/>
    <mergeCell ref="A2:D2"/>
    <mergeCell ref="A3:D3"/>
    <mergeCell ref="A10:E10"/>
    <mergeCell ref="A11:E11"/>
    <mergeCell ref="A18:E18"/>
  </mergeCells>
  <pageMargins left="0.4" right="0.2" top="0.2" bottom="0.4" header="0.2" footer="0.2"/>
  <pageSetup paperSize="9" scale="75" fitToHeight="0" orientation="portrait" horizontalDpi="360" verticalDpi="36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268"/>
  <sheetViews>
    <sheetView workbookViewId="0">
      <selection activeCell="A264" sqref="A264:AN264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262</v>
      </c>
      <c r="C12" s="1">
        <v>0</v>
      </c>
      <c r="D12" s="1">
        <f>ROW(A201)</f>
        <v>201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B201</f>
        <v>262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выходов  ОВП 1 этаж ИП 2021</v>
      </c>
      <c r="H18" s="2"/>
      <c r="I18" s="2"/>
      <c r="J18" s="2"/>
      <c r="K18" s="2"/>
      <c r="L18" s="2"/>
      <c r="M18" s="2"/>
      <c r="N18" s="2"/>
      <c r="O18" s="2">
        <f t="shared" ref="O18:AT18" si="1">O201</f>
        <v>232924.62</v>
      </c>
      <c r="P18" s="2">
        <f t="shared" si="1"/>
        <v>166714.28</v>
      </c>
      <c r="Q18" s="2">
        <f t="shared" si="1"/>
        <v>6000.95</v>
      </c>
      <c r="R18" s="2">
        <f t="shared" si="1"/>
        <v>1416.67</v>
      </c>
      <c r="S18" s="2">
        <f t="shared" si="1"/>
        <v>60209.39</v>
      </c>
      <c r="T18" s="2">
        <f t="shared" si="1"/>
        <v>0</v>
      </c>
      <c r="U18" s="2">
        <f t="shared" si="1"/>
        <v>204.48792099999997</v>
      </c>
      <c r="V18" s="2">
        <f t="shared" si="1"/>
        <v>3.4039374999999996</v>
      </c>
      <c r="W18" s="2">
        <f t="shared" si="1"/>
        <v>2282.56</v>
      </c>
      <c r="X18" s="2">
        <f t="shared" si="1"/>
        <v>59402.11</v>
      </c>
      <c r="Y18" s="2">
        <f t="shared" si="1"/>
        <v>36189.15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328515.88</v>
      </c>
      <c r="AS18" s="2">
        <f t="shared" si="1"/>
        <v>327490.88</v>
      </c>
      <c r="AT18" s="2">
        <f t="shared" si="1"/>
        <v>0</v>
      </c>
      <c r="AU18" s="2">
        <f t="shared" ref="AU18:BZ18" si="2">AU201</f>
        <v>1025</v>
      </c>
      <c r="AV18" s="2">
        <f t="shared" si="2"/>
        <v>166714.28</v>
      </c>
      <c r="AW18" s="2">
        <f t="shared" si="2"/>
        <v>166714.28</v>
      </c>
      <c r="AX18" s="2">
        <f t="shared" si="2"/>
        <v>0</v>
      </c>
      <c r="AY18" s="2">
        <f t="shared" si="2"/>
        <v>166714.28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CA201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DG201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EM201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FS201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ROW(A171)</f>
        <v>171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B171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O171</f>
        <v>232924.62</v>
      </c>
      <c r="P22" s="2">
        <f t="shared" si="8"/>
        <v>166714.28</v>
      </c>
      <c r="Q22" s="2">
        <f t="shared" si="8"/>
        <v>6000.95</v>
      </c>
      <c r="R22" s="2">
        <f t="shared" si="8"/>
        <v>1416.67</v>
      </c>
      <c r="S22" s="2">
        <f t="shared" si="8"/>
        <v>60209.39</v>
      </c>
      <c r="T22" s="2">
        <f t="shared" si="8"/>
        <v>0</v>
      </c>
      <c r="U22" s="2">
        <f t="shared" si="8"/>
        <v>204.48792099999997</v>
      </c>
      <c r="V22" s="2">
        <f t="shared" si="8"/>
        <v>3.4039374999999996</v>
      </c>
      <c r="W22" s="2">
        <f t="shared" si="8"/>
        <v>2282.56</v>
      </c>
      <c r="X22" s="2">
        <f t="shared" si="8"/>
        <v>59402.11</v>
      </c>
      <c r="Y22" s="2">
        <f t="shared" si="8"/>
        <v>36189.15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328515.88</v>
      </c>
      <c r="AS22" s="2">
        <f t="shared" si="8"/>
        <v>327490.88</v>
      </c>
      <c r="AT22" s="2">
        <f t="shared" si="8"/>
        <v>0</v>
      </c>
      <c r="AU22" s="2">
        <f t="shared" ref="AU22:BZ22" si="9">AU171</f>
        <v>1025</v>
      </c>
      <c r="AV22" s="2">
        <f t="shared" si="9"/>
        <v>166714.28</v>
      </c>
      <c r="AW22" s="2">
        <f t="shared" si="9"/>
        <v>166714.28</v>
      </c>
      <c r="AX22" s="2">
        <f t="shared" si="9"/>
        <v>0</v>
      </c>
      <c r="AY22" s="2">
        <f t="shared" si="9"/>
        <v>166714.28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CA171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DG171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EM171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FS171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ROW(A35)</f>
        <v>35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B35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O35</f>
        <v>8293.26</v>
      </c>
      <c r="P26" s="2">
        <f t="shared" si="15"/>
        <v>0</v>
      </c>
      <c r="Q26" s="2">
        <f t="shared" si="15"/>
        <v>323.79000000000002</v>
      </c>
      <c r="R26" s="2">
        <f t="shared" si="15"/>
        <v>210.15</v>
      </c>
      <c r="S26" s="2">
        <f t="shared" si="15"/>
        <v>7969.47</v>
      </c>
      <c r="T26" s="2">
        <f t="shared" si="15"/>
        <v>0</v>
      </c>
      <c r="U26" s="2">
        <f t="shared" si="15"/>
        <v>29.823119999999999</v>
      </c>
      <c r="V26" s="2">
        <f t="shared" si="15"/>
        <v>0.60250000000000004</v>
      </c>
      <c r="W26" s="2">
        <f t="shared" si="15"/>
        <v>0</v>
      </c>
      <c r="X26" s="2">
        <f t="shared" si="15"/>
        <v>6682.88</v>
      </c>
      <c r="Y26" s="2">
        <f t="shared" si="15"/>
        <v>5144.59</v>
      </c>
      <c r="Z26" s="2">
        <f t="shared" si="15"/>
        <v>0</v>
      </c>
      <c r="AA26" s="2">
        <f t="shared" si="15"/>
        <v>0</v>
      </c>
      <c r="AB26" s="2">
        <f t="shared" si="15"/>
        <v>8293.26</v>
      </c>
      <c r="AC26" s="2">
        <f t="shared" si="15"/>
        <v>0</v>
      </c>
      <c r="AD26" s="2">
        <f t="shared" si="15"/>
        <v>323.79000000000002</v>
      </c>
      <c r="AE26" s="2">
        <f t="shared" si="15"/>
        <v>210.15</v>
      </c>
      <c r="AF26" s="2">
        <f t="shared" si="15"/>
        <v>7969.47</v>
      </c>
      <c r="AG26" s="2">
        <f t="shared" si="15"/>
        <v>0</v>
      </c>
      <c r="AH26" s="2">
        <f t="shared" si="15"/>
        <v>29.823119999999999</v>
      </c>
      <c r="AI26" s="2">
        <f t="shared" si="15"/>
        <v>0.60250000000000004</v>
      </c>
      <c r="AJ26" s="2">
        <f t="shared" si="15"/>
        <v>0</v>
      </c>
      <c r="AK26" s="2">
        <f t="shared" si="15"/>
        <v>6682.88</v>
      </c>
      <c r="AL26" s="2">
        <f t="shared" si="15"/>
        <v>5144.59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20120.73</v>
      </c>
      <c r="AS26" s="2">
        <f t="shared" si="15"/>
        <v>20120.73</v>
      </c>
      <c r="AT26" s="2">
        <f t="shared" si="15"/>
        <v>0</v>
      </c>
      <c r="AU26" s="2">
        <f t="shared" ref="AU26:BZ26" si="16">AU35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CA35</f>
        <v>20120.73</v>
      </c>
      <c r="CB26" s="2">
        <f t="shared" si="17"/>
        <v>20120.73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DG35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EM35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FS35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ROW(SmtRes!A2)</f>
        <v>2</v>
      </c>
      <c r="D28">
        <f>ROW(EtalonRes!A2)</f>
        <v>2</v>
      </c>
      <c r="E28" t="s">
        <v>15</v>
      </c>
      <c r="F28" t="s">
        <v>16</v>
      </c>
      <c r="G28" t="s">
        <v>17</v>
      </c>
      <c r="H28" t="s">
        <v>18</v>
      </c>
      <c r="I28">
        <f>ROUND(6.4/100,9)</f>
        <v>6.4000000000000001E-2</v>
      </c>
      <c r="J28">
        <v>0</v>
      </c>
      <c r="K28">
        <f>ROUND(6.4/100,9)</f>
        <v>6.4000000000000001E-2</v>
      </c>
      <c r="O28">
        <f t="shared" ref="O28:O33" si="21">ROUND(CP28,2)</f>
        <v>609.29999999999995</v>
      </c>
      <c r="P28">
        <f t="shared" ref="P28:P33" si="22">ROUND(CQ28*I28,2)</f>
        <v>0</v>
      </c>
      <c r="Q28">
        <f t="shared" ref="Q28:Q33" si="23">ROUND(CR28*I28,2)</f>
        <v>0</v>
      </c>
      <c r="R28">
        <f t="shared" ref="R28:R33" si="24">ROUND(CS28*I28,2)</f>
        <v>0</v>
      </c>
      <c r="S28">
        <f t="shared" ref="S28:S33" si="25">ROUND(CT28*I28,2)</f>
        <v>609.29999999999995</v>
      </c>
      <c r="T28">
        <f t="shared" ref="T28:T33" si="26">ROUND(CU28*I28,2)</f>
        <v>0</v>
      </c>
      <c r="U28">
        <f t="shared" ref="U28:U33" si="27">CV28*I28</f>
        <v>2.32192</v>
      </c>
      <c r="V28">
        <f t="shared" ref="V28:V33" si="28">CW28*I28</f>
        <v>0</v>
      </c>
      <c r="W28">
        <f t="shared" ref="W28:W33" si="29">ROUND(CX28*I28,2)</f>
        <v>0</v>
      </c>
      <c r="X28">
        <f t="shared" ref="X28:Y33" si="30">ROUND(CY28,2)</f>
        <v>499.63</v>
      </c>
      <c r="Y28">
        <f t="shared" si="30"/>
        <v>377.77</v>
      </c>
      <c r="AA28">
        <v>34132744</v>
      </c>
      <c r="AB28">
        <f t="shared" ref="AB28:AB33" si="31">ROUND((AC28+AD28+AF28),6)</f>
        <v>288.06</v>
      </c>
      <c r="AC28">
        <f t="shared" ref="AC28:AC33" si="32">ROUND((ES28),6)</f>
        <v>0</v>
      </c>
      <c r="AD28">
        <f t="shared" ref="AD28:AD33" si="33">ROUND((((ET28)-(EU28))+AE28),6)</f>
        <v>0</v>
      </c>
      <c r="AE28">
        <f t="shared" ref="AE28:AF33" si="34">ROUND((EU28),6)</f>
        <v>0</v>
      </c>
      <c r="AF28">
        <f t="shared" si="34"/>
        <v>288.06</v>
      </c>
      <c r="AG28">
        <f t="shared" ref="AG28:AG33" si="35">ROUND((AP28),6)</f>
        <v>0</v>
      </c>
      <c r="AH28">
        <f t="shared" ref="AH28:AI33" si="36">(EW28)</f>
        <v>36.28</v>
      </c>
      <c r="AI28">
        <f t="shared" si="36"/>
        <v>0</v>
      </c>
      <c r="AJ28">
        <f t="shared" ref="AJ28:AJ33" si="37">(AS28)</f>
        <v>0</v>
      </c>
      <c r="AK28">
        <v>288.06</v>
      </c>
      <c r="AL28">
        <v>0</v>
      </c>
      <c r="AM28">
        <v>0</v>
      </c>
      <c r="AN28">
        <v>0</v>
      </c>
      <c r="AO28">
        <v>288.06</v>
      </c>
      <c r="AP28">
        <v>0</v>
      </c>
      <c r="AQ28">
        <v>36.28</v>
      </c>
      <c r="AR28">
        <v>0</v>
      </c>
      <c r="AS28">
        <v>0</v>
      </c>
      <c r="AT28">
        <v>82</v>
      </c>
      <c r="AU28">
        <v>62</v>
      </c>
      <c r="AV28">
        <v>1</v>
      </c>
      <c r="AW28">
        <v>1</v>
      </c>
      <c r="AZ28">
        <v>1</v>
      </c>
      <c r="BA28">
        <v>33.049999999999997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56001</v>
      </c>
      <c r="BN28">
        <v>0</v>
      </c>
      <c r="BO28" t="s">
        <v>16</v>
      </c>
      <c r="BP28">
        <v>1</v>
      </c>
      <c r="BQ28">
        <v>6</v>
      </c>
      <c r="BR28">
        <v>0</v>
      </c>
      <c r="BS28">
        <v>33.049999999999997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82</v>
      </c>
      <c r="CA28">
        <v>62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3" si="38">(P28+Q28+S28)</f>
        <v>609.29999999999995</v>
      </c>
      <c r="CQ28">
        <f t="shared" ref="CQ28:CQ33" si="39">AC28*BC28</f>
        <v>0</v>
      </c>
      <c r="CR28">
        <f t="shared" ref="CR28:CR33" si="40">AD28*BB28</f>
        <v>0</v>
      </c>
      <c r="CS28">
        <f t="shared" ref="CS28:CS33" si="41">AE28*BS28</f>
        <v>0</v>
      </c>
      <c r="CT28">
        <f t="shared" ref="CT28:CT33" si="42">AF28*BA28</f>
        <v>9520.3829999999998</v>
      </c>
      <c r="CU28">
        <f t="shared" ref="CU28:CX33" si="43">AG28</f>
        <v>0</v>
      </c>
      <c r="CV28">
        <f t="shared" si="43"/>
        <v>36.28</v>
      </c>
      <c r="CW28">
        <f t="shared" si="43"/>
        <v>0</v>
      </c>
      <c r="CX28">
        <f t="shared" si="43"/>
        <v>0</v>
      </c>
      <c r="CY28">
        <f t="shared" ref="CY28:CY33" si="44">(((S28+R28)*AT28)/100)</f>
        <v>499.62599999999998</v>
      </c>
      <c r="CZ28">
        <f t="shared" ref="CZ28:CZ33" si="45">(((S28+R28)*AU28)/100)</f>
        <v>377.76599999999996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36260504</v>
      </c>
      <c r="EF28">
        <v>6</v>
      </c>
      <c r="EG28" t="s">
        <v>20</v>
      </c>
      <c r="EH28">
        <v>0</v>
      </c>
      <c r="EI28" t="s">
        <v>3</v>
      </c>
      <c r="EJ28">
        <v>1</v>
      </c>
      <c r="EK28">
        <v>56001</v>
      </c>
      <c r="EL28" t="s">
        <v>21</v>
      </c>
      <c r="EM28" t="s">
        <v>22</v>
      </c>
      <c r="EO28" t="s">
        <v>3</v>
      </c>
      <c r="EQ28">
        <v>0</v>
      </c>
      <c r="ER28">
        <v>288.06</v>
      </c>
      <c r="ES28">
        <v>0</v>
      </c>
      <c r="ET28">
        <v>0</v>
      </c>
      <c r="EU28">
        <v>0</v>
      </c>
      <c r="EV28">
        <v>288.06</v>
      </c>
      <c r="EW28">
        <v>36.28</v>
      </c>
      <c r="EX28">
        <v>0</v>
      </c>
      <c r="EY28">
        <v>0</v>
      </c>
      <c r="FQ28">
        <v>0</v>
      </c>
      <c r="FR28">
        <f t="shared" ref="FR28:FR33" si="46">ROUND(IF(AND(BH28=3,BI28=3),P28,0),2)</f>
        <v>0</v>
      </c>
      <c r="FS28">
        <v>0</v>
      </c>
      <c r="FX28">
        <v>82</v>
      </c>
      <c r="FY28">
        <v>62</v>
      </c>
      <c r="GA28" t="s">
        <v>3</v>
      </c>
      <c r="GD28">
        <v>1</v>
      </c>
      <c r="GF28">
        <v>30344308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3" si="47">ROUND(IF(AND(BH28=3,BI28=3,FS28&lt;&gt;0),P28,0),2)</f>
        <v>0</v>
      </c>
      <c r="GM28">
        <f t="shared" ref="GM28:GM33" si="48">ROUND(O28+X28+Y28,2)+GX28</f>
        <v>1486.7</v>
      </c>
      <c r="GN28">
        <f t="shared" ref="GN28:GN33" si="49">IF(OR(BI28=0,BI28=1),ROUND(O28+X28+Y28,2),0)</f>
        <v>1486.7</v>
      </c>
      <c r="GO28">
        <f t="shared" ref="GO28:GO33" si="50">IF(BI28=2,ROUND(O28+X28+Y28,2),0)</f>
        <v>0</v>
      </c>
      <c r="GP28">
        <f t="shared" ref="GP28:GP33" si="51">IF(BI28=4,ROUND(O28+X28+Y28,2)+GX28,0)</f>
        <v>0</v>
      </c>
      <c r="GR28">
        <v>0</v>
      </c>
      <c r="GS28">
        <v>0</v>
      </c>
      <c r="GT28">
        <v>0</v>
      </c>
      <c r="GU28" t="s">
        <v>3</v>
      </c>
      <c r="GV28">
        <f t="shared" ref="GV28:GV33" si="52">ROUND((GT28),6)</f>
        <v>0</v>
      </c>
      <c r="GW28">
        <v>1</v>
      </c>
      <c r="GX28">
        <f t="shared" ref="GX28:GX33" si="53">ROUND(HC28*I28,2)</f>
        <v>0</v>
      </c>
      <c r="HA28">
        <v>0</v>
      </c>
      <c r="HB28">
        <v>0</v>
      </c>
      <c r="HC28">
        <f t="shared" ref="HC28:HC33" si="54">GV28*GW28</f>
        <v>0</v>
      </c>
      <c r="HE28" t="s">
        <v>3</v>
      </c>
      <c r="HF28" t="s">
        <v>3</v>
      </c>
      <c r="HM28" t="s">
        <v>3</v>
      </c>
      <c r="IK28">
        <v>0</v>
      </c>
    </row>
    <row r="29" spans="1:245">
      <c r="A29">
        <v>18</v>
      </c>
      <c r="B29">
        <v>1</v>
      </c>
      <c r="C29">
        <v>2</v>
      </c>
      <c r="E29" t="s">
        <v>23</v>
      </c>
      <c r="F29" t="s">
        <v>24</v>
      </c>
      <c r="G29" t="s">
        <v>25</v>
      </c>
      <c r="H29" t="s">
        <v>26</v>
      </c>
      <c r="I29">
        <f>I28*J29</f>
        <v>7.5520000000000004E-2</v>
      </c>
      <c r="J29">
        <v>1.18</v>
      </c>
      <c r="K29">
        <v>1.18</v>
      </c>
      <c r="O29">
        <f t="shared" si="21"/>
        <v>0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0</v>
      </c>
      <c r="X29">
        <f t="shared" si="30"/>
        <v>0</v>
      </c>
      <c r="Y29">
        <f t="shared" si="30"/>
        <v>0</v>
      </c>
      <c r="AA29">
        <v>34132744</v>
      </c>
      <c r="AB29">
        <f t="shared" si="31"/>
        <v>0</v>
      </c>
      <c r="AC29">
        <f t="shared" si="32"/>
        <v>0</v>
      </c>
      <c r="AD29">
        <f t="shared" si="33"/>
        <v>0</v>
      </c>
      <c r="AE29">
        <f t="shared" si="34"/>
        <v>0</v>
      </c>
      <c r="AF29">
        <f t="shared" si="34"/>
        <v>0</v>
      </c>
      <c r="AG29">
        <f t="shared" si="35"/>
        <v>0</v>
      </c>
      <c r="AH29">
        <f t="shared" si="36"/>
        <v>0</v>
      </c>
      <c r="AI29">
        <f t="shared" si="36"/>
        <v>0</v>
      </c>
      <c r="AJ29">
        <f t="shared" si="37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82</v>
      </c>
      <c r="AU29">
        <v>62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27</v>
      </c>
      <c r="BM29">
        <v>56001</v>
      </c>
      <c r="BN29">
        <v>0</v>
      </c>
      <c r="BO29" t="s">
        <v>3</v>
      </c>
      <c r="BP29">
        <v>0</v>
      </c>
      <c r="BQ29">
        <v>6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82</v>
      </c>
      <c r="CA29">
        <v>62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8"/>
        <v>0</v>
      </c>
      <c r="CQ29">
        <f t="shared" si="39"/>
        <v>0</v>
      </c>
      <c r="CR29">
        <f t="shared" si="40"/>
        <v>0</v>
      </c>
      <c r="CS29">
        <f t="shared" si="41"/>
        <v>0</v>
      </c>
      <c r="CT29">
        <f t="shared" si="42"/>
        <v>0</v>
      </c>
      <c r="CU29">
        <f t="shared" si="43"/>
        <v>0</v>
      </c>
      <c r="CV29">
        <f t="shared" si="43"/>
        <v>0</v>
      </c>
      <c r="CW29">
        <f t="shared" si="43"/>
        <v>0</v>
      </c>
      <c r="CX29">
        <f t="shared" si="43"/>
        <v>0</v>
      </c>
      <c r="CY29">
        <f t="shared" si="44"/>
        <v>0</v>
      </c>
      <c r="CZ29">
        <f t="shared" si="45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26</v>
      </c>
      <c r="DW29" t="s">
        <v>26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36260504</v>
      </c>
      <c r="EF29">
        <v>6</v>
      </c>
      <c r="EG29" t="s">
        <v>20</v>
      </c>
      <c r="EH29">
        <v>0</v>
      </c>
      <c r="EI29" t="s">
        <v>3</v>
      </c>
      <c r="EJ29">
        <v>1</v>
      </c>
      <c r="EK29">
        <v>56001</v>
      </c>
      <c r="EL29" t="s">
        <v>21</v>
      </c>
      <c r="EM29" t="s">
        <v>22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46"/>
        <v>0</v>
      </c>
      <c r="FS29">
        <v>0</v>
      </c>
      <c r="FX29">
        <v>82</v>
      </c>
      <c r="FY29">
        <v>62</v>
      </c>
      <c r="GA29" t="s">
        <v>3</v>
      </c>
      <c r="GD29">
        <v>1</v>
      </c>
      <c r="GF29">
        <v>-304821490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47"/>
        <v>0</v>
      </c>
      <c r="GM29">
        <f t="shared" si="48"/>
        <v>0</v>
      </c>
      <c r="GN29">
        <f t="shared" si="49"/>
        <v>0</v>
      </c>
      <c r="GO29">
        <f t="shared" si="50"/>
        <v>0</v>
      </c>
      <c r="GP29">
        <f t="shared" si="51"/>
        <v>0</v>
      </c>
      <c r="GR29">
        <v>0</v>
      </c>
      <c r="GS29">
        <v>0</v>
      </c>
      <c r="GT29">
        <v>0</v>
      </c>
      <c r="GU29" t="s">
        <v>3</v>
      </c>
      <c r="GV29">
        <f t="shared" si="52"/>
        <v>0</v>
      </c>
      <c r="GW29">
        <v>1</v>
      </c>
      <c r="GX29">
        <f t="shared" si="53"/>
        <v>0</v>
      </c>
      <c r="HA29">
        <v>0</v>
      </c>
      <c r="HB29">
        <v>0</v>
      </c>
      <c r="HC29">
        <f t="shared" si="54"/>
        <v>0</v>
      </c>
      <c r="HE29" t="s">
        <v>3</v>
      </c>
      <c r="HF29" t="s">
        <v>3</v>
      </c>
      <c r="HM29" t="s">
        <v>3</v>
      </c>
      <c r="IK29">
        <v>0</v>
      </c>
    </row>
    <row r="30" spans="1:245">
      <c r="A30">
        <v>17</v>
      </c>
      <c r="B30">
        <v>1</v>
      </c>
      <c r="C30">
        <f>ROW(SmtRes!A7)</f>
        <v>7</v>
      </c>
      <c r="D30">
        <f>ROW(EtalonRes!A7)</f>
        <v>7</v>
      </c>
      <c r="E30" t="s">
        <v>28</v>
      </c>
      <c r="F30" t="s">
        <v>29</v>
      </c>
      <c r="G30" t="s">
        <v>30</v>
      </c>
      <c r="H30" t="s">
        <v>31</v>
      </c>
      <c r="I30">
        <f>ROUND(13/100,9)</f>
        <v>0.13</v>
      </c>
      <c r="J30">
        <v>0</v>
      </c>
      <c r="K30">
        <f>ROUND(13/100,9)</f>
        <v>0.13</v>
      </c>
      <c r="O30">
        <f t="shared" si="21"/>
        <v>6461.79</v>
      </c>
      <c r="P30">
        <f t="shared" si="22"/>
        <v>0</v>
      </c>
      <c r="Q30">
        <f t="shared" si="23"/>
        <v>283.47000000000003</v>
      </c>
      <c r="R30">
        <f t="shared" si="24"/>
        <v>171.6</v>
      </c>
      <c r="S30">
        <f t="shared" si="25"/>
        <v>6178.32</v>
      </c>
      <c r="T30">
        <f t="shared" si="26"/>
        <v>0</v>
      </c>
      <c r="U30">
        <f t="shared" si="27"/>
        <v>23.309000000000001</v>
      </c>
      <c r="V30">
        <f t="shared" si="28"/>
        <v>0.5161</v>
      </c>
      <c r="W30">
        <f t="shared" si="29"/>
        <v>0</v>
      </c>
      <c r="X30">
        <f t="shared" si="30"/>
        <v>5206.93</v>
      </c>
      <c r="Y30">
        <f t="shared" si="30"/>
        <v>3936.95</v>
      </c>
      <c r="AA30">
        <v>34132744</v>
      </c>
      <c r="AB30">
        <f t="shared" si="31"/>
        <v>1634.97</v>
      </c>
      <c r="AC30">
        <f t="shared" si="32"/>
        <v>0</v>
      </c>
      <c r="AD30">
        <f t="shared" si="33"/>
        <v>196.98</v>
      </c>
      <c r="AE30">
        <f t="shared" si="34"/>
        <v>39.94</v>
      </c>
      <c r="AF30">
        <f t="shared" si="34"/>
        <v>1437.99</v>
      </c>
      <c r="AG30">
        <f t="shared" si="35"/>
        <v>0</v>
      </c>
      <c r="AH30">
        <f t="shared" si="36"/>
        <v>179.3</v>
      </c>
      <c r="AI30">
        <f t="shared" si="36"/>
        <v>3.97</v>
      </c>
      <c r="AJ30">
        <f t="shared" si="37"/>
        <v>0</v>
      </c>
      <c r="AK30">
        <v>1634.97</v>
      </c>
      <c r="AL30">
        <v>0</v>
      </c>
      <c r="AM30">
        <v>196.98</v>
      </c>
      <c r="AN30">
        <v>39.94</v>
      </c>
      <c r="AO30">
        <v>1437.99</v>
      </c>
      <c r="AP30">
        <v>0</v>
      </c>
      <c r="AQ30">
        <v>179.3</v>
      </c>
      <c r="AR30">
        <v>3.97</v>
      </c>
      <c r="AS30">
        <v>0</v>
      </c>
      <c r="AT30">
        <v>82</v>
      </c>
      <c r="AU30">
        <v>62</v>
      </c>
      <c r="AV30">
        <v>1</v>
      </c>
      <c r="AW30">
        <v>1</v>
      </c>
      <c r="AZ30">
        <v>1</v>
      </c>
      <c r="BA30">
        <v>33.049999999999997</v>
      </c>
      <c r="BB30">
        <v>11.07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32</v>
      </c>
      <c r="BM30">
        <v>56001</v>
      </c>
      <c r="BN30">
        <v>0</v>
      </c>
      <c r="BO30" t="s">
        <v>29</v>
      </c>
      <c r="BP30">
        <v>1</v>
      </c>
      <c r="BQ30">
        <v>6</v>
      </c>
      <c r="BR30">
        <v>0</v>
      </c>
      <c r="BS30">
        <v>33.049999999999997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82</v>
      </c>
      <c r="CA30">
        <v>62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8"/>
        <v>6461.79</v>
      </c>
      <c r="CQ30">
        <f t="shared" si="39"/>
        <v>0</v>
      </c>
      <c r="CR30">
        <f t="shared" si="40"/>
        <v>2180.5686000000001</v>
      </c>
      <c r="CS30">
        <f t="shared" si="41"/>
        <v>1320.0169999999998</v>
      </c>
      <c r="CT30">
        <f t="shared" si="42"/>
        <v>47525.569499999998</v>
      </c>
      <c r="CU30">
        <f t="shared" si="43"/>
        <v>0</v>
      </c>
      <c r="CV30">
        <f t="shared" si="43"/>
        <v>179.3</v>
      </c>
      <c r="CW30">
        <f t="shared" si="43"/>
        <v>3.97</v>
      </c>
      <c r="CX30">
        <f t="shared" si="43"/>
        <v>0</v>
      </c>
      <c r="CY30">
        <f t="shared" si="44"/>
        <v>5206.9344000000001</v>
      </c>
      <c r="CZ30">
        <f t="shared" si="45"/>
        <v>3936.9503999999997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31</v>
      </c>
      <c r="DW30" t="s">
        <v>31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36260504</v>
      </c>
      <c r="EF30">
        <v>6</v>
      </c>
      <c r="EG30" t="s">
        <v>20</v>
      </c>
      <c r="EH30">
        <v>0</v>
      </c>
      <c r="EI30" t="s">
        <v>3</v>
      </c>
      <c r="EJ30">
        <v>1</v>
      </c>
      <c r="EK30">
        <v>56001</v>
      </c>
      <c r="EL30" t="s">
        <v>21</v>
      </c>
      <c r="EM30" t="s">
        <v>22</v>
      </c>
      <c r="EO30" t="s">
        <v>3</v>
      </c>
      <c r="EQ30">
        <v>0</v>
      </c>
      <c r="ER30">
        <v>1634.97</v>
      </c>
      <c r="ES30">
        <v>0</v>
      </c>
      <c r="ET30">
        <v>196.98</v>
      </c>
      <c r="EU30">
        <v>39.94</v>
      </c>
      <c r="EV30">
        <v>1437.99</v>
      </c>
      <c r="EW30">
        <v>179.3</v>
      </c>
      <c r="EX30">
        <v>3.97</v>
      </c>
      <c r="EY30">
        <v>0</v>
      </c>
      <c r="FQ30">
        <v>0</v>
      </c>
      <c r="FR30">
        <f t="shared" si="46"/>
        <v>0</v>
      </c>
      <c r="FS30">
        <v>0</v>
      </c>
      <c r="FX30">
        <v>82</v>
      </c>
      <c r="FY30">
        <v>62</v>
      </c>
      <c r="GA30" t="s">
        <v>3</v>
      </c>
      <c r="GD30">
        <v>1</v>
      </c>
      <c r="GF30">
        <v>395004222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7"/>
        <v>0</v>
      </c>
      <c r="GM30">
        <f t="shared" si="48"/>
        <v>15605.67</v>
      </c>
      <c r="GN30">
        <f t="shared" si="49"/>
        <v>15605.67</v>
      </c>
      <c r="GO30">
        <f t="shared" si="50"/>
        <v>0</v>
      </c>
      <c r="GP30">
        <f t="shared" si="51"/>
        <v>0</v>
      </c>
      <c r="GR30">
        <v>0</v>
      </c>
      <c r="GS30">
        <v>0</v>
      </c>
      <c r="GT30">
        <v>0</v>
      </c>
      <c r="GU30" t="s">
        <v>3</v>
      </c>
      <c r="GV30">
        <f t="shared" si="52"/>
        <v>0</v>
      </c>
      <c r="GW30">
        <v>1</v>
      </c>
      <c r="GX30">
        <f t="shared" si="53"/>
        <v>0</v>
      </c>
      <c r="HA30">
        <v>0</v>
      </c>
      <c r="HB30">
        <v>0</v>
      </c>
      <c r="HC30">
        <f t="shared" si="54"/>
        <v>0</v>
      </c>
      <c r="HE30" t="s">
        <v>3</v>
      </c>
      <c r="HF30" t="s">
        <v>3</v>
      </c>
      <c r="HM30" t="s">
        <v>3</v>
      </c>
      <c r="IK30">
        <v>0</v>
      </c>
    </row>
    <row r="31" spans="1:245">
      <c r="A31">
        <v>18</v>
      </c>
      <c r="B31">
        <v>1</v>
      </c>
      <c r="C31">
        <v>7</v>
      </c>
      <c r="E31" t="s">
        <v>33</v>
      </c>
      <c r="F31" t="s">
        <v>24</v>
      </c>
      <c r="G31" t="s">
        <v>25</v>
      </c>
      <c r="H31" t="s">
        <v>26</v>
      </c>
      <c r="I31">
        <f>I30*J31</f>
        <v>1.365</v>
      </c>
      <c r="J31">
        <v>10.5</v>
      </c>
      <c r="K31">
        <v>10.5</v>
      </c>
      <c r="O31">
        <f t="shared" si="21"/>
        <v>0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0"/>
        <v>0</v>
      </c>
      <c r="AA31">
        <v>34132744</v>
      </c>
      <c r="AB31">
        <f t="shared" si="31"/>
        <v>0</v>
      </c>
      <c r="AC31">
        <f t="shared" si="32"/>
        <v>0</v>
      </c>
      <c r="AD31">
        <f t="shared" si="33"/>
        <v>0</v>
      </c>
      <c r="AE31">
        <f t="shared" si="34"/>
        <v>0</v>
      </c>
      <c r="AF31">
        <f t="shared" si="34"/>
        <v>0</v>
      </c>
      <c r="AG31">
        <f t="shared" si="35"/>
        <v>0</v>
      </c>
      <c r="AH31">
        <f t="shared" si="36"/>
        <v>0</v>
      </c>
      <c r="AI31">
        <f t="shared" si="36"/>
        <v>0</v>
      </c>
      <c r="AJ31">
        <f t="shared" si="37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82</v>
      </c>
      <c r="AU31">
        <v>62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27</v>
      </c>
      <c r="BM31">
        <v>56001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82</v>
      </c>
      <c r="CA31">
        <v>62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8"/>
        <v>0</v>
      </c>
      <c r="CQ31">
        <f t="shared" si="39"/>
        <v>0</v>
      </c>
      <c r="CR31">
        <f t="shared" si="40"/>
        <v>0</v>
      </c>
      <c r="CS31">
        <f t="shared" si="41"/>
        <v>0</v>
      </c>
      <c r="CT31">
        <f t="shared" si="42"/>
        <v>0</v>
      </c>
      <c r="CU31">
        <f t="shared" si="43"/>
        <v>0</v>
      </c>
      <c r="CV31">
        <f t="shared" si="43"/>
        <v>0</v>
      </c>
      <c r="CW31">
        <f t="shared" si="43"/>
        <v>0</v>
      </c>
      <c r="CX31">
        <f t="shared" si="43"/>
        <v>0</v>
      </c>
      <c r="CY31">
        <f t="shared" si="44"/>
        <v>0</v>
      </c>
      <c r="CZ31">
        <f t="shared" si="45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26</v>
      </c>
      <c r="DW31" t="s">
        <v>26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36260504</v>
      </c>
      <c r="EF31">
        <v>6</v>
      </c>
      <c r="EG31" t="s">
        <v>20</v>
      </c>
      <c r="EH31">
        <v>0</v>
      </c>
      <c r="EI31" t="s">
        <v>3</v>
      </c>
      <c r="EJ31">
        <v>1</v>
      </c>
      <c r="EK31">
        <v>56001</v>
      </c>
      <c r="EL31" t="s">
        <v>21</v>
      </c>
      <c r="EM31" t="s">
        <v>22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6"/>
        <v>0</v>
      </c>
      <c r="FS31">
        <v>0</v>
      </c>
      <c r="FX31">
        <v>82</v>
      </c>
      <c r="FY31">
        <v>62</v>
      </c>
      <c r="GA31" t="s">
        <v>3</v>
      </c>
      <c r="GD31">
        <v>1</v>
      </c>
      <c r="GF31">
        <v>-304821490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47"/>
        <v>0</v>
      </c>
      <c r="GM31">
        <f t="shared" si="48"/>
        <v>0</v>
      </c>
      <c r="GN31">
        <f t="shared" si="49"/>
        <v>0</v>
      </c>
      <c r="GO31">
        <f t="shared" si="50"/>
        <v>0</v>
      </c>
      <c r="GP31">
        <f t="shared" si="51"/>
        <v>0</v>
      </c>
      <c r="GR31">
        <v>0</v>
      </c>
      <c r="GS31">
        <v>0</v>
      </c>
      <c r="GT31">
        <v>0</v>
      </c>
      <c r="GU31" t="s">
        <v>3</v>
      </c>
      <c r="GV31">
        <f t="shared" si="52"/>
        <v>0</v>
      </c>
      <c r="GW31">
        <v>1</v>
      </c>
      <c r="GX31">
        <f t="shared" si="53"/>
        <v>0</v>
      </c>
      <c r="HA31">
        <v>0</v>
      </c>
      <c r="HB31">
        <v>0</v>
      </c>
      <c r="HC31">
        <f t="shared" si="54"/>
        <v>0</v>
      </c>
      <c r="HE31" t="s">
        <v>3</v>
      </c>
      <c r="HF31" t="s">
        <v>3</v>
      </c>
      <c r="HM31" t="s">
        <v>3</v>
      </c>
      <c r="IK31">
        <v>0</v>
      </c>
    </row>
    <row r="32" spans="1:245">
      <c r="A32">
        <v>17</v>
      </c>
      <c r="B32">
        <v>1</v>
      </c>
      <c r="C32">
        <f>ROW(SmtRes!A11)</f>
        <v>11</v>
      </c>
      <c r="D32">
        <f>ROW(EtalonRes!A11)</f>
        <v>11</v>
      </c>
      <c r="E32" t="s">
        <v>34</v>
      </c>
      <c r="F32" t="s">
        <v>35</v>
      </c>
      <c r="G32" t="s">
        <v>36</v>
      </c>
      <c r="H32" t="s">
        <v>37</v>
      </c>
      <c r="I32">
        <f>ROUND(6/100,9)</f>
        <v>0.06</v>
      </c>
      <c r="J32">
        <v>0</v>
      </c>
      <c r="K32">
        <f>ROUND(6/100,9)</f>
        <v>0.06</v>
      </c>
      <c r="O32">
        <f t="shared" si="21"/>
        <v>1222.17</v>
      </c>
      <c r="P32">
        <f t="shared" si="22"/>
        <v>0</v>
      </c>
      <c r="Q32">
        <f t="shared" si="23"/>
        <v>40.32</v>
      </c>
      <c r="R32">
        <f t="shared" si="24"/>
        <v>38.549999999999997</v>
      </c>
      <c r="S32">
        <f t="shared" si="25"/>
        <v>1181.8499999999999</v>
      </c>
      <c r="T32">
        <f t="shared" si="26"/>
        <v>0</v>
      </c>
      <c r="U32">
        <f t="shared" si="27"/>
        <v>4.1921999999999997</v>
      </c>
      <c r="V32">
        <f t="shared" si="28"/>
        <v>8.6399999999999991E-2</v>
      </c>
      <c r="W32">
        <f t="shared" si="29"/>
        <v>0</v>
      </c>
      <c r="X32">
        <f t="shared" si="30"/>
        <v>976.32</v>
      </c>
      <c r="Y32">
        <f t="shared" si="30"/>
        <v>829.87</v>
      </c>
      <c r="AA32">
        <v>34132744</v>
      </c>
      <c r="AB32">
        <f t="shared" si="31"/>
        <v>641</v>
      </c>
      <c r="AC32">
        <f t="shared" si="32"/>
        <v>0</v>
      </c>
      <c r="AD32">
        <f t="shared" si="33"/>
        <v>45.01</v>
      </c>
      <c r="AE32">
        <f t="shared" si="34"/>
        <v>19.440000000000001</v>
      </c>
      <c r="AF32">
        <f t="shared" si="34"/>
        <v>595.99</v>
      </c>
      <c r="AG32">
        <f t="shared" si="35"/>
        <v>0</v>
      </c>
      <c r="AH32">
        <f t="shared" si="36"/>
        <v>69.87</v>
      </c>
      <c r="AI32">
        <f t="shared" si="36"/>
        <v>1.44</v>
      </c>
      <c r="AJ32">
        <f t="shared" si="37"/>
        <v>0</v>
      </c>
      <c r="AK32">
        <v>641</v>
      </c>
      <c r="AL32">
        <v>0</v>
      </c>
      <c r="AM32">
        <v>45.01</v>
      </c>
      <c r="AN32">
        <v>19.440000000000001</v>
      </c>
      <c r="AO32">
        <v>595.99</v>
      </c>
      <c r="AP32">
        <v>0</v>
      </c>
      <c r="AQ32">
        <v>69.87</v>
      </c>
      <c r="AR32">
        <v>1.44</v>
      </c>
      <c r="AS32">
        <v>0</v>
      </c>
      <c r="AT32">
        <v>80</v>
      </c>
      <c r="AU32">
        <v>68</v>
      </c>
      <c r="AV32">
        <v>1</v>
      </c>
      <c r="AW32">
        <v>1</v>
      </c>
      <c r="AZ32">
        <v>1</v>
      </c>
      <c r="BA32">
        <v>33.049999999999997</v>
      </c>
      <c r="BB32">
        <v>14.93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38</v>
      </c>
      <c r="BM32">
        <v>57001</v>
      </c>
      <c r="BN32">
        <v>0</v>
      </c>
      <c r="BO32" t="s">
        <v>35</v>
      </c>
      <c r="BP32">
        <v>1</v>
      </c>
      <c r="BQ32">
        <v>6</v>
      </c>
      <c r="BR32">
        <v>0</v>
      </c>
      <c r="BS32">
        <v>33.049999999999997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68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8"/>
        <v>1222.1699999999998</v>
      </c>
      <c r="CQ32">
        <f t="shared" si="39"/>
        <v>0</v>
      </c>
      <c r="CR32">
        <f t="shared" si="40"/>
        <v>671.99929999999995</v>
      </c>
      <c r="CS32">
        <f t="shared" si="41"/>
        <v>642.49199999999996</v>
      </c>
      <c r="CT32">
        <f t="shared" si="42"/>
        <v>19697.469499999999</v>
      </c>
      <c r="CU32">
        <f t="shared" si="43"/>
        <v>0</v>
      </c>
      <c r="CV32">
        <f t="shared" si="43"/>
        <v>69.87</v>
      </c>
      <c r="CW32">
        <f t="shared" si="43"/>
        <v>1.44</v>
      </c>
      <c r="CX32">
        <f t="shared" si="43"/>
        <v>0</v>
      </c>
      <c r="CY32">
        <f t="shared" si="44"/>
        <v>976.31999999999982</v>
      </c>
      <c r="CZ32">
        <f t="shared" si="45"/>
        <v>829.87199999999996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37</v>
      </c>
      <c r="DW32" t="s">
        <v>37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36260505</v>
      </c>
      <c r="EF32">
        <v>6</v>
      </c>
      <c r="EG32" t="s">
        <v>20</v>
      </c>
      <c r="EH32">
        <v>0</v>
      </c>
      <c r="EI32" t="s">
        <v>3</v>
      </c>
      <c r="EJ32">
        <v>1</v>
      </c>
      <c r="EK32">
        <v>57001</v>
      </c>
      <c r="EL32" t="s">
        <v>39</v>
      </c>
      <c r="EM32" t="s">
        <v>40</v>
      </c>
      <c r="EO32" t="s">
        <v>3</v>
      </c>
      <c r="EQ32">
        <v>0</v>
      </c>
      <c r="ER32">
        <v>641</v>
      </c>
      <c r="ES32">
        <v>0</v>
      </c>
      <c r="ET32">
        <v>45.01</v>
      </c>
      <c r="EU32">
        <v>19.440000000000001</v>
      </c>
      <c r="EV32">
        <v>595.99</v>
      </c>
      <c r="EW32">
        <v>69.87</v>
      </c>
      <c r="EX32">
        <v>1.44</v>
      </c>
      <c r="EY32">
        <v>0</v>
      </c>
      <c r="FQ32">
        <v>0</v>
      </c>
      <c r="FR32">
        <f t="shared" si="46"/>
        <v>0</v>
      </c>
      <c r="FS32">
        <v>0</v>
      </c>
      <c r="FX32">
        <v>80</v>
      </c>
      <c r="FY32">
        <v>68</v>
      </c>
      <c r="GA32" t="s">
        <v>3</v>
      </c>
      <c r="GD32">
        <v>1</v>
      </c>
      <c r="GF32">
        <v>1408343215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7"/>
        <v>0</v>
      </c>
      <c r="GM32">
        <f t="shared" si="48"/>
        <v>3028.36</v>
      </c>
      <c r="GN32">
        <f t="shared" si="49"/>
        <v>3028.36</v>
      </c>
      <c r="GO32">
        <f t="shared" si="50"/>
        <v>0</v>
      </c>
      <c r="GP32">
        <f t="shared" si="51"/>
        <v>0</v>
      </c>
      <c r="GR32">
        <v>0</v>
      </c>
      <c r="GS32">
        <v>3</v>
      </c>
      <c r="GT32">
        <v>0</v>
      </c>
      <c r="GU32" t="s">
        <v>3</v>
      </c>
      <c r="GV32">
        <f t="shared" si="52"/>
        <v>0</v>
      </c>
      <c r="GW32">
        <v>1</v>
      </c>
      <c r="GX32">
        <f t="shared" si="53"/>
        <v>0</v>
      </c>
      <c r="HA32">
        <v>0</v>
      </c>
      <c r="HB32">
        <v>0</v>
      </c>
      <c r="HC32">
        <f t="shared" si="54"/>
        <v>0</v>
      </c>
      <c r="HE32" t="s">
        <v>3</v>
      </c>
      <c r="HF32" t="s">
        <v>3</v>
      </c>
      <c r="HM32" t="s">
        <v>3</v>
      </c>
      <c r="IK32">
        <v>0</v>
      </c>
    </row>
    <row r="33" spans="1:245">
      <c r="A33">
        <v>18</v>
      </c>
      <c r="B33">
        <v>1</v>
      </c>
      <c r="C33">
        <v>11</v>
      </c>
      <c r="E33" t="s">
        <v>41</v>
      </c>
      <c r="F33" t="s">
        <v>24</v>
      </c>
      <c r="G33" t="s">
        <v>25</v>
      </c>
      <c r="H33" t="s">
        <v>26</v>
      </c>
      <c r="I33">
        <f>I32*J33</f>
        <v>0.312</v>
      </c>
      <c r="J33">
        <v>5.2</v>
      </c>
      <c r="K33">
        <v>5.2</v>
      </c>
      <c r="O33">
        <f t="shared" si="21"/>
        <v>0</v>
      </c>
      <c r="P33">
        <f t="shared" si="22"/>
        <v>0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0</v>
      </c>
      <c r="X33">
        <f t="shared" si="30"/>
        <v>0</v>
      </c>
      <c r="Y33">
        <f t="shared" si="30"/>
        <v>0</v>
      </c>
      <c r="AA33">
        <v>34132744</v>
      </c>
      <c r="AB33">
        <f t="shared" si="31"/>
        <v>0</v>
      </c>
      <c r="AC33">
        <f t="shared" si="32"/>
        <v>0</v>
      </c>
      <c r="AD33">
        <f t="shared" si="33"/>
        <v>0</v>
      </c>
      <c r="AE33">
        <f t="shared" si="34"/>
        <v>0</v>
      </c>
      <c r="AF33">
        <f t="shared" si="34"/>
        <v>0</v>
      </c>
      <c r="AG33">
        <f t="shared" si="35"/>
        <v>0</v>
      </c>
      <c r="AH33">
        <f t="shared" si="36"/>
        <v>0</v>
      </c>
      <c r="AI33">
        <f t="shared" si="36"/>
        <v>0</v>
      </c>
      <c r="AJ33">
        <f t="shared" si="37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80</v>
      </c>
      <c r="AU33">
        <v>68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27</v>
      </c>
      <c r="BM33">
        <v>57001</v>
      </c>
      <c r="BN33">
        <v>0</v>
      </c>
      <c r="BO33" t="s">
        <v>3</v>
      </c>
      <c r="BP33">
        <v>0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80</v>
      </c>
      <c r="CA33">
        <v>68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8"/>
        <v>0</v>
      </c>
      <c r="CQ33">
        <f t="shared" si="39"/>
        <v>0</v>
      </c>
      <c r="CR33">
        <f t="shared" si="40"/>
        <v>0</v>
      </c>
      <c r="CS33">
        <f t="shared" si="41"/>
        <v>0</v>
      </c>
      <c r="CT33">
        <f t="shared" si="42"/>
        <v>0</v>
      </c>
      <c r="CU33">
        <f t="shared" si="43"/>
        <v>0</v>
      </c>
      <c r="CV33">
        <f t="shared" si="43"/>
        <v>0</v>
      </c>
      <c r="CW33">
        <f t="shared" si="43"/>
        <v>0</v>
      </c>
      <c r="CX33">
        <f t="shared" si="43"/>
        <v>0</v>
      </c>
      <c r="CY33">
        <f t="shared" si="44"/>
        <v>0</v>
      </c>
      <c r="CZ33">
        <f t="shared" si="45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26</v>
      </c>
      <c r="DW33" t="s">
        <v>26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36260505</v>
      </c>
      <c r="EF33">
        <v>6</v>
      </c>
      <c r="EG33" t="s">
        <v>20</v>
      </c>
      <c r="EH33">
        <v>0</v>
      </c>
      <c r="EI33" t="s">
        <v>3</v>
      </c>
      <c r="EJ33">
        <v>1</v>
      </c>
      <c r="EK33">
        <v>57001</v>
      </c>
      <c r="EL33" t="s">
        <v>39</v>
      </c>
      <c r="EM33" t="s">
        <v>40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46"/>
        <v>0</v>
      </c>
      <c r="FS33">
        <v>0</v>
      </c>
      <c r="FX33">
        <v>80</v>
      </c>
      <c r="FY33">
        <v>68</v>
      </c>
      <c r="GA33" t="s">
        <v>3</v>
      </c>
      <c r="GD33">
        <v>1</v>
      </c>
      <c r="GF33">
        <v>-304821490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47"/>
        <v>0</v>
      </c>
      <c r="GM33">
        <f t="shared" si="48"/>
        <v>0</v>
      </c>
      <c r="GN33">
        <f t="shared" si="49"/>
        <v>0</v>
      </c>
      <c r="GO33">
        <f t="shared" si="50"/>
        <v>0</v>
      </c>
      <c r="GP33">
        <f t="shared" si="51"/>
        <v>0</v>
      </c>
      <c r="GR33">
        <v>0</v>
      </c>
      <c r="GS33">
        <v>3</v>
      </c>
      <c r="GT33">
        <v>0</v>
      </c>
      <c r="GU33" t="s">
        <v>3</v>
      </c>
      <c r="GV33">
        <f t="shared" si="52"/>
        <v>0</v>
      </c>
      <c r="GW33">
        <v>1</v>
      </c>
      <c r="GX33">
        <f t="shared" si="53"/>
        <v>0</v>
      </c>
      <c r="HA33">
        <v>0</v>
      </c>
      <c r="HB33">
        <v>0</v>
      </c>
      <c r="HC33">
        <f t="shared" si="54"/>
        <v>0</v>
      </c>
      <c r="HE33" t="s">
        <v>3</v>
      </c>
      <c r="HF33" t="s">
        <v>3</v>
      </c>
      <c r="HM33" t="s">
        <v>3</v>
      </c>
      <c r="IK33">
        <v>0</v>
      </c>
    </row>
    <row r="35" spans="1:245">
      <c r="A35" s="2">
        <v>51</v>
      </c>
      <c r="B35" s="2">
        <f>B24</f>
        <v>1</v>
      </c>
      <c r="C35" s="2">
        <f>A24</f>
        <v>4</v>
      </c>
      <c r="D35" s="2">
        <f>ROW(A24)</f>
        <v>24</v>
      </c>
      <c r="E35" s="2"/>
      <c r="F35" s="2" t="str">
        <f>IF(F24&lt;&gt;"",F24,"")</f>
        <v>Новый раздел</v>
      </c>
      <c r="G35" s="2" t="str">
        <f>IF(G24&lt;&gt;"",G24,"")</f>
        <v>Демонтаж</v>
      </c>
      <c r="H35" s="2">
        <v>0</v>
      </c>
      <c r="I35" s="2"/>
      <c r="J35" s="2"/>
      <c r="K35" s="2"/>
      <c r="L35" s="2"/>
      <c r="M35" s="2"/>
      <c r="N35" s="2"/>
      <c r="O35" s="2">
        <f t="shared" ref="O35:T35" si="55">ROUND(AB35,2)</f>
        <v>8293.26</v>
      </c>
      <c r="P35" s="2">
        <f t="shared" si="55"/>
        <v>0</v>
      </c>
      <c r="Q35" s="2">
        <f t="shared" si="55"/>
        <v>323.79000000000002</v>
      </c>
      <c r="R35" s="2">
        <f t="shared" si="55"/>
        <v>210.15</v>
      </c>
      <c r="S35" s="2">
        <f t="shared" si="55"/>
        <v>7969.47</v>
      </c>
      <c r="T35" s="2">
        <f t="shared" si="55"/>
        <v>0</v>
      </c>
      <c r="U35" s="2">
        <f>AH35</f>
        <v>29.823119999999999</v>
      </c>
      <c r="V35" s="2">
        <f>AI35</f>
        <v>0.60250000000000004</v>
      </c>
      <c r="W35" s="2">
        <f>ROUND(AJ35,2)</f>
        <v>0</v>
      </c>
      <c r="X35" s="2">
        <f>ROUND(AK35,2)</f>
        <v>6682.88</v>
      </c>
      <c r="Y35" s="2">
        <f>ROUND(AL35,2)</f>
        <v>5144.59</v>
      </c>
      <c r="Z35" s="2"/>
      <c r="AA35" s="2"/>
      <c r="AB35" s="2">
        <f>ROUND(SUMIF(AA28:AA33,"=34132744",O28:O33),2)</f>
        <v>8293.26</v>
      </c>
      <c r="AC35" s="2">
        <f>ROUND(SUMIF(AA28:AA33,"=34132744",P28:P33),2)</f>
        <v>0</v>
      </c>
      <c r="AD35" s="2">
        <f>ROUND(SUMIF(AA28:AA33,"=34132744",Q28:Q33),2)</f>
        <v>323.79000000000002</v>
      </c>
      <c r="AE35" s="2">
        <f>ROUND(SUMIF(AA28:AA33,"=34132744",R28:R33),2)</f>
        <v>210.15</v>
      </c>
      <c r="AF35" s="2">
        <f>ROUND(SUMIF(AA28:AA33,"=34132744",S28:S33),2)</f>
        <v>7969.47</v>
      </c>
      <c r="AG35" s="2">
        <f>ROUND(SUMIF(AA28:AA33,"=34132744",T28:T33),2)</f>
        <v>0</v>
      </c>
      <c r="AH35" s="2">
        <f>SUMIF(AA28:AA33,"=34132744",U28:U33)</f>
        <v>29.823119999999999</v>
      </c>
      <c r="AI35" s="2">
        <f>SUMIF(AA28:AA33,"=34132744",V28:V33)</f>
        <v>0.60250000000000004</v>
      </c>
      <c r="AJ35" s="2">
        <f>ROUND(SUMIF(AA28:AA33,"=34132744",W28:W33),2)</f>
        <v>0</v>
      </c>
      <c r="AK35" s="2">
        <f>ROUND(SUMIF(AA28:AA33,"=34132744",X28:X33),2)</f>
        <v>6682.88</v>
      </c>
      <c r="AL35" s="2">
        <f>ROUND(SUMIF(AA28:AA33,"=34132744",Y28:Y33),2)</f>
        <v>5144.59</v>
      </c>
      <c r="AM35" s="2"/>
      <c r="AN35" s="2"/>
      <c r="AO35" s="2">
        <f t="shared" ref="AO35:BD35" si="56">ROUND(BX35,2)</f>
        <v>0</v>
      </c>
      <c r="AP35" s="2">
        <f t="shared" si="56"/>
        <v>0</v>
      </c>
      <c r="AQ35" s="2">
        <f t="shared" si="56"/>
        <v>0</v>
      </c>
      <c r="AR35" s="2">
        <f t="shared" si="56"/>
        <v>20120.73</v>
      </c>
      <c r="AS35" s="2">
        <f t="shared" si="56"/>
        <v>20120.73</v>
      </c>
      <c r="AT35" s="2">
        <f t="shared" si="56"/>
        <v>0</v>
      </c>
      <c r="AU35" s="2">
        <f t="shared" si="56"/>
        <v>0</v>
      </c>
      <c r="AV35" s="2">
        <f t="shared" si="56"/>
        <v>0</v>
      </c>
      <c r="AW35" s="2">
        <f t="shared" si="56"/>
        <v>0</v>
      </c>
      <c r="AX35" s="2">
        <f t="shared" si="56"/>
        <v>0</v>
      </c>
      <c r="AY35" s="2">
        <f t="shared" si="56"/>
        <v>0</v>
      </c>
      <c r="AZ35" s="2">
        <f t="shared" si="56"/>
        <v>0</v>
      </c>
      <c r="BA35" s="2">
        <f t="shared" si="56"/>
        <v>0</v>
      </c>
      <c r="BB35" s="2">
        <f t="shared" si="56"/>
        <v>0</v>
      </c>
      <c r="BC35" s="2">
        <f t="shared" si="56"/>
        <v>0</v>
      </c>
      <c r="BD35" s="2">
        <f t="shared" si="56"/>
        <v>0</v>
      </c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>
        <f>ROUND(SUMIF(AA28:AA33,"=34132744",FQ28:FQ33),2)</f>
        <v>0</v>
      </c>
      <c r="BY35" s="2">
        <f>ROUND(SUMIF(AA28:AA33,"=34132744",FR28:FR33),2)</f>
        <v>0</v>
      </c>
      <c r="BZ35" s="2">
        <f>ROUND(SUMIF(AA28:AA33,"=34132744",GL28:GL33),2)</f>
        <v>0</v>
      </c>
      <c r="CA35" s="2">
        <f>ROUND(SUMIF(AA28:AA33,"=34132744",GM28:GM33),2)</f>
        <v>20120.73</v>
      </c>
      <c r="CB35" s="2">
        <f>ROUND(SUMIF(AA28:AA33,"=34132744",GN28:GN33),2)</f>
        <v>20120.73</v>
      </c>
      <c r="CC35" s="2">
        <f>ROUND(SUMIF(AA28:AA33,"=34132744",GO28:GO33),2)</f>
        <v>0</v>
      </c>
      <c r="CD35" s="2">
        <f>ROUND(SUMIF(AA28:AA33,"=34132744",GP28:GP33),2)</f>
        <v>0</v>
      </c>
      <c r="CE35" s="2">
        <f>AC35-BX35</f>
        <v>0</v>
      </c>
      <c r="CF35" s="2">
        <f>AC35-BY35</f>
        <v>0</v>
      </c>
      <c r="CG35" s="2">
        <f>BX35-BZ35</f>
        <v>0</v>
      </c>
      <c r="CH35" s="2">
        <f>AC35-BX35-BY35+BZ35</f>
        <v>0</v>
      </c>
      <c r="CI35" s="2">
        <f>BY35-BZ35</f>
        <v>0</v>
      </c>
      <c r="CJ35" s="2">
        <f>ROUND(SUMIF(AA28:AA33,"=34132744",GX28:GX33),2)</f>
        <v>0</v>
      </c>
      <c r="CK35" s="2">
        <f>ROUND(SUMIF(AA28:AA33,"=34132744",GY28:GY33),2)</f>
        <v>0</v>
      </c>
      <c r="CL35" s="2">
        <f>ROUND(SUMIF(AA28:AA33,"=34132744",GZ28:GZ33),2)</f>
        <v>0</v>
      </c>
      <c r="CM35" s="2">
        <f>ROUND(SUMIF(AA28:AA33,"=34132744",HD28:HD33),2)</f>
        <v>0</v>
      </c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>
        <v>0</v>
      </c>
    </row>
    <row r="37" spans="1:245">
      <c r="A37" s="4">
        <v>50</v>
      </c>
      <c r="B37" s="4">
        <v>0</v>
      </c>
      <c r="C37" s="4">
        <v>0</v>
      </c>
      <c r="D37" s="4">
        <v>1</v>
      </c>
      <c r="E37" s="4">
        <v>201</v>
      </c>
      <c r="F37" s="4">
        <f>ROUND(Source!O35,O37)</f>
        <v>8293.26</v>
      </c>
      <c r="G37" s="4" t="s">
        <v>42</v>
      </c>
      <c r="H37" s="4" t="s">
        <v>43</v>
      </c>
      <c r="I37" s="4"/>
      <c r="J37" s="4"/>
      <c r="K37" s="4">
        <v>201</v>
      </c>
      <c r="L37" s="4">
        <v>1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/>
    </row>
    <row r="38" spans="1:245">
      <c r="A38" s="4">
        <v>50</v>
      </c>
      <c r="B38" s="4">
        <v>0</v>
      </c>
      <c r="C38" s="4">
        <v>0</v>
      </c>
      <c r="D38" s="4">
        <v>1</v>
      </c>
      <c r="E38" s="4">
        <v>202</v>
      </c>
      <c r="F38" s="4">
        <f>ROUND(Source!P35,O38)</f>
        <v>0</v>
      </c>
      <c r="G38" s="4" t="s">
        <v>44</v>
      </c>
      <c r="H38" s="4" t="s">
        <v>45</v>
      </c>
      <c r="I38" s="4"/>
      <c r="J38" s="4"/>
      <c r="K38" s="4">
        <v>202</v>
      </c>
      <c r="L38" s="4">
        <v>2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/>
    </row>
    <row r="39" spans="1:245">
      <c r="A39" s="4">
        <v>50</v>
      </c>
      <c r="B39" s="4">
        <v>0</v>
      </c>
      <c r="C39" s="4">
        <v>0</v>
      </c>
      <c r="D39" s="4">
        <v>1</v>
      </c>
      <c r="E39" s="4">
        <v>222</v>
      </c>
      <c r="F39" s="4">
        <f>ROUND(Source!AO35,O39)</f>
        <v>0</v>
      </c>
      <c r="G39" s="4" t="s">
        <v>46</v>
      </c>
      <c r="H39" s="4" t="s">
        <v>47</v>
      </c>
      <c r="I39" s="4"/>
      <c r="J39" s="4"/>
      <c r="K39" s="4">
        <v>222</v>
      </c>
      <c r="L39" s="4">
        <v>3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45">
      <c r="A40" s="4">
        <v>50</v>
      </c>
      <c r="B40" s="4">
        <v>0</v>
      </c>
      <c r="C40" s="4">
        <v>0</v>
      </c>
      <c r="D40" s="4">
        <v>1</v>
      </c>
      <c r="E40" s="4">
        <v>225</v>
      </c>
      <c r="F40" s="4">
        <f>ROUND(Source!AV35,O40)</f>
        <v>0</v>
      </c>
      <c r="G40" s="4" t="s">
        <v>48</v>
      </c>
      <c r="H40" s="4" t="s">
        <v>49</v>
      </c>
      <c r="I40" s="4"/>
      <c r="J40" s="4"/>
      <c r="K40" s="4">
        <v>225</v>
      </c>
      <c r="L40" s="4">
        <v>4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226</v>
      </c>
      <c r="F41" s="4">
        <f>ROUND(Source!AW35,O41)</f>
        <v>0</v>
      </c>
      <c r="G41" s="4" t="s">
        <v>50</v>
      </c>
      <c r="H41" s="4" t="s">
        <v>51</v>
      </c>
      <c r="I41" s="4"/>
      <c r="J41" s="4"/>
      <c r="K41" s="4">
        <v>226</v>
      </c>
      <c r="L41" s="4">
        <v>5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227</v>
      </c>
      <c r="F42" s="4">
        <f>ROUND(Source!AX35,O42)</f>
        <v>0</v>
      </c>
      <c r="G42" s="4" t="s">
        <v>52</v>
      </c>
      <c r="H42" s="4" t="s">
        <v>53</v>
      </c>
      <c r="I42" s="4"/>
      <c r="J42" s="4"/>
      <c r="K42" s="4">
        <v>227</v>
      </c>
      <c r="L42" s="4">
        <v>6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228</v>
      </c>
      <c r="F43" s="4">
        <f>ROUND(Source!AY35,O43)</f>
        <v>0</v>
      </c>
      <c r="G43" s="4" t="s">
        <v>54</v>
      </c>
      <c r="H43" s="4" t="s">
        <v>55</v>
      </c>
      <c r="I43" s="4"/>
      <c r="J43" s="4"/>
      <c r="K43" s="4">
        <v>228</v>
      </c>
      <c r="L43" s="4">
        <v>7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216</v>
      </c>
      <c r="F44" s="4">
        <f>ROUND(Source!AP35,O44)</f>
        <v>0</v>
      </c>
      <c r="G44" s="4" t="s">
        <v>56</v>
      </c>
      <c r="H44" s="4" t="s">
        <v>57</v>
      </c>
      <c r="I44" s="4"/>
      <c r="J44" s="4"/>
      <c r="K44" s="4">
        <v>216</v>
      </c>
      <c r="L44" s="4">
        <v>8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223</v>
      </c>
      <c r="F45" s="4">
        <f>ROUND(Source!AQ35,O45)</f>
        <v>0</v>
      </c>
      <c r="G45" s="4" t="s">
        <v>58</v>
      </c>
      <c r="H45" s="4" t="s">
        <v>59</v>
      </c>
      <c r="I45" s="4"/>
      <c r="J45" s="4"/>
      <c r="K45" s="4">
        <v>223</v>
      </c>
      <c r="L45" s="4">
        <v>9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229</v>
      </c>
      <c r="F46" s="4">
        <f>ROUND(Source!AZ35,O46)</f>
        <v>0</v>
      </c>
      <c r="G46" s="4" t="s">
        <v>60</v>
      </c>
      <c r="H46" s="4" t="s">
        <v>61</v>
      </c>
      <c r="I46" s="4"/>
      <c r="J46" s="4"/>
      <c r="K46" s="4">
        <v>229</v>
      </c>
      <c r="L46" s="4">
        <v>10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203</v>
      </c>
      <c r="F47" s="4">
        <f>ROUND(Source!Q35,O47)</f>
        <v>323.79000000000002</v>
      </c>
      <c r="G47" s="4" t="s">
        <v>62</v>
      </c>
      <c r="H47" s="4" t="s">
        <v>63</v>
      </c>
      <c r="I47" s="4"/>
      <c r="J47" s="4"/>
      <c r="K47" s="4">
        <v>203</v>
      </c>
      <c r="L47" s="4">
        <v>11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231</v>
      </c>
      <c r="F48" s="4">
        <f>ROUND(Source!BB35,O48)</f>
        <v>0</v>
      </c>
      <c r="G48" s="4" t="s">
        <v>64</v>
      </c>
      <c r="H48" s="4" t="s">
        <v>65</v>
      </c>
      <c r="I48" s="4"/>
      <c r="J48" s="4"/>
      <c r="K48" s="4">
        <v>231</v>
      </c>
      <c r="L48" s="4">
        <v>12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204</v>
      </c>
      <c r="F49" s="4">
        <f>ROUND(Source!R35,O49)</f>
        <v>210.15</v>
      </c>
      <c r="G49" s="4" t="s">
        <v>66</v>
      </c>
      <c r="H49" s="4" t="s">
        <v>67</v>
      </c>
      <c r="I49" s="4"/>
      <c r="J49" s="4"/>
      <c r="K49" s="4">
        <v>204</v>
      </c>
      <c r="L49" s="4">
        <v>13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205</v>
      </c>
      <c r="F50" s="4">
        <f>ROUND(Source!S35,O50)</f>
        <v>7969.47</v>
      </c>
      <c r="G50" s="4" t="s">
        <v>68</v>
      </c>
      <c r="H50" s="4" t="s">
        <v>69</v>
      </c>
      <c r="I50" s="4"/>
      <c r="J50" s="4"/>
      <c r="K50" s="4">
        <v>205</v>
      </c>
      <c r="L50" s="4">
        <v>14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232</v>
      </c>
      <c r="F51" s="4">
        <f>ROUND(Source!BC35,O51)</f>
        <v>0</v>
      </c>
      <c r="G51" s="4" t="s">
        <v>70</v>
      </c>
      <c r="H51" s="4" t="s">
        <v>71</v>
      </c>
      <c r="I51" s="4"/>
      <c r="J51" s="4"/>
      <c r="K51" s="4">
        <v>232</v>
      </c>
      <c r="L51" s="4">
        <v>15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214</v>
      </c>
      <c r="F52" s="4">
        <f>ROUND(Source!AS35,O52)</f>
        <v>20120.73</v>
      </c>
      <c r="G52" s="4" t="s">
        <v>72</v>
      </c>
      <c r="H52" s="4" t="s">
        <v>73</v>
      </c>
      <c r="I52" s="4"/>
      <c r="J52" s="4"/>
      <c r="K52" s="4">
        <v>214</v>
      </c>
      <c r="L52" s="4">
        <v>16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215</v>
      </c>
      <c r="F53" s="4">
        <f>ROUND(Source!AT35,O53)</f>
        <v>0</v>
      </c>
      <c r="G53" s="4" t="s">
        <v>74</v>
      </c>
      <c r="H53" s="4" t="s">
        <v>75</v>
      </c>
      <c r="I53" s="4"/>
      <c r="J53" s="4"/>
      <c r="K53" s="4">
        <v>215</v>
      </c>
      <c r="L53" s="4">
        <v>17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217</v>
      </c>
      <c r="F54" s="4">
        <f>ROUND(Source!AU35,O54)</f>
        <v>0</v>
      </c>
      <c r="G54" s="4" t="s">
        <v>76</v>
      </c>
      <c r="H54" s="4" t="s">
        <v>77</v>
      </c>
      <c r="I54" s="4"/>
      <c r="J54" s="4"/>
      <c r="K54" s="4">
        <v>217</v>
      </c>
      <c r="L54" s="4">
        <v>18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230</v>
      </c>
      <c r="F55" s="4">
        <f>ROUND(Source!BA35,O55)</f>
        <v>0</v>
      </c>
      <c r="G55" s="4" t="s">
        <v>78</v>
      </c>
      <c r="H55" s="4" t="s">
        <v>79</v>
      </c>
      <c r="I55" s="4"/>
      <c r="J55" s="4"/>
      <c r="K55" s="4">
        <v>230</v>
      </c>
      <c r="L55" s="4">
        <v>19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206</v>
      </c>
      <c r="F56" s="4">
        <f>ROUND(Source!T35,O56)</f>
        <v>0</v>
      </c>
      <c r="G56" s="4" t="s">
        <v>80</v>
      </c>
      <c r="H56" s="4" t="s">
        <v>81</v>
      </c>
      <c r="I56" s="4"/>
      <c r="J56" s="4"/>
      <c r="K56" s="4">
        <v>206</v>
      </c>
      <c r="L56" s="4">
        <v>20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207</v>
      </c>
      <c r="F57" s="4">
        <f>Source!U35</f>
        <v>29.823119999999999</v>
      </c>
      <c r="G57" s="4" t="s">
        <v>82</v>
      </c>
      <c r="H57" s="4" t="s">
        <v>83</v>
      </c>
      <c r="I57" s="4"/>
      <c r="J57" s="4"/>
      <c r="K57" s="4">
        <v>207</v>
      </c>
      <c r="L57" s="4">
        <v>21</v>
      </c>
      <c r="M57" s="4">
        <v>3</v>
      </c>
      <c r="N57" s="4" t="s">
        <v>3</v>
      </c>
      <c r="O57" s="4">
        <v>-1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208</v>
      </c>
      <c r="F58" s="4">
        <f>Source!V35</f>
        <v>0.60250000000000004</v>
      </c>
      <c r="G58" s="4" t="s">
        <v>84</v>
      </c>
      <c r="H58" s="4" t="s">
        <v>85</v>
      </c>
      <c r="I58" s="4"/>
      <c r="J58" s="4"/>
      <c r="K58" s="4">
        <v>208</v>
      </c>
      <c r="L58" s="4">
        <v>22</v>
      </c>
      <c r="M58" s="4">
        <v>3</v>
      </c>
      <c r="N58" s="4" t="s">
        <v>3</v>
      </c>
      <c r="O58" s="4">
        <v>-1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209</v>
      </c>
      <c r="F59" s="4">
        <f>ROUND(Source!W35,O59)</f>
        <v>0</v>
      </c>
      <c r="G59" s="4" t="s">
        <v>86</v>
      </c>
      <c r="H59" s="4" t="s">
        <v>87</v>
      </c>
      <c r="I59" s="4"/>
      <c r="J59" s="4"/>
      <c r="K59" s="4">
        <v>209</v>
      </c>
      <c r="L59" s="4">
        <v>23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233</v>
      </c>
      <c r="F60" s="4">
        <f>ROUND(Source!BD35,O60)</f>
        <v>0</v>
      </c>
      <c r="G60" s="4" t="s">
        <v>88</v>
      </c>
      <c r="H60" s="4" t="s">
        <v>89</v>
      </c>
      <c r="I60" s="4"/>
      <c r="J60" s="4"/>
      <c r="K60" s="4">
        <v>233</v>
      </c>
      <c r="L60" s="4">
        <v>24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210</v>
      </c>
      <c r="F61" s="4">
        <f>ROUND(Source!X35,O61)</f>
        <v>6682.88</v>
      </c>
      <c r="G61" s="4" t="s">
        <v>90</v>
      </c>
      <c r="H61" s="4" t="s">
        <v>91</v>
      </c>
      <c r="I61" s="4"/>
      <c r="J61" s="4"/>
      <c r="K61" s="4">
        <v>210</v>
      </c>
      <c r="L61" s="4">
        <v>25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211</v>
      </c>
      <c r="F62" s="4">
        <f>ROUND(Source!Y35,O62)</f>
        <v>5144.59</v>
      </c>
      <c r="G62" s="4" t="s">
        <v>92</v>
      </c>
      <c r="H62" s="4" t="s">
        <v>93</v>
      </c>
      <c r="I62" s="4"/>
      <c r="J62" s="4"/>
      <c r="K62" s="4">
        <v>211</v>
      </c>
      <c r="L62" s="4">
        <v>26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224</v>
      </c>
      <c r="F63" s="4">
        <f>ROUND(Source!AR35,O63)</f>
        <v>20120.73</v>
      </c>
      <c r="G63" s="4" t="s">
        <v>94</v>
      </c>
      <c r="H63" s="4" t="s">
        <v>95</v>
      </c>
      <c r="I63" s="4"/>
      <c r="J63" s="4"/>
      <c r="K63" s="4">
        <v>224</v>
      </c>
      <c r="L63" s="4">
        <v>27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5" spans="1:245">
      <c r="A65" s="1">
        <v>4</v>
      </c>
      <c r="B65" s="1">
        <v>1</v>
      </c>
      <c r="C65" s="1"/>
      <c r="D65" s="1">
        <f>ROW(A88)</f>
        <v>88</v>
      </c>
      <c r="E65" s="1"/>
      <c r="F65" s="1" t="s">
        <v>13</v>
      </c>
      <c r="G65" s="1" t="s">
        <v>74</v>
      </c>
      <c r="H65" s="1" t="s">
        <v>3</v>
      </c>
      <c r="I65" s="1">
        <v>0</v>
      </c>
      <c r="J65" s="1"/>
      <c r="K65" s="1">
        <v>0</v>
      </c>
      <c r="L65" s="1"/>
      <c r="M65" s="1" t="s">
        <v>3</v>
      </c>
      <c r="N65" s="1"/>
      <c r="O65" s="1"/>
      <c r="P65" s="1"/>
      <c r="Q65" s="1"/>
      <c r="R65" s="1"/>
      <c r="S65" s="1">
        <v>0</v>
      </c>
      <c r="T65" s="1"/>
      <c r="U65" s="1" t="s">
        <v>3</v>
      </c>
      <c r="V65" s="1">
        <v>0</v>
      </c>
      <c r="W65" s="1"/>
      <c r="X65" s="1"/>
      <c r="Y65" s="1"/>
      <c r="Z65" s="1"/>
      <c r="AA65" s="1"/>
      <c r="AB65" s="1" t="s">
        <v>3</v>
      </c>
      <c r="AC65" s="1" t="s">
        <v>3</v>
      </c>
      <c r="AD65" s="1" t="s">
        <v>3</v>
      </c>
      <c r="AE65" s="1" t="s">
        <v>3</v>
      </c>
      <c r="AF65" s="1" t="s">
        <v>3</v>
      </c>
      <c r="AG65" s="1" t="s">
        <v>3</v>
      </c>
      <c r="AH65" s="1"/>
      <c r="AI65" s="1"/>
      <c r="AJ65" s="1"/>
      <c r="AK65" s="1"/>
      <c r="AL65" s="1"/>
      <c r="AM65" s="1"/>
      <c r="AN65" s="1"/>
      <c r="AO65" s="1"/>
      <c r="AP65" s="1" t="s">
        <v>3</v>
      </c>
      <c r="AQ65" s="1" t="s">
        <v>3</v>
      </c>
      <c r="AR65" s="1" t="s">
        <v>3</v>
      </c>
      <c r="AS65" s="1"/>
      <c r="AT65" s="1"/>
      <c r="AU65" s="1"/>
      <c r="AV65" s="1"/>
      <c r="AW65" s="1"/>
      <c r="AX65" s="1"/>
      <c r="AY65" s="1"/>
      <c r="AZ65" s="1" t="s">
        <v>3</v>
      </c>
      <c r="BA65" s="1"/>
      <c r="BB65" s="1" t="s">
        <v>3</v>
      </c>
      <c r="BC65" s="1" t="s">
        <v>3</v>
      </c>
      <c r="BD65" s="1" t="s">
        <v>3</v>
      </c>
      <c r="BE65" s="1" t="s">
        <v>3</v>
      </c>
      <c r="BF65" s="1" t="s">
        <v>3</v>
      </c>
      <c r="BG65" s="1" t="s">
        <v>3</v>
      </c>
      <c r="BH65" s="1" t="s">
        <v>3</v>
      </c>
      <c r="BI65" s="1" t="s">
        <v>3</v>
      </c>
      <c r="BJ65" s="1" t="s">
        <v>3</v>
      </c>
      <c r="BK65" s="1" t="s">
        <v>3</v>
      </c>
      <c r="BL65" s="1" t="s">
        <v>3</v>
      </c>
      <c r="BM65" s="1" t="s">
        <v>3</v>
      </c>
      <c r="BN65" s="1" t="s">
        <v>3</v>
      </c>
      <c r="BO65" s="1" t="s">
        <v>3</v>
      </c>
      <c r="BP65" s="1" t="s">
        <v>3</v>
      </c>
      <c r="BQ65" s="1"/>
      <c r="BR65" s="1"/>
      <c r="BS65" s="1"/>
      <c r="BT65" s="1"/>
      <c r="BU65" s="1"/>
      <c r="BV65" s="1"/>
      <c r="BW65" s="1"/>
      <c r="BX65" s="1">
        <v>0</v>
      </c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>
        <v>0</v>
      </c>
    </row>
    <row r="67" spans="1:245">
      <c r="A67" s="2">
        <v>52</v>
      </c>
      <c r="B67" s="2">
        <f t="shared" ref="B67:G67" si="57">B88</f>
        <v>1</v>
      </c>
      <c r="C67" s="2">
        <f t="shared" si="57"/>
        <v>4</v>
      </c>
      <c r="D67" s="2">
        <f t="shared" si="57"/>
        <v>65</v>
      </c>
      <c r="E67" s="2">
        <f t="shared" si="57"/>
        <v>0</v>
      </c>
      <c r="F67" s="2" t="str">
        <f t="shared" si="57"/>
        <v>Новый раздел</v>
      </c>
      <c r="G67" s="2" t="str">
        <f t="shared" si="57"/>
        <v>Монтаж</v>
      </c>
      <c r="H67" s="2"/>
      <c r="I67" s="2"/>
      <c r="J67" s="2"/>
      <c r="K67" s="2"/>
      <c r="L67" s="2"/>
      <c r="M67" s="2"/>
      <c r="N67" s="2"/>
      <c r="O67" s="2">
        <f t="shared" ref="O67:AT67" si="58">O88</f>
        <v>179373.23</v>
      </c>
      <c r="P67" s="2">
        <f t="shared" si="58"/>
        <v>133856.6</v>
      </c>
      <c r="Q67" s="2">
        <f t="shared" si="58"/>
        <v>4539.6899999999996</v>
      </c>
      <c r="R67" s="2">
        <f t="shared" si="58"/>
        <v>931.24</v>
      </c>
      <c r="S67" s="2">
        <f t="shared" si="58"/>
        <v>40976.94</v>
      </c>
      <c r="T67" s="2">
        <f t="shared" si="58"/>
        <v>0</v>
      </c>
      <c r="U67" s="2">
        <f t="shared" si="58"/>
        <v>136.77176</v>
      </c>
      <c r="V67" s="2">
        <f t="shared" si="58"/>
        <v>2.1370399999999998</v>
      </c>
      <c r="W67" s="2">
        <f t="shared" si="58"/>
        <v>1829.79</v>
      </c>
      <c r="X67" s="2">
        <f t="shared" si="58"/>
        <v>42239.72</v>
      </c>
      <c r="Y67" s="2">
        <f t="shared" si="58"/>
        <v>24415.48</v>
      </c>
      <c r="Z67" s="2">
        <f t="shared" si="58"/>
        <v>0</v>
      </c>
      <c r="AA67" s="2">
        <f t="shared" si="58"/>
        <v>0</v>
      </c>
      <c r="AB67" s="2">
        <f t="shared" si="58"/>
        <v>179373.23</v>
      </c>
      <c r="AC67" s="2">
        <f t="shared" si="58"/>
        <v>133856.6</v>
      </c>
      <c r="AD67" s="2">
        <f t="shared" si="58"/>
        <v>4539.6899999999996</v>
      </c>
      <c r="AE67" s="2">
        <f t="shared" si="58"/>
        <v>931.24</v>
      </c>
      <c r="AF67" s="2">
        <f t="shared" si="58"/>
        <v>40976.94</v>
      </c>
      <c r="AG67" s="2">
        <f t="shared" si="58"/>
        <v>0</v>
      </c>
      <c r="AH67" s="2">
        <f t="shared" si="58"/>
        <v>136.77176</v>
      </c>
      <c r="AI67" s="2">
        <f t="shared" si="58"/>
        <v>2.1370399999999998</v>
      </c>
      <c r="AJ67" s="2">
        <f t="shared" si="58"/>
        <v>1829.79</v>
      </c>
      <c r="AK67" s="2">
        <f t="shared" si="58"/>
        <v>42239.72</v>
      </c>
      <c r="AL67" s="2">
        <f t="shared" si="58"/>
        <v>24415.48</v>
      </c>
      <c r="AM67" s="2">
        <f t="shared" si="58"/>
        <v>0</v>
      </c>
      <c r="AN67" s="2">
        <f t="shared" si="58"/>
        <v>0</v>
      </c>
      <c r="AO67" s="2">
        <f t="shared" si="58"/>
        <v>0</v>
      </c>
      <c r="AP67" s="2">
        <f t="shared" si="58"/>
        <v>0</v>
      </c>
      <c r="AQ67" s="2">
        <f t="shared" si="58"/>
        <v>0</v>
      </c>
      <c r="AR67" s="2">
        <f t="shared" si="58"/>
        <v>246028.43</v>
      </c>
      <c r="AS67" s="2">
        <f t="shared" si="58"/>
        <v>246028.43</v>
      </c>
      <c r="AT67" s="2">
        <f t="shared" si="58"/>
        <v>0</v>
      </c>
      <c r="AU67" s="2">
        <f t="shared" ref="AU67:BZ67" si="59">AU88</f>
        <v>0</v>
      </c>
      <c r="AV67" s="2">
        <f t="shared" si="59"/>
        <v>133856.6</v>
      </c>
      <c r="AW67" s="2">
        <f t="shared" si="59"/>
        <v>133856.6</v>
      </c>
      <c r="AX67" s="2">
        <f t="shared" si="59"/>
        <v>0</v>
      </c>
      <c r="AY67" s="2">
        <f t="shared" si="59"/>
        <v>133856.6</v>
      </c>
      <c r="AZ67" s="2">
        <f t="shared" si="59"/>
        <v>0</v>
      </c>
      <c r="BA67" s="2">
        <f t="shared" si="59"/>
        <v>0</v>
      </c>
      <c r="BB67" s="2">
        <f t="shared" si="59"/>
        <v>0</v>
      </c>
      <c r="BC67" s="2">
        <f t="shared" si="59"/>
        <v>0</v>
      </c>
      <c r="BD67" s="2">
        <f t="shared" si="59"/>
        <v>0</v>
      </c>
      <c r="BE67" s="2">
        <f t="shared" si="59"/>
        <v>0</v>
      </c>
      <c r="BF67" s="2">
        <f t="shared" si="59"/>
        <v>0</v>
      </c>
      <c r="BG67" s="2">
        <f t="shared" si="59"/>
        <v>0</v>
      </c>
      <c r="BH67" s="2">
        <f t="shared" si="59"/>
        <v>0</v>
      </c>
      <c r="BI67" s="2">
        <f t="shared" si="59"/>
        <v>0</v>
      </c>
      <c r="BJ67" s="2">
        <f t="shared" si="59"/>
        <v>0</v>
      </c>
      <c r="BK67" s="2">
        <f t="shared" si="59"/>
        <v>0</v>
      </c>
      <c r="BL67" s="2">
        <f t="shared" si="59"/>
        <v>0</v>
      </c>
      <c r="BM67" s="2">
        <f t="shared" si="59"/>
        <v>0</v>
      </c>
      <c r="BN67" s="2">
        <f t="shared" si="59"/>
        <v>0</v>
      </c>
      <c r="BO67" s="2">
        <f t="shared" si="59"/>
        <v>0</v>
      </c>
      <c r="BP67" s="2">
        <f t="shared" si="59"/>
        <v>0</v>
      </c>
      <c r="BQ67" s="2">
        <f t="shared" si="59"/>
        <v>0</v>
      </c>
      <c r="BR67" s="2">
        <f t="shared" si="59"/>
        <v>0</v>
      </c>
      <c r="BS67" s="2">
        <f t="shared" si="59"/>
        <v>0</v>
      </c>
      <c r="BT67" s="2">
        <f t="shared" si="59"/>
        <v>0</v>
      </c>
      <c r="BU67" s="2">
        <f t="shared" si="59"/>
        <v>0</v>
      </c>
      <c r="BV67" s="2">
        <f t="shared" si="59"/>
        <v>0</v>
      </c>
      <c r="BW67" s="2">
        <f t="shared" si="59"/>
        <v>0</v>
      </c>
      <c r="BX67" s="2">
        <f t="shared" si="59"/>
        <v>0</v>
      </c>
      <c r="BY67" s="2">
        <f t="shared" si="59"/>
        <v>0</v>
      </c>
      <c r="BZ67" s="2">
        <f t="shared" si="59"/>
        <v>0</v>
      </c>
      <c r="CA67" s="2">
        <f t="shared" ref="CA67:DF67" si="60">CA88</f>
        <v>246028.43</v>
      </c>
      <c r="CB67" s="2">
        <f t="shared" si="60"/>
        <v>246028.43</v>
      </c>
      <c r="CC67" s="2">
        <f t="shared" si="60"/>
        <v>0</v>
      </c>
      <c r="CD67" s="2">
        <f t="shared" si="60"/>
        <v>0</v>
      </c>
      <c r="CE67" s="2">
        <f t="shared" si="60"/>
        <v>133856.6</v>
      </c>
      <c r="CF67" s="2">
        <f t="shared" si="60"/>
        <v>133856.6</v>
      </c>
      <c r="CG67" s="2">
        <f t="shared" si="60"/>
        <v>0</v>
      </c>
      <c r="CH67" s="2">
        <f t="shared" si="60"/>
        <v>133856.6</v>
      </c>
      <c r="CI67" s="2">
        <f t="shared" si="60"/>
        <v>0</v>
      </c>
      <c r="CJ67" s="2">
        <f t="shared" si="60"/>
        <v>0</v>
      </c>
      <c r="CK67" s="2">
        <f t="shared" si="60"/>
        <v>0</v>
      </c>
      <c r="CL67" s="2">
        <f t="shared" si="60"/>
        <v>0</v>
      </c>
      <c r="CM67" s="2">
        <f t="shared" si="60"/>
        <v>0</v>
      </c>
      <c r="CN67" s="2">
        <f t="shared" si="60"/>
        <v>0</v>
      </c>
      <c r="CO67" s="2">
        <f t="shared" si="60"/>
        <v>0</v>
      </c>
      <c r="CP67" s="2">
        <f t="shared" si="60"/>
        <v>0</v>
      </c>
      <c r="CQ67" s="2">
        <f t="shared" si="60"/>
        <v>0</v>
      </c>
      <c r="CR67" s="2">
        <f t="shared" si="60"/>
        <v>0</v>
      </c>
      <c r="CS67" s="2">
        <f t="shared" si="60"/>
        <v>0</v>
      </c>
      <c r="CT67" s="2">
        <f t="shared" si="60"/>
        <v>0</v>
      </c>
      <c r="CU67" s="2">
        <f t="shared" si="60"/>
        <v>0</v>
      </c>
      <c r="CV67" s="2">
        <f t="shared" si="60"/>
        <v>0</v>
      </c>
      <c r="CW67" s="2">
        <f t="shared" si="60"/>
        <v>0</v>
      </c>
      <c r="CX67" s="2">
        <f t="shared" si="60"/>
        <v>0</v>
      </c>
      <c r="CY67" s="2">
        <f t="shared" si="60"/>
        <v>0</v>
      </c>
      <c r="CZ67" s="2">
        <f t="shared" si="60"/>
        <v>0</v>
      </c>
      <c r="DA67" s="2">
        <f t="shared" si="60"/>
        <v>0</v>
      </c>
      <c r="DB67" s="2">
        <f t="shared" si="60"/>
        <v>0</v>
      </c>
      <c r="DC67" s="2">
        <f t="shared" si="60"/>
        <v>0</v>
      </c>
      <c r="DD67" s="2">
        <f t="shared" si="60"/>
        <v>0</v>
      </c>
      <c r="DE67" s="2">
        <f t="shared" si="60"/>
        <v>0</v>
      </c>
      <c r="DF67" s="2">
        <f t="shared" si="60"/>
        <v>0</v>
      </c>
      <c r="DG67" s="3">
        <f t="shared" ref="DG67:EL67" si="61">DG88</f>
        <v>0</v>
      </c>
      <c r="DH67" s="3">
        <f t="shared" si="61"/>
        <v>0</v>
      </c>
      <c r="DI67" s="3">
        <f t="shared" si="61"/>
        <v>0</v>
      </c>
      <c r="DJ67" s="3">
        <f t="shared" si="61"/>
        <v>0</v>
      </c>
      <c r="DK67" s="3">
        <f t="shared" si="61"/>
        <v>0</v>
      </c>
      <c r="DL67" s="3">
        <f t="shared" si="61"/>
        <v>0</v>
      </c>
      <c r="DM67" s="3">
        <f t="shared" si="61"/>
        <v>0</v>
      </c>
      <c r="DN67" s="3">
        <f t="shared" si="61"/>
        <v>0</v>
      </c>
      <c r="DO67" s="3">
        <f t="shared" si="61"/>
        <v>0</v>
      </c>
      <c r="DP67" s="3">
        <f t="shared" si="61"/>
        <v>0</v>
      </c>
      <c r="DQ67" s="3">
        <f t="shared" si="61"/>
        <v>0</v>
      </c>
      <c r="DR67" s="3">
        <f t="shared" si="61"/>
        <v>0</v>
      </c>
      <c r="DS67" s="3">
        <f t="shared" si="61"/>
        <v>0</v>
      </c>
      <c r="DT67" s="3">
        <f t="shared" si="61"/>
        <v>0</v>
      </c>
      <c r="DU67" s="3">
        <f t="shared" si="61"/>
        <v>0</v>
      </c>
      <c r="DV67" s="3">
        <f t="shared" si="61"/>
        <v>0</v>
      </c>
      <c r="DW67" s="3">
        <f t="shared" si="61"/>
        <v>0</v>
      </c>
      <c r="DX67" s="3">
        <f t="shared" si="61"/>
        <v>0</v>
      </c>
      <c r="DY67" s="3">
        <f t="shared" si="61"/>
        <v>0</v>
      </c>
      <c r="DZ67" s="3">
        <f t="shared" si="61"/>
        <v>0</v>
      </c>
      <c r="EA67" s="3">
        <f t="shared" si="61"/>
        <v>0</v>
      </c>
      <c r="EB67" s="3">
        <f t="shared" si="61"/>
        <v>0</v>
      </c>
      <c r="EC67" s="3">
        <f t="shared" si="61"/>
        <v>0</v>
      </c>
      <c r="ED67" s="3">
        <f t="shared" si="61"/>
        <v>0</v>
      </c>
      <c r="EE67" s="3">
        <f t="shared" si="61"/>
        <v>0</v>
      </c>
      <c r="EF67" s="3">
        <f t="shared" si="61"/>
        <v>0</v>
      </c>
      <c r="EG67" s="3">
        <f t="shared" si="61"/>
        <v>0</v>
      </c>
      <c r="EH67" s="3">
        <f t="shared" si="61"/>
        <v>0</v>
      </c>
      <c r="EI67" s="3">
        <f t="shared" si="61"/>
        <v>0</v>
      </c>
      <c r="EJ67" s="3">
        <f t="shared" si="61"/>
        <v>0</v>
      </c>
      <c r="EK67" s="3">
        <f t="shared" si="61"/>
        <v>0</v>
      </c>
      <c r="EL67" s="3">
        <f t="shared" si="61"/>
        <v>0</v>
      </c>
      <c r="EM67" s="3">
        <f t="shared" ref="EM67:FR67" si="62">EM88</f>
        <v>0</v>
      </c>
      <c r="EN67" s="3">
        <f t="shared" si="62"/>
        <v>0</v>
      </c>
      <c r="EO67" s="3">
        <f t="shared" si="62"/>
        <v>0</v>
      </c>
      <c r="EP67" s="3">
        <f t="shared" si="62"/>
        <v>0</v>
      </c>
      <c r="EQ67" s="3">
        <f t="shared" si="62"/>
        <v>0</v>
      </c>
      <c r="ER67" s="3">
        <f t="shared" si="62"/>
        <v>0</v>
      </c>
      <c r="ES67" s="3">
        <f t="shared" si="62"/>
        <v>0</v>
      </c>
      <c r="ET67" s="3">
        <f t="shared" si="62"/>
        <v>0</v>
      </c>
      <c r="EU67" s="3">
        <f t="shared" si="62"/>
        <v>0</v>
      </c>
      <c r="EV67" s="3">
        <f t="shared" si="62"/>
        <v>0</v>
      </c>
      <c r="EW67" s="3">
        <f t="shared" si="62"/>
        <v>0</v>
      </c>
      <c r="EX67" s="3">
        <f t="shared" si="62"/>
        <v>0</v>
      </c>
      <c r="EY67" s="3">
        <f t="shared" si="62"/>
        <v>0</v>
      </c>
      <c r="EZ67" s="3">
        <f t="shared" si="62"/>
        <v>0</v>
      </c>
      <c r="FA67" s="3">
        <f t="shared" si="62"/>
        <v>0</v>
      </c>
      <c r="FB67" s="3">
        <f t="shared" si="62"/>
        <v>0</v>
      </c>
      <c r="FC67" s="3">
        <f t="shared" si="62"/>
        <v>0</v>
      </c>
      <c r="FD67" s="3">
        <f t="shared" si="62"/>
        <v>0</v>
      </c>
      <c r="FE67" s="3">
        <f t="shared" si="62"/>
        <v>0</v>
      </c>
      <c r="FF67" s="3">
        <f t="shared" si="62"/>
        <v>0</v>
      </c>
      <c r="FG67" s="3">
        <f t="shared" si="62"/>
        <v>0</v>
      </c>
      <c r="FH67" s="3">
        <f t="shared" si="62"/>
        <v>0</v>
      </c>
      <c r="FI67" s="3">
        <f t="shared" si="62"/>
        <v>0</v>
      </c>
      <c r="FJ67" s="3">
        <f t="shared" si="62"/>
        <v>0</v>
      </c>
      <c r="FK67" s="3">
        <f t="shared" si="62"/>
        <v>0</v>
      </c>
      <c r="FL67" s="3">
        <f t="shared" si="62"/>
        <v>0</v>
      </c>
      <c r="FM67" s="3">
        <f t="shared" si="62"/>
        <v>0</v>
      </c>
      <c r="FN67" s="3">
        <f t="shared" si="62"/>
        <v>0</v>
      </c>
      <c r="FO67" s="3">
        <f t="shared" si="62"/>
        <v>0</v>
      </c>
      <c r="FP67" s="3">
        <f t="shared" si="62"/>
        <v>0</v>
      </c>
      <c r="FQ67" s="3">
        <f t="shared" si="62"/>
        <v>0</v>
      </c>
      <c r="FR67" s="3">
        <f t="shared" si="62"/>
        <v>0</v>
      </c>
      <c r="FS67" s="3">
        <f t="shared" ref="FS67:GX67" si="63">FS88</f>
        <v>0</v>
      </c>
      <c r="FT67" s="3">
        <f t="shared" si="63"/>
        <v>0</v>
      </c>
      <c r="FU67" s="3">
        <f t="shared" si="63"/>
        <v>0</v>
      </c>
      <c r="FV67" s="3">
        <f t="shared" si="63"/>
        <v>0</v>
      </c>
      <c r="FW67" s="3">
        <f t="shared" si="63"/>
        <v>0</v>
      </c>
      <c r="FX67" s="3">
        <f t="shared" si="63"/>
        <v>0</v>
      </c>
      <c r="FY67" s="3">
        <f t="shared" si="63"/>
        <v>0</v>
      </c>
      <c r="FZ67" s="3">
        <f t="shared" si="63"/>
        <v>0</v>
      </c>
      <c r="GA67" s="3">
        <f t="shared" si="63"/>
        <v>0</v>
      </c>
      <c r="GB67" s="3">
        <f t="shared" si="63"/>
        <v>0</v>
      </c>
      <c r="GC67" s="3">
        <f t="shared" si="63"/>
        <v>0</v>
      </c>
      <c r="GD67" s="3">
        <f t="shared" si="63"/>
        <v>0</v>
      </c>
      <c r="GE67" s="3">
        <f t="shared" si="63"/>
        <v>0</v>
      </c>
      <c r="GF67" s="3">
        <f t="shared" si="63"/>
        <v>0</v>
      </c>
      <c r="GG67" s="3">
        <f t="shared" si="63"/>
        <v>0</v>
      </c>
      <c r="GH67" s="3">
        <f t="shared" si="63"/>
        <v>0</v>
      </c>
      <c r="GI67" s="3">
        <f t="shared" si="63"/>
        <v>0</v>
      </c>
      <c r="GJ67" s="3">
        <f t="shared" si="63"/>
        <v>0</v>
      </c>
      <c r="GK67" s="3">
        <f t="shared" si="63"/>
        <v>0</v>
      </c>
      <c r="GL67" s="3">
        <f t="shared" si="63"/>
        <v>0</v>
      </c>
      <c r="GM67" s="3">
        <f t="shared" si="63"/>
        <v>0</v>
      </c>
      <c r="GN67" s="3">
        <f t="shared" si="63"/>
        <v>0</v>
      </c>
      <c r="GO67" s="3">
        <f t="shared" si="63"/>
        <v>0</v>
      </c>
      <c r="GP67" s="3">
        <f t="shared" si="63"/>
        <v>0</v>
      </c>
      <c r="GQ67" s="3">
        <f t="shared" si="63"/>
        <v>0</v>
      </c>
      <c r="GR67" s="3">
        <f t="shared" si="63"/>
        <v>0</v>
      </c>
      <c r="GS67" s="3">
        <f t="shared" si="63"/>
        <v>0</v>
      </c>
      <c r="GT67" s="3">
        <f t="shared" si="63"/>
        <v>0</v>
      </c>
      <c r="GU67" s="3">
        <f t="shared" si="63"/>
        <v>0</v>
      </c>
      <c r="GV67" s="3">
        <f t="shared" si="63"/>
        <v>0</v>
      </c>
      <c r="GW67" s="3">
        <f t="shared" si="63"/>
        <v>0</v>
      </c>
      <c r="GX67" s="3">
        <f t="shared" si="63"/>
        <v>0</v>
      </c>
    </row>
    <row r="69" spans="1:245">
      <c r="A69">
        <v>17</v>
      </c>
      <c r="B69">
        <v>1</v>
      </c>
      <c r="C69">
        <f>ROW(SmtRes!A16)</f>
        <v>16</v>
      </c>
      <c r="D69">
        <f>ROW(EtalonRes!A16)</f>
        <v>16</v>
      </c>
      <c r="E69" t="s">
        <v>15</v>
      </c>
      <c r="F69" t="s">
        <v>96</v>
      </c>
      <c r="G69" t="s">
        <v>97</v>
      </c>
      <c r="H69" t="s">
        <v>98</v>
      </c>
      <c r="I69">
        <v>6.4</v>
      </c>
      <c r="J69">
        <v>0</v>
      </c>
      <c r="K69">
        <v>6.4</v>
      </c>
      <c r="O69">
        <f t="shared" ref="O69:O86" si="64">ROUND(CP69,2)</f>
        <v>12901.64</v>
      </c>
      <c r="P69">
        <f t="shared" ref="P69:P86" si="65">ROUND(CQ69*I69,2)</f>
        <v>1942.48</v>
      </c>
      <c r="Q69">
        <f t="shared" ref="Q69:Q86" si="66">ROUND(CR69*I69,2)</f>
        <v>149.22</v>
      </c>
      <c r="R69">
        <f t="shared" ref="R69:R86" si="67">ROUND(CS69*I69,2)</f>
        <v>0</v>
      </c>
      <c r="S69">
        <f t="shared" ref="S69:S86" si="68">ROUND(CT69*I69,2)</f>
        <v>10809.94</v>
      </c>
      <c r="T69">
        <f t="shared" ref="T69:T86" si="69">ROUND(CU69*I69,2)</f>
        <v>0</v>
      </c>
      <c r="U69">
        <f t="shared" ref="U69:U86" si="70">CV69*I69</f>
        <v>36.064</v>
      </c>
      <c r="V69">
        <f t="shared" ref="V69:V86" si="71">CW69*I69</f>
        <v>0</v>
      </c>
      <c r="W69">
        <f t="shared" ref="W69:W86" si="72">ROUND(CX69*I69,2)</f>
        <v>0</v>
      </c>
      <c r="X69">
        <f t="shared" ref="X69:X86" si="73">ROUND(CY69,2)</f>
        <v>11458.54</v>
      </c>
      <c r="Y69">
        <f t="shared" ref="Y69:Y86" si="74">ROUND(CZ69,2)</f>
        <v>5837.37</v>
      </c>
      <c r="AA69">
        <v>34132744</v>
      </c>
      <c r="AB69">
        <f t="shared" ref="AB69:AB86" si="75">ROUND((AC69+AD69+AF69),6)</f>
        <v>117.721</v>
      </c>
      <c r="AC69">
        <f>ROUND((ES69),6)</f>
        <v>64.44</v>
      </c>
      <c r="AD69">
        <f>ROUND(((((ET69*1.25))-((EU69*1.25)))+AE69),6)</f>
        <v>2.1749999999999998</v>
      </c>
      <c r="AE69">
        <f>ROUND(((EU69*1.25)),6)</f>
        <v>0</v>
      </c>
      <c r="AF69">
        <f>ROUND(((EV69*1.15)),6)</f>
        <v>51.106000000000002</v>
      </c>
      <c r="AG69">
        <f t="shared" ref="AG69:AG86" si="76">ROUND((AP69),6)</f>
        <v>0</v>
      </c>
      <c r="AH69">
        <f>((EW69*1.15))</f>
        <v>5.6349999999999998</v>
      </c>
      <c r="AI69">
        <f>((EX69*1.25))</f>
        <v>0</v>
      </c>
      <c r="AJ69">
        <f t="shared" ref="AJ69:AJ86" si="77">(AS69)</f>
        <v>0</v>
      </c>
      <c r="AK69">
        <v>110.62</v>
      </c>
      <c r="AL69">
        <v>64.44</v>
      </c>
      <c r="AM69">
        <v>1.74</v>
      </c>
      <c r="AN69">
        <v>0</v>
      </c>
      <c r="AO69">
        <v>44.44</v>
      </c>
      <c r="AP69">
        <v>0</v>
      </c>
      <c r="AQ69">
        <v>4.9000000000000004</v>
      </c>
      <c r="AR69">
        <v>0</v>
      </c>
      <c r="AS69">
        <v>0</v>
      </c>
      <c r="AT69">
        <v>106</v>
      </c>
      <c r="AU69">
        <v>54</v>
      </c>
      <c r="AV69">
        <v>1</v>
      </c>
      <c r="AW69">
        <v>1</v>
      </c>
      <c r="AZ69">
        <v>1</v>
      </c>
      <c r="BA69">
        <v>33.049999999999997</v>
      </c>
      <c r="BB69">
        <v>10.72</v>
      </c>
      <c r="BC69">
        <v>4.71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1</v>
      </c>
      <c r="BJ69" t="s">
        <v>99</v>
      </c>
      <c r="BM69">
        <v>10001</v>
      </c>
      <c r="BN69">
        <v>0</v>
      </c>
      <c r="BO69" t="s">
        <v>96</v>
      </c>
      <c r="BP69">
        <v>1</v>
      </c>
      <c r="BQ69">
        <v>2</v>
      </c>
      <c r="BR69">
        <v>0</v>
      </c>
      <c r="BS69">
        <v>33.049999999999997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118</v>
      </c>
      <c r="CA69">
        <v>63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608</v>
      </c>
      <c r="CO69">
        <v>0</v>
      </c>
      <c r="CP69">
        <f t="shared" ref="CP69:CP86" si="78">(P69+Q69+S69)</f>
        <v>12901.64</v>
      </c>
      <c r="CQ69">
        <f t="shared" ref="CQ69:CQ86" si="79">AC69*BC69</f>
        <v>303.51240000000001</v>
      </c>
      <c r="CR69">
        <f t="shared" ref="CR69:CR86" si="80">AD69*BB69</f>
        <v>23.315999999999999</v>
      </c>
      <c r="CS69">
        <f t="shared" ref="CS69:CS86" si="81">AE69*BS69</f>
        <v>0</v>
      </c>
      <c r="CT69">
        <f t="shared" ref="CT69:CT86" si="82">AF69*BA69</f>
        <v>1689.0532999999998</v>
      </c>
      <c r="CU69">
        <f t="shared" ref="CU69:CU86" si="83">AG69</f>
        <v>0</v>
      </c>
      <c r="CV69">
        <f t="shared" ref="CV69:CV86" si="84">AH69</f>
        <v>5.6349999999999998</v>
      </c>
      <c r="CW69">
        <f t="shared" ref="CW69:CW86" si="85">AI69</f>
        <v>0</v>
      </c>
      <c r="CX69">
        <f t="shared" ref="CX69:CX86" si="86">AJ69</f>
        <v>0</v>
      </c>
      <c r="CY69">
        <f t="shared" ref="CY69:CY86" si="87">(((S69+R69)*AT69)/100)</f>
        <v>11458.536400000001</v>
      </c>
      <c r="CZ69">
        <f t="shared" ref="CZ69:CZ86" si="88">(((S69+R69)*AU69)/100)</f>
        <v>5837.3676000000005</v>
      </c>
      <c r="DC69" t="s">
        <v>3</v>
      </c>
      <c r="DD69" t="s">
        <v>3</v>
      </c>
      <c r="DE69" t="s">
        <v>100</v>
      </c>
      <c r="DF69" t="s">
        <v>100</v>
      </c>
      <c r="DG69" t="s">
        <v>101</v>
      </c>
      <c r="DH69" t="s">
        <v>3</v>
      </c>
      <c r="DI69" t="s">
        <v>101</v>
      </c>
      <c r="DJ69" t="s">
        <v>100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98</v>
      </c>
      <c r="DW69" t="s">
        <v>98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36260426</v>
      </c>
      <c r="EF69">
        <v>2</v>
      </c>
      <c r="EG69" t="s">
        <v>102</v>
      </c>
      <c r="EH69">
        <v>0</v>
      </c>
      <c r="EI69" t="s">
        <v>3</v>
      </c>
      <c r="EJ69">
        <v>1</v>
      </c>
      <c r="EK69">
        <v>10001</v>
      </c>
      <c r="EL69" t="s">
        <v>103</v>
      </c>
      <c r="EM69" t="s">
        <v>104</v>
      </c>
      <c r="EO69" t="s">
        <v>105</v>
      </c>
      <c r="EQ69">
        <v>0</v>
      </c>
      <c r="ER69">
        <v>110.62</v>
      </c>
      <c r="ES69">
        <v>64.44</v>
      </c>
      <c r="ET69">
        <v>1.74</v>
      </c>
      <c r="EU69">
        <v>0</v>
      </c>
      <c r="EV69">
        <v>44.44</v>
      </c>
      <c r="EW69">
        <v>4.9000000000000004</v>
      </c>
      <c r="EX69">
        <v>0</v>
      </c>
      <c r="EY69">
        <v>0</v>
      </c>
      <c r="FQ69">
        <v>0</v>
      </c>
      <c r="FR69">
        <f t="shared" ref="FR69:FR86" si="89">ROUND(IF(AND(BH69=3,BI69=3),P69,0),2)</f>
        <v>0</v>
      </c>
      <c r="FS69">
        <v>0</v>
      </c>
      <c r="FT69" t="s">
        <v>106</v>
      </c>
      <c r="FU69" t="s">
        <v>107</v>
      </c>
      <c r="FX69">
        <v>106.2</v>
      </c>
      <c r="FY69">
        <v>53.55</v>
      </c>
      <c r="GA69" t="s">
        <v>3</v>
      </c>
      <c r="GD69">
        <v>1</v>
      </c>
      <c r="GF69">
        <v>176566342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 t="shared" ref="GL69:GL86" si="90">ROUND(IF(AND(BH69=3,BI69=3,FS69&lt;&gt;0),P69,0),2)</f>
        <v>0</v>
      </c>
      <c r="GM69">
        <f t="shared" ref="GM69:GM86" si="91">ROUND(O69+X69+Y69,2)+GX69</f>
        <v>30197.55</v>
      </c>
      <c r="GN69">
        <f t="shared" ref="GN69:GN86" si="92">IF(OR(BI69=0,BI69=1),ROUND(O69+X69+Y69,2),0)</f>
        <v>30197.55</v>
      </c>
      <c r="GO69">
        <f t="shared" ref="GO69:GO86" si="93">IF(BI69=2,ROUND(O69+X69+Y69,2),0)</f>
        <v>0</v>
      </c>
      <c r="GP69">
        <f t="shared" ref="GP69:GP86" si="94">IF(BI69=4,ROUND(O69+X69+Y69,2)+GX69,0)</f>
        <v>0</v>
      </c>
      <c r="GR69">
        <v>0</v>
      </c>
      <c r="GS69">
        <v>3</v>
      </c>
      <c r="GT69">
        <v>0</v>
      </c>
      <c r="GU69" t="s">
        <v>3</v>
      </c>
      <c r="GV69">
        <f t="shared" ref="GV69:GV86" si="95">ROUND((GT69),6)</f>
        <v>0</v>
      </c>
      <c r="GW69">
        <v>1</v>
      </c>
      <c r="GX69">
        <f t="shared" ref="GX69:GX86" si="96">ROUND(HC69*I69,2)</f>
        <v>0</v>
      </c>
      <c r="HA69">
        <v>0</v>
      </c>
      <c r="HB69">
        <v>0</v>
      </c>
      <c r="HC69">
        <f t="shared" ref="HC69:HC86" si="97">GV69*GW69</f>
        <v>0</v>
      </c>
      <c r="HE69" t="s">
        <v>3</v>
      </c>
      <c r="HF69" t="s">
        <v>3</v>
      </c>
      <c r="HM69" t="s">
        <v>3</v>
      </c>
      <c r="IK69">
        <v>0</v>
      </c>
    </row>
    <row r="70" spans="1:245">
      <c r="A70">
        <v>17</v>
      </c>
      <c r="B70">
        <v>1</v>
      </c>
      <c r="C70">
        <f>ROW(SmtRes!A40)</f>
        <v>40</v>
      </c>
      <c r="D70">
        <f>ROW(EtalonRes!A41)</f>
        <v>41</v>
      </c>
      <c r="E70" t="s">
        <v>28</v>
      </c>
      <c r="F70" t="s">
        <v>108</v>
      </c>
      <c r="G70" t="s">
        <v>109</v>
      </c>
      <c r="H70" t="s">
        <v>37</v>
      </c>
      <c r="I70">
        <f>ROUND(6.4/100,9)</f>
        <v>6.4000000000000001E-2</v>
      </c>
      <c r="J70">
        <v>0</v>
      </c>
      <c r="K70">
        <f>ROUND(6.4/100,9)</f>
        <v>6.4000000000000001E-2</v>
      </c>
      <c r="O70">
        <f t="shared" si="64"/>
        <v>1068.3399999999999</v>
      </c>
      <c r="P70">
        <f t="shared" si="65"/>
        <v>0</v>
      </c>
      <c r="Q70">
        <f t="shared" si="66"/>
        <v>247.99</v>
      </c>
      <c r="R70">
        <f t="shared" si="67"/>
        <v>79.17</v>
      </c>
      <c r="S70">
        <f t="shared" si="68"/>
        <v>820.35</v>
      </c>
      <c r="T70">
        <f t="shared" si="69"/>
        <v>0</v>
      </c>
      <c r="U70">
        <f t="shared" si="70"/>
        <v>2.84</v>
      </c>
      <c r="V70">
        <f t="shared" si="71"/>
        <v>0.16703999999999999</v>
      </c>
      <c r="W70">
        <f t="shared" si="72"/>
        <v>0</v>
      </c>
      <c r="X70">
        <f t="shared" si="73"/>
        <v>728.61</v>
      </c>
      <c r="Y70">
        <f t="shared" si="74"/>
        <v>647.65</v>
      </c>
      <c r="AA70">
        <v>34132744</v>
      </c>
      <c r="AB70">
        <f t="shared" si="75"/>
        <v>869.77750000000003</v>
      </c>
      <c r="AC70">
        <f>ROUND(0,6)</f>
        <v>0</v>
      </c>
      <c r="AD70">
        <f>ROUND((((ET70)-(EU70))+AE70),6)</f>
        <v>481.94</v>
      </c>
      <c r="AE70">
        <f>ROUND((EU70),6)</f>
        <v>37.43</v>
      </c>
      <c r="AF70">
        <f>ROUND(((EV70*1.25)),6)</f>
        <v>387.83749999999998</v>
      </c>
      <c r="AG70">
        <f t="shared" si="76"/>
        <v>0</v>
      </c>
      <c r="AH70">
        <f>((EW70*1.25))</f>
        <v>44.375</v>
      </c>
      <c r="AI70">
        <f>(EX70)</f>
        <v>2.61</v>
      </c>
      <c r="AJ70">
        <f t="shared" si="77"/>
        <v>0</v>
      </c>
      <c r="AK70">
        <v>946.18</v>
      </c>
      <c r="AL70">
        <v>153.97</v>
      </c>
      <c r="AM70">
        <v>481.94</v>
      </c>
      <c r="AN70">
        <v>37.43</v>
      </c>
      <c r="AO70">
        <v>310.27</v>
      </c>
      <c r="AP70">
        <v>0</v>
      </c>
      <c r="AQ70">
        <v>35.5</v>
      </c>
      <c r="AR70">
        <v>2.61</v>
      </c>
      <c r="AS70">
        <v>0</v>
      </c>
      <c r="AT70">
        <v>81</v>
      </c>
      <c r="AU70">
        <v>72</v>
      </c>
      <c r="AV70">
        <v>1</v>
      </c>
      <c r="AW70">
        <v>1</v>
      </c>
      <c r="AZ70">
        <v>1</v>
      </c>
      <c r="BA70">
        <v>33.049999999999997</v>
      </c>
      <c r="BB70">
        <v>8.0399999999999991</v>
      </c>
      <c r="BC70">
        <v>10.029999999999999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1</v>
      </c>
      <c r="BJ70" t="s">
        <v>110</v>
      </c>
      <c r="BM70">
        <v>9001</v>
      </c>
      <c r="BN70">
        <v>0</v>
      </c>
      <c r="BO70" t="s">
        <v>108</v>
      </c>
      <c r="BP70">
        <v>1</v>
      </c>
      <c r="BQ70">
        <v>2</v>
      </c>
      <c r="BR70">
        <v>0</v>
      </c>
      <c r="BS70">
        <v>33.049999999999997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90</v>
      </c>
      <c r="CA70">
        <v>85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78"/>
        <v>1068.3400000000001</v>
      </c>
      <c r="CQ70">
        <f t="shared" si="79"/>
        <v>0</v>
      </c>
      <c r="CR70">
        <f t="shared" si="80"/>
        <v>3874.7975999999994</v>
      </c>
      <c r="CS70">
        <f t="shared" si="81"/>
        <v>1237.0614999999998</v>
      </c>
      <c r="CT70">
        <f t="shared" si="82"/>
        <v>12818.029374999998</v>
      </c>
      <c r="CU70">
        <f t="shared" si="83"/>
        <v>0</v>
      </c>
      <c r="CV70">
        <f t="shared" si="84"/>
        <v>44.375</v>
      </c>
      <c r="CW70">
        <f t="shared" si="85"/>
        <v>2.61</v>
      </c>
      <c r="CX70">
        <f t="shared" si="86"/>
        <v>0</v>
      </c>
      <c r="CY70">
        <f t="shared" si="87"/>
        <v>728.61119999999994</v>
      </c>
      <c r="CZ70">
        <f t="shared" si="88"/>
        <v>647.65440000000001</v>
      </c>
      <c r="DC70" t="s">
        <v>3</v>
      </c>
      <c r="DD70" t="s">
        <v>111</v>
      </c>
      <c r="DE70" t="s">
        <v>3</v>
      </c>
      <c r="DF70" t="s">
        <v>3</v>
      </c>
      <c r="DG70" t="s">
        <v>112</v>
      </c>
      <c r="DH70" t="s">
        <v>3</v>
      </c>
      <c r="DI70" t="s">
        <v>112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1013</v>
      </c>
      <c r="DV70" t="s">
        <v>37</v>
      </c>
      <c r="DW70" t="s">
        <v>37</v>
      </c>
      <c r="DX70">
        <v>1</v>
      </c>
      <c r="DZ70" t="s">
        <v>3</v>
      </c>
      <c r="EA70" t="s">
        <v>3</v>
      </c>
      <c r="EB70" t="s">
        <v>3</v>
      </c>
      <c r="EC70" t="s">
        <v>3</v>
      </c>
      <c r="EE70">
        <v>36260425</v>
      </c>
      <c r="EF70">
        <v>2</v>
      </c>
      <c r="EG70" t="s">
        <v>102</v>
      </c>
      <c r="EH70">
        <v>0</v>
      </c>
      <c r="EI70" t="s">
        <v>3</v>
      </c>
      <c r="EJ70">
        <v>1</v>
      </c>
      <c r="EK70">
        <v>9001</v>
      </c>
      <c r="EL70" t="s">
        <v>113</v>
      </c>
      <c r="EM70" t="s">
        <v>114</v>
      </c>
      <c r="EO70" t="s">
        <v>3</v>
      </c>
      <c r="EQ70">
        <v>0</v>
      </c>
      <c r="ER70">
        <v>946.18</v>
      </c>
      <c r="ES70">
        <v>153.97</v>
      </c>
      <c r="ET70">
        <v>481.94</v>
      </c>
      <c r="EU70">
        <v>37.43</v>
      </c>
      <c r="EV70">
        <v>310.27</v>
      </c>
      <c r="EW70">
        <v>35.5</v>
      </c>
      <c r="EX70">
        <v>2.61</v>
      </c>
      <c r="EY70">
        <v>0</v>
      </c>
      <c r="FQ70">
        <v>0</v>
      </c>
      <c r="FR70">
        <f t="shared" si="89"/>
        <v>0</v>
      </c>
      <c r="FS70">
        <v>0</v>
      </c>
      <c r="FT70" t="s">
        <v>106</v>
      </c>
      <c r="FU70" t="s">
        <v>107</v>
      </c>
      <c r="FX70">
        <v>81</v>
      </c>
      <c r="FY70">
        <v>72.25</v>
      </c>
      <c r="GA70" t="s">
        <v>3</v>
      </c>
      <c r="GD70">
        <v>1</v>
      </c>
      <c r="GF70">
        <v>-566091124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 t="shared" si="90"/>
        <v>0</v>
      </c>
      <c r="GM70">
        <f t="shared" si="91"/>
        <v>2444.6</v>
      </c>
      <c r="GN70">
        <f t="shared" si="92"/>
        <v>2444.6</v>
      </c>
      <c r="GO70">
        <f t="shared" si="93"/>
        <v>0</v>
      </c>
      <c r="GP70">
        <f t="shared" si="94"/>
        <v>0</v>
      </c>
      <c r="GR70">
        <v>0</v>
      </c>
      <c r="GS70">
        <v>0</v>
      </c>
      <c r="GT70">
        <v>0</v>
      </c>
      <c r="GU70" t="s">
        <v>3</v>
      </c>
      <c r="GV70">
        <f t="shared" si="95"/>
        <v>0</v>
      </c>
      <c r="GW70">
        <v>1</v>
      </c>
      <c r="GX70">
        <f t="shared" si="96"/>
        <v>0</v>
      </c>
      <c r="HA70">
        <v>0</v>
      </c>
      <c r="HB70">
        <v>0</v>
      </c>
      <c r="HC70">
        <f t="shared" si="97"/>
        <v>0</v>
      </c>
      <c r="HE70" t="s">
        <v>3</v>
      </c>
      <c r="HF70" t="s">
        <v>3</v>
      </c>
      <c r="HM70" t="s">
        <v>3</v>
      </c>
      <c r="IK70">
        <v>0</v>
      </c>
    </row>
    <row r="71" spans="1:245">
      <c r="A71">
        <v>18</v>
      </c>
      <c r="B71">
        <v>1</v>
      </c>
      <c r="C71">
        <v>40</v>
      </c>
      <c r="E71" t="s">
        <v>33</v>
      </c>
      <c r="F71" t="s">
        <v>115</v>
      </c>
      <c r="G71" t="s">
        <v>116</v>
      </c>
      <c r="H71" t="s">
        <v>117</v>
      </c>
      <c r="I71">
        <f>I70*J71</f>
        <v>2.8444440000000002</v>
      </c>
      <c r="J71">
        <v>44.444437499999999</v>
      </c>
      <c r="K71">
        <v>44.444443999999997</v>
      </c>
      <c r="O71">
        <f t="shared" si="64"/>
        <v>1943.69</v>
      </c>
      <c r="P71">
        <f t="shared" si="65"/>
        <v>1943.69</v>
      </c>
      <c r="Q71">
        <f t="shared" si="66"/>
        <v>0</v>
      </c>
      <c r="R71">
        <f t="shared" si="67"/>
        <v>0</v>
      </c>
      <c r="S71">
        <f t="shared" si="68"/>
        <v>0</v>
      </c>
      <c r="T71">
        <f t="shared" si="69"/>
        <v>0</v>
      </c>
      <c r="U71">
        <f t="shared" si="70"/>
        <v>0</v>
      </c>
      <c r="V71">
        <f t="shared" si="71"/>
        <v>0</v>
      </c>
      <c r="W71">
        <f t="shared" si="72"/>
        <v>0</v>
      </c>
      <c r="X71">
        <f t="shared" si="73"/>
        <v>0</v>
      </c>
      <c r="Y71">
        <f t="shared" si="74"/>
        <v>0</v>
      </c>
      <c r="AA71">
        <v>34132744</v>
      </c>
      <c r="AB71">
        <f t="shared" si="75"/>
        <v>683.33</v>
      </c>
      <c r="AC71">
        <f t="shared" ref="AC71:AC86" si="98">ROUND((ES71),6)</f>
        <v>683.33</v>
      </c>
      <c r="AD71">
        <f>ROUND((((ET71)-(EU71))+AE71),6)</f>
        <v>0</v>
      </c>
      <c r="AE71">
        <f>ROUND((EU71),6)</f>
        <v>0</v>
      </c>
      <c r="AF71">
        <f>ROUND((EV71),6)</f>
        <v>0</v>
      </c>
      <c r="AG71">
        <f t="shared" si="76"/>
        <v>0</v>
      </c>
      <c r="AH71">
        <f>(EW71)</f>
        <v>0</v>
      </c>
      <c r="AI71">
        <f>(EX71)</f>
        <v>0</v>
      </c>
      <c r="AJ71">
        <f t="shared" si="77"/>
        <v>0</v>
      </c>
      <c r="AK71">
        <v>683.33</v>
      </c>
      <c r="AL71">
        <v>683.33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108</v>
      </c>
      <c r="AU71">
        <v>55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12001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120</v>
      </c>
      <c r="CA71">
        <v>65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78"/>
        <v>1943.69</v>
      </c>
      <c r="CQ71">
        <f t="shared" si="79"/>
        <v>683.33</v>
      </c>
      <c r="CR71">
        <f t="shared" si="80"/>
        <v>0</v>
      </c>
      <c r="CS71">
        <f t="shared" si="81"/>
        <v>0</v>
      </c>
      <c r="CT71">
        <f t="shared" si="82"/>
        <v>0</v>
      </c>
      <c r="CU71">
        <f t="shared" si="83"/>
        <v>0</v>
      </c>
      <c r="CV71">
        <f t="shared" si="84"/>
        <v>0</v>
      </c>
      <c r="CW71">
        <f t="shared" si="85"/>
        <v>0</v>
      </c>
      <c r="CX71">
        <f t="shared" si="86"/>
        <v>0</v>
      </c>
      <c r="CY71">
        <f t="shared" si="87"/>
        <v>0</v>
      </c>
      <c r="CZ71">
        <f t="shared" si="88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1010</v>
      </c>
      <c r="DV71" t="s">
        <v>117</v>
      </c>
      <c r="DW71" t="s">
        <v>117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36260428</v>
      </c>
      <c r="EF71">
        <v>2</v>
      </c>
      <c r="EG71" t="s">
        <v>102</v>
      </c>
      <c r="EH71">
        <v>0</v>
      </c>
      <c r="EI71" t="s">
        <v>3</v>
      </c>
      <c r="EJ71">
        <v>1</v>
      </c>
      <c r="EK71">
        <v>12001</v>
      </c>
      <c r="EL71" t="s">
        <v>118</v>
      </c>
      <c r="EM71" t="s">
        <v>119</v>
      </c>
      <c r="EO71" t="s">
        <v>3</v>
      </c>
      <c r="EQ71">
        <v>0</v>
      </c>
      <c r="ER71">
        <v>0</v>
      </c>
      <c r="ES71">
        <v>683.33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89"/>
        <v>0</v>
      </c>
      <c r="FS71">
        <v>0</v>
      </c>
      <c r="FT71" t="s">
        <v>106</v>
      </c>
      <c r="FU71" t="s">
        <v>107</v>
      </c>
      <c r="FX71">
        <v>108</v>
      </c>
      <c r="FY71">
        <v>55.25</v>
      </c>
      <c r="GA71" t="s">
        <v>120</v>
      </c>
      <c r="GD71">
        <v>1</v>
      </c>
      <c r="GF71">
        <v>1248498412</v>
      </c>
      <c r="GG71">
        <v>2</v>
      </c>
      <c r="GH71">
        <v>2</v>
      </c>
      <c r="GI71">
        <v>-2</v>
      </c>
      <c r="GJ71">
        <v>0</v>
      </c>
      <c r="GK71">
        <v>0</v>
      </c>
      <c r="GL71">
        <f t="shared" si="90"/>
        <v>0</v>
      </c>
      <c r="GM71">
        <f t="shared" si="91"/>
        <v>1943.69</v>
      </c>
      <c r="GN71">
        <f t="shared" si="92"/>
        <v>1943.69</v>
      </c>
      <c r="GO71">
        <f t="shared" si="93"/>
        <v>0</v>
      </c>
      <c r="GP71">
        <f t="shared" si="94"/>
        <v>0</v>
      </c>
      <c r="GR71">
        <v>0</v>
      </c>
      <c r="GS71">
        <v>4</v>
      </c>
      <c r="GT71">
        <v>0</v>
      </c>
      <c r="GU71" t="s">
        <v>3</v>
      </c>
      <c r="GV71">
        <f t="shared" si="95"/>
        <v>0</v>
      </c>
      <c r="GW71">
        <v>1</v>
      </c>
      <c r="GX71">
        <f t="shared" si="96"/>
        <v>0</v>
      </c>
      <c r="HA71">
        <v>0</v>
      </c>
      <c r="HB71">
        <v>0</v>
      </c>
      <c r="HC71">
        <f t="shared" si="97"/>
        <v>0</v>
      </c>
      <c r="HE71" t="s">
        <v>3</v>
      </c>
      <c r="HF71" t="s">
        <v>3</v>
      </c>
      <c r="HM71" t="s">
        <v>3</v>
      </c>
      <c r="IK71">
        <v>0</v>
      </c>
    </row>
    <row r="72" spans="1:245">
      <c r="A72">
        <v>17</v>
      </c>
      <c r="B72">
        <v>1</v>
      </c>
      <c r="C72">
        <f>ROW(SmtRes!A50)</f>
        <v>50</v>
      </c>
      <c r="D72">
        <f>ROW(EtalonRes!A51)</f>
        <v>51</v>
      </c>
      <c r="E72" t="s">
        <v>34</v>
      </c>
      <c r="F72" t="s">
        <v>121</v>
      </c>
      <c r="G72" t="s">
        <v>122</v>
      </c>
      <c r="H72" t="s">
        <v>123</v>
      </c>
      <c r="I72">
        <v>6.4</v>
      </c>
      <c r="J72">
        <v>0</v>
      </c>
      <c r="K72">
        <v>6.4</v>
      </c>
      <c r="O72">
        <f t="shared" si="64"/>
        <v>8321.02</v>
      </c>
      <c r="P72">
        <f t="shared" si="65"/>
        <v>1002.16</v>
      </c>
      <c r="Q72">
        <f t="shared" si="66"/>
        <v>1527.13</v>
      </c>
      <c r="R72">
        <f t="shared" si="67"/>
        <v>0</v>
      </c>
      <c r="S72">
        <f t="shared" si="68"/>
        <v>5791.73</v>
      </c>
      <c r="T72">
        <f t="shared" si="69"/>
        <v>0</v>
      </c>
      <c r="U72">
        <f t="shared" si="70"/>
        <v>17.663999999999998</v>
      </c>
      <c r="V72">
        <f t="shared" si="71"/>
        <v>0</v>
      </c>
      <c r="W72">
        <f t="shared" si="72"/>
        <v>0</v>
      </c>
      <c r="X72">
        <f t="shared" si="73"/>
        <v>4691.3</v>
      </c>
      <c r="Y72">
        <f t="shared" si="74"/>
        <v>4170.05</v>
      </c>
      <c r="AA72">
        <v>34132744</v>
      </c>
      <c r="AB72">
        <f t="shared" si="75"/>
        <v>76.888999999999996</v>
      </c>
      <c r="AC72">
        <f t="shared" si="98"/>
        <v>25.67</v>
      </c>
      <c r="AD72">
        <f>ROUND(((((ET72*1.25))-((EU72*1.25)))+AE72),6)</f>
        <v>23.837499999999999</v>
      </c>
      <c r="AE72">
        <f>ROUND(((EU72*1.25)),6)</f>
        <v>0</v>
      </c>
      <c r="AF72">
        <f>ROUND(((EV72*1.15)),6)</f>
        <v>27.381499999999999</v>
      </c>
      <c r="AG72">
        <f t="shared" si="76"/>
        <v>0</v>
      </c>
      <c r="AH72">
        <f>((EW72*1.15))</f>
        <v>2.76</v>
      </c>
      <c r="AI72">
        <f>((EX72*1.25))</f>
        <v>0</v>
      </c>
      <c r="AJ72">
        <f t="shared" si="77"/>
        <v>0</v>
      </c>
      <c r="AK72">
        <v>68.55</v>
      </c>
      <c r="AL72">
        <v>25.67</v>
      </c>
      <c r="AM72">
        <v>19.07</v>
      </c>
      <c r="AN72">
        <v>0</v>
      </c>
      <c r="AO72">
        <v>23.81</v>
      </c>
      <c r="AP72">
        <v>0</v>
      </c>
      <c r="AQ72">
        <v>2.4</v>
      </c>
      <c r="AR72">
        <v>0</v>
      </c>
      <c r="AS72">
        <v>0</v>
      </c>
      <c r="AT72">
        <v>81</v>
      </c>
      <c r="AU72">
        <v>72</v>
      </c>
      <c r="AV72">
        <v>1</v>
      </c>
      <c r="AW72">
        <v>1</v>
      </c>
      <c r="AZ72">
        <v>1</v>
      </c>
      <c r="BA72">
        <v>33.049999999999997</v>
      </c>
      <c r="BB72">
        <v>10.01</v>
      </c>
      <c r="BC72">
        <v>6.1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124</v>
      </c>
      <c r="BM72">
        <v>9001</v>
      </c>
      <c r="BN72">
        <v>0</v>
      </c>
      <c r="BO72" t="s">
        <v>121</v>
      </c>
      <c r="BP72">
        <v>1</v>
      </c>
      <c r="BQ72">
        <v>2</v>
      </c>
      <c r="BR72">
        <v>0</v>
      </c>
      <c r="BS72">
        <v>33.049999999999997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90</v>
      </c>
      <c r="CA72">
        <v>85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608</v>
      </c>
      <c r="CO72">
        <v>0</v>
      </c>
      <c r="CP72">
        <f t="shared" si="78"/>
        <v>8321.02</v>
      </c>
      <c r="CQ72">
        <f t="shared" si="79"/>
        <v>156.58699999999999</v>
      </c>
      <c r="CR72">
        <f t="shared" si="80"/>
        <v>238.61337499999999</v>
      </c>
      <c r="CS72">
        <f t="shared" si="81"/>
        <v>0</v>
      </c>
      <c r="CT72">
        <f t="shared" si="82"/>
        <v>904.95857499999988</v>
      </c>
      <c r="CU72">
        <f t="shared" si="83"/>
        <v>0</v>
      </c>
      <c r="CV72">
        <f t="shared" si="84"/>
        <v>2.76</v>
      </c>
      <c r="CW72">
        <f t="shared" si="85"/>
        <v>0</v>
      </c>
      <c r="CX72">
        <f t="shared" si="86"/>
        <v>0</v>
      </c>
      <c r="CY72">
        <f t="shared" si="87"/>
        <v>4691.3012999999992</v>
      </c>
      <c r="CZ72">
        <f t="shared" si="88"/>
        <v>4170.0455999999995</v>
      </c>
      <c r="DC72" t="s">
        <v>3</v>
      </c>
      <c r="DD72" t="s">
        <v>3</v>
      </c>
      <c r="DE72" t="s">
        <v>100</v>
      </c>
      <c r="DF72" t="s">
        <v>100</v>
      </c>
      <c r="DG72" t="s">
        <v>101</v>
      </c>
      <c r="DH72" t="s">
        <v>3</v>
      </c>
      <c r="DI72" t="s">
        <v>101</v>
      </c>
      <c r="DJ72" t="s">
        <v>100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123</v>
      </c>
      <c r="DW72" t="s">
        <v>123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36260425</v>
      </c>
      <c r="EF72">
        <v>2</v>
      </c>
      <c r="EG72" t="s">
        <v>102</v>
      </c>
      <c r="EH72">
        <v>0</v>
      </c>
      <c r="EI72" t="s">
        <v>3</v>
      </c>
      <c r="EJ72">
        <v>1</v>
      </c>
      <c r="EK72">
        <v>9001</v>
      </c>
      <c r="EL72" t="s">
        <v>113</v>
      </c>
      <c r="EM72" t="s">
        <v>114</v>
      </c>
      <c r="EO72" t="s">
        <v>105</v>
      </c>
      <c r="EQ72">
        <v>0</v>
      </c>
      <c r="ER72">
        <v>68.55</v>
      </c>
      <c r="ES72">
        <v>25.67</v>
      </c>
      <c r="ET72">
        <v>19.07</v>
      </c>
      <c r="EU72">
        <v>0</v>
      </c>
      <c r="EV72">
        <v>23.81</v>
      </c>
      <c r="EW72">
        <v>2.4</v>
      </c>
      <c r="EX72">
        <v>0</v>
      </c>
      <c r="EY72">
        <v>0</v>
      </c>
      <c r="FQ72">
        <v>0</v>
      </c>
      <c r="FR72">
        <f t="shared" si="89"/>
        <v>0</v>
      </c>
      <c r="FS72">
        <v>0</v>
      </c>
      <c r="FT72" t="s">
        <v>106</v>
      </c>
      <c r="FU72" t="s">
        <v>107</v>
      </c>
      <c r="FX72">
        <v>81</v>
      </c>
      <c r="FY72">
        <v>72.25</v>
      </c>
      <c r="GA72" t="s">
        <v>3</v>
      </c>
      <c r="GD72">
        <v>1</v>
      </c>
      <c r="GF72">
        <v>467939286</v>
      </c>
      <c r="GG72">
        <v>2</v>
      </c>
      <c r="GH72">
        <v>1</v>
      </c>
      <c r="GI72">
        <v>2</v>
      </c>
      <c r="GJ72">
        <v>0</v>
      </c>
      <c r="GK72">
        <v>0</v>
      </c>
      <c r="GL72">
        <f t="shared" si="90"/>
        <v>0</v>
      </c>
      <c r="GM72">
        <f t="shared" si="91"/>
        <v>17182.37</v>
      </c>
      <c r="GN72">
        <f t="shared" si="92"/>
        <v>17182.37</v>
      </c>
      <c r="GO72">
        <f t="shared" si="93"/>
        <v>0</v>
      </c>
      <c r="GP72">
        <f t="shared" si="94"/>
        <v>0</v>
      </c>
      <c r="GR72">
        <v>0</v>
      </c>
      <c r="GS72">
        <v>3</v>
      </c>
      <c r="GT72">
        <v>0</v>
      </c>
      <c r="GU72" t="s">
        <v>3</v>
      </c>
      <c r="GV72">
        <f t="shared" si="95"/>
        <v>0</v>
      </c>
      <c r="GW72">
        <v>1</v>
      </c>
      <c r="GX72">
        <f t="shared" si="96"/>
        <v>0</v>
      </c>
      <c r="HA72">
        <v>0</v>
      </c>
      <c r="HB72">
        <v>0</v>
      </c>
      <c r="HC72">
        <f t="shared" si="97"/>
        <v>0</v>
      </c>
      <c r="HE72" t="s">
        <v>3</v>
      </c>
      <c r="HF72" t="s">
        <v>3</v>
      </c>
      <c r="HM72" t="s">
        <v>3</v>
      </c>
      <c r="IK72">
        <v>0</v>
      </c>
    </row>
    <row r="73" spans="1:245">
      <c r="A73">
        <v>18</v>
      </c>
      <c r="B73">
        <v>1</v>
      </c>
      <c r="C73">
        <v>48</v>
      </c>
      <c r="E73" t="s">
        <v>41</v>
      </c>
      <c r="F73" t="s">
        <v>125</v>
      </c>
      <c r="G73" t="s">
        <v>126</v>
      </c>
      <c r="H73" t="s">
        <v>117</v>
      </c>
      <c r="I73">
        <f>I72*J73</f>
        <v>2</v>
      </c>
      <c r="J73">
        <v>0.3125</v>
      </c>
      <c r="K73">
        <v>0.3125</v>
      </c>
      <c r="O73">
        <f t="shared" si="64"/>
        <v>21859.14</v>
      </c>
      <c r="P73">
        <f t="shared" si="65"/>
        <v>21859.14</v>
      </c>
      <c r="Q73">
        <f t="shared" si="66"/>
        <v>0</v>
      </c>
      <c r="R73">
        <f t="shared" si="67"/>
        <v>0</v>
      </c>
      <c r="S73">
        <f t="shared" si="68"/>
        <v>0</v>
      </c>
      <c r="T73">
        <f t="shared" si="69"/>
        <v>0</v>
      </c>
      <c r="U73">
        <f t="shared" si="70"/>
        <v>0</v>
      </c>
      <c r="V73">
        <f t="shared" si="71"/>
        <v>0</v>
      </c>
      <c r="W73">
        <f t="shared" si="72"/>
        <v>266.24</v>
      </c>
      <c r="X73">
        <f t="shared" si="73"/>
        <v>0</v>
      </c>
      <c r="Y73">
        <f t="shared" si="74"/>
        <v>0</v>
      </c>
      <c r="AA73">
        <v>34132744</v>
      </c>
      <c r="AB73">
        <f t="shared" si="75"/>
        <v>2906.8</v>
      </c>
      <c r="AC73">
        <f t="shared" si="98"/>
        <v>2906.8</v>
      </c>
      <c r="AD73">
        <f>ROUND((((ET73)-(EU73))+AE73),6)</f>
        <v>0</v>
      </c>
      <c r="AE73">
        <f>ROUND((EU73),6)</f>
        <v>0</v>
      </c>
      <c r="AF73">
        <f>ROUND((EV73),6)</f>
        <v>0</v>
      </c>
      <c r="AG73">
        <f t="shared" si="76"/>
        <v>0</v>
      </c>
      <c r="AH73">
        <f>(EW73)</f>
        <v>0</v>
      </c>
      <c r="AI73">
        <f>(EX73)</f>
        <v>0</v>
      </c>
      <c r="AJ73">
        <f t="shared" si="77"/>
        <v>133.12</v>
      </c>
      <c r="AK73">
        <v>2906.8</v>
      </c>
      <c r="AL73">
        <v>2906.8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133.12</v>
      </c>
      <c r="AT73">
        <v>81</v>
      </c>
      <c r="AU73">
        <v>72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3.76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127</v>
      </c>
      <c r="BM73">
        <v>9001</v>
      </c>
      <c r="BN73">
        <v>0</v>
      </c>
      <c r="BO73" t="s">
        <v>125</v>
      </c>
      <c r="BP73">
        <v>1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90</v>
      </c>
      <c r="CA73">
        <v>85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78"/>
        <v>21859.14</v>
      </c>
      <c r="CQ73">
        <f t="shared" si="79"/>
        <v>10929.567999999999</v>
      </c>
      <c r="CR73">
        <f t="shared" si="80"/>
        <v>0</v>
      </c>
      <c r="CS73">
        <f t="shared" si="81"/>
        <v>0</v>
      </c>
      <c r="CT73">
        <f t="shared" si="82"/>
        <v>0</v>
      </c>
      <c r="CU73">
        <f t="shared" si="83"/>
        <v>0</v>
      </c>
      <c r="CV73">
        <f t="shared" si="84"/>
        <v>0</v>
      </c>
      <c r="CW73">
        <f t="shared" si="85"/>
        <v>0</v>
      </c>
      <c r="CX73">
        <f t="shared" si="86"/>
        <v>133.12</v>
      </c>
      <c r="CY73">
        <f t="shared" si="87"/>
        <v>0</v>
      </c>
      <c r="CZ73">
        <f t="shared" si="88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1010</v>
      </c>
      <c r="DV73" t="s">
        <v>117</v>
      </c>
      <c r="DW73" t="s">
        <v>117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36260425</v>
      </c>
      <c r="EF73">
        <v>2</v>
      </c>
      <c r="EG73" t="s">
        <v>102</v>
      </c>
      <c r="EH73">
        <v>0</v>
      </c>
      <c r="EI73" t="s">
        <v>3</v>
      </c>
      <c r="EJ73">
        <v>1</v>
      </c>
      <c r="EK73">
        <v>9001</v>
      </c>
      <c r="EL73" t="s">
        <v>113</v>
      </c>
      <c r="EM73" t="s">
        <v>114</v>
      </c>
      <c r="EO73" t="s">
        <v>3</v>
      </c>
      <c r="EQ73">
        <v>0</v>
      </c>
      <c r="ER73">
        <v>2906.8</v>
      </c>
      <c r="ES73">
        <v>2906.8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f t="shared" si="89"/>
        <v>0</v>
      </c>
      <c r="FS73">
        <v>0</v>
      </c>
      <c r="FT73" t="s">
        <v>106</v>
      </c>
      <c r="FU73" t="s">
        <v>107</v>
      </c>
      <c r="FX73">
        <v>81</v>
      </c>
      <c r="FY73">
        <v>72.25</v>
      </c>
      <c r="GA73" t="s">
        <v>3</v>
      </c>
      <c r="GD73">
        <v>1</v>
      </c>
      <c r="GF73">
        <v>304209852</v>
      </c>
      <c r="GG73">
        <v>2</v>
      </c>
      <c r="GH73">
        <v>1</v>
      </c>
      <c r="GI73">
        <v>2</v>
      </c>
      <c r="GJ73">
        <v>0</v>
      </c>
      <c r="GK73">
        <v>0</v>
      </c>
      <c r="GL73">
        <f t="shared" si="90"/>
        <v>0</v>
      </c>
      <c r="GM73">
        <f t="shared" si="91"/>
        <v>21859.14</v>
      </c>
      <c r="GN73">
        <f t="shared" si="92"/>
        <v>21859.14</v>
      </c>
      <c r="GO73">
        <f t="shared" si="93"/>
        <v>0</v>
      </c>
      <c r="GP73">
        <f t="shared" si="94"/>
        <v>0</v>
      </c>
      <c r="GR73">
        <v>0</v>
      </c>
      <c r="GS73">
        <v>3</v>
      </c>
      <c r="GT73">
        <v>0</v>
      </c>
      <c r="GU73" t="s">
        <v>3</v>
      </c>
      <c r="GV73">
        <f t="shared" si="95"/>
        <v>0</v>
      </c>
      <c r="GW73">
        <v>1</v>
      </c>
      <c r="GX73">
        <f t="shared" si="96"/>
        <v>0</v>
      </c>
      <c r="HA73">
        <v>0</v>
      </c>
      <c r="HB73">
        <v>0</v>
      </c>
      <c r="HC73">
        <f t="shared" si="97"/>
        <v>0</v>
      </c>
      <c r="HE73" t="s">
        <v>3</v>
      </c>
      <c r="HF73" t="s">
        <v>3</v>
      </c>
      <c r="HM73" t="s">
        <v>3</v>
      </c>
      <c r="IK73">
        <v>0</v>
      </c>
    </row>
    <row r="74" spans="1:245">
      <c r="A74">
        <v>18</v>
      </c>
      <c r="B74">
        <v>1</v>
      </c>
      <c r="C74">
        <v>49</v>
      </c>
      <c r="E74" t="s">
        <v>128</v>
      </c>
      <c r="F74" t="s">
        <v>129</v>
      </c>
      <c r="G74" t="s">
        <v>130</v>
      </c>
      <c r="H74" t="s">
        <v>117</v>
      </c>
      <c r="I74">
        <f>I72*J74</f>
        <v>2</v>
      </c>
      <c r="J74">
        <v>0.3125</v>
      </c>
      <c r="K74">
        <v>0.3125</v>
      </c>
      <c r="O74">
        <f t="shared" si="64"/>
        <v>50714.91</v>
      </c>
      <c r="P74">
        <f t="shared" si="65"/>
        <v>50714.91</v>
      </c>
      <c r="Q74">
        <f t="shared" si="66"/>
        <v>0</v>
      </c>
      <c r="R74">
        <f t="shared" si="67"/>
        <v>0</v>
      </c>
      <c r="S74">
        <f t="shared" si="68"/>
        <v>0</v>
      </c>
      <c r="T74">
        <f t="shared" si="69"/>
        <v>0</v>
      </c>
      <c r="U74">
        <f t="shared" si="70"/>
        <v>0</v>
      </c>
      <c r="V74">
        <f t="shared" si="71"/>
        <v>0</v>
      </c>
      <c r="W74">
        <f t="shared" si="72"/>
        <v>496.26</v>
      </c>
      <c r="X74">
        <f t="shared" si="73"/>
        <v>0</v>
      </c>
      <c r="Y74">
        <f t="shared" si="74"/>
        <v>0</v>
      </c>
      <c r="AA74">
        <v>34132744</v>
      </c>
      <c r="AB74">
        <f t="shared" si="75"/>
        <v>5418.26</v>
      </c>
      <c r="AC74">
        <f t="shared" si="98"/>
        <v>5418.26</v>
      </c>
      <c r="AD74">
        <f>ROUND((((ET74)-(EU74))+AE74),6)</f>
        <v>0</v>
      </c>
      <c r="AE74">
        <f>ROUND((EU74),6)</f>
        <v>0</v>
      </c>
      <c r="AF74">
        <f>ROUND((EV74),6)</f>
        <v>0</v>
      </c>
      <c r="AG74">
        <f t="shared" si="76"/>
        <v>0</v>
      </c>
      <c r="AH74">
        <f>(EW74)</f>
        <v>0</v>
      </c>
      <c r="AI74">
        <f>(EX74)</f>
        <v>0</v>
      </c>
      <c r="AJ74">
        <f t="shared" si="77"/>
        <v>248.13</v>
      </c>
      <c r="AK74">
        <v>5418.26</v>
      </c>
      <c r="AL74">
        <v>5418.26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248.13</v>
      </c>
      <c r="AT74">
        <v>81</v>
      </c>
      <c r="AU74">
        <v>72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4.68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1</v>
      </c>
      <c r="BJ74" t="s">
        <v>131</v>
      </c>
      <c r="BM74">
        <v>9001</v>
      </c>
      <c r="BN74">
        <v>0</v>
      </c>
      <c r="BO74" t="s">
        <v>129</v>
      </c>
      <c r="BP74">
        <v>1</v>
      </c>
      <c r="BQ74">
        <v>2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90</v>
      </c>
      <c r="CA74">
        <v>85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78"/>
        <v>50714.91</v>
      </c>
      <c r="CQ74">
        <f t="shared" si="79"/>
        <v>25357.4568</v>
      </c>
      <c r="CR74">
        <f t="shared" si="80"/>
        <v>0</v>
      </c>
      <c r="CS74">
        <f t="shared" si="81"/>
        <v>0</v>
      </c>
      <c r="CT74">
        <f t="shared" si="82"/>
        <v>0</v>
      </c>
      <c r="CU74">
        <f t="shared" si="83"/>
        <v>0</v>
      </c>
      <c r="CV74">
        <f t="shared" si="84"/>
        <v>0</v>
      </c>
      <c r="CW74">
        <f t="shared" si="85"/>
        <v>0</v>
      </c>
      <c r="CX74">
        <f t="shared" si="86"/>
        <v>248.13</v>
      </c>
      <c r="CY74">
        <f t="shared" si="87"/>
        <v>0</v>
      </c>
      <c r="CZ74">
        <f t="shared" si="88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1010</v>
      </c>
      <c r="DV74" t="s">
        <v>117</v>
      </c>
      <c r="DW74" t="s">
        <v>117</v>
      </c>
      <c r="DX74">
        <v>1</v>
      </c>
      <c r="DZ74" t="s">
        <v>3</v>
      </c>
      <c r="EA74" t="s">
        <v>3</v>
      </c>
      <c r="EB74" t="s">
        <v>3</v>
      </c>
      <c r="EC74" t="s">
        <v>3</v>
      </c>
      <c r="EE74">
        <v>36260425</v>
      </c>
      <c r="EF74">
        <v>2</v>
      </c>
      <c r="EG74" t="s">
        <v>102</v>
      </c>
      <c r="EH74">
        <v>0</v>
      </c>
      <c r="EI74" t="s">
        <v>3</v>
      </c>
      <c r="EJ74">
        <v>1</v>
      </c>
      <c r="EK74">
        <v>9001</v>
      </c>
      <c r="EL74" t="s">
        <v>113</v>
      </c>
      <c r="EM74" t="s">
        <v>114</v>
      </c>
      <c r="EO74" t="s">
        <v>3</v>
      </c>
      <c r="EQ74">
        <v>0</v>
      </c>
      <c r="ER74">
        <v>5418.26</v>
      </c>
      <c r="ES74">
        <v>5418.26</v>
      </c>
      <c r="ET74">
        <v>0</v>
      </c>
      <c r="EU74">
        <v>0</v>
      </c>
      <c r="EV74">
        <v>0</v>
      </c>
      <c r="EW74">
        <v>0</v>
      </c>
      <c r="EX74">
        <v>0</v>
      </c>
      <c r="FQ74">
        <v>0</v>
      </c>
      <c r="FR74">
        <f t="shared" si="89"/>
        <v>0</v>
      </c>
      <c r="FS74">
        <v>0</v>
      </c>
      <c r="FT74" t="s">
        <v>106</v>
      </c>
      <c r="FU74" t="s">
        <v>107</v>
      </c>
      <c r="FX74">
        <v>81</v>
      </c>
      <c r="FY74">
        <v>72.25</v>
      </c>
      <c r="GA74" t="s">
        <v>3</v>
      </c>
      <c r="GD74">
        <v>1</v>
      </c>
      <c r="GF74">
        <v>-1458162200</v>
      </c>
      <c r="GG74">
        <v>2</v>
      </c>
      <c r="GH74">
        <v>1</v>
      </c>
      <c r="GI74">
        <v>2</v>
      </c>
      <c r="GJ74">
        <v>0</v>
      </c>
      <c r="GK74">
        <v>0</v>
      </c>
      <c r="GL74">
        <f t="shared" si="90"/>
        <v>0</v>
      </c>
      <c r="GM74">
        <f t="shared" si="91"/>
        <v>50714.91</v>
      </c>
      <c r="GN74">
        <f t="shared" si="92"/>
        <v>50714.91</v>
      </c>
      <c r="GO74">
        <f t="shared" si="93"/>
        <v>0</v>
      </c>
      <c r="GP74">
        <f t="shared" si="94"/>
        <v>0</v>
      </c>
      <c r="GR74">
        <v>0</v>
      </c>
      <c r="GS74">
        <v>3</v>
      </c>
      <c r="GT74">
        <v>0</v>
      </c>
      <c r="GU74" t="s">
        <v>3</v>
      </c>
      <c r="GV74">
        <f t="shared" si="95"/>
        <v>0</v>
      </c>
      <c r="GW74">
        <v>1</v>
      </c>
      <c r="GX74">
        <f t="shared" si="96"/>
        <v>0</v>
      </c>
      <c r="HA74">
        <v>0</v>
      </c>
      <c r="HB74">
        <v>0</v>
      </c>
      <c r="HC74">
        <f t="shared" si="97"/>
        <v>0</v>
      </c>
      <c r="HE74" t="s">
        <v>3</v>
      </c>
      <c r="HF74" t="s">
        <v>3</v>
      </c>
      <c r="HM74" t="s">
        <v>3</v>
      </c>
      <c r="IK74">
        <v>0</v>
      </c>
    </row>
    <row r="75" spans="1:245">
      <c r="A75">
        <v>17</v>
      </c>
      <c r="B75">
        <v>1</v>
      </c>
      <c r="C75">
        <f>ROW(SmtRes!A67)</f>
        <v>67</v>
      </c>
      <c r="D75">
        <f>ROW(EtalonRes!A68)</f>
        <v>68</v>
      </c>
      <c r="E75" t="s">
        <v>132</v>
      </c>
      <c r="F75" t="s">
        <v>133</v>
      </c>
      <c r="G75" t="s">
        <v>134</v>
      </c>
      <c r="H75" t="s">
        <v>135</v>
      </c>
      <c r="I75">
        <f>ROUND(6/100,9)</f>
        <v>0.06</v>
      </c>
      <c r="J75">
        <v>0</v>
      </c>
      <c r="K75">
        <f>ROUND(6/100,9)</f>
        <v>0.06</v>
      </c>
      <c r="O75">
        <f t="shared" si="64"/>
        <v>10095.65</v>
      </c>
      <c r="P75">
        <f t="shared" si="65"/>
        <v>6941.12</v>
      </c>
      <c r="Q75">
        <f t="shared" si="66"/>
        <v>971.48</v>
      </c>
      <c r="R75">
        <f t="shared" si="67"/>
        <v>379.82</v>
      </c>
      <c r="S75">
        <f t="shared" si="68"/>
        <v>2183.0500000000002</v>
      </c>
      <c r="T75">
        <f t="shared" si="69"/>
        <v>0</v>
      </c>
      <c r="U75">
        <f t="shared" si="70"/>
        <v>7.1953199999999997</v>
      </c>
      <c r="V75">
        <f t="shared" si="71"/>
        <v>0.85124999999999995</v>
      </c>
      <c r="W75">
        <f t="shared" si="72"/>
        <v>0</v>
      </c>
      <c r="X75">
        <f t="shared" si="73"/>
        <v>2716.64</v>
      </c>
      <c r="Y75">
        <f t="shared" si="74"/>
        <v>1383.95</v>
      </c>
      <c r="AA75">
        <v>34132744</v>
      </c>
      <c r="AB75">
        <f t="shared" si="75"/>
        <v>26034.538499999999</v>
      </c>
      <c r="AC75">
        <f t="shared" si="98"/>
        <v>23370.78</v>
      </c>
      <c r="AD75">
        <f>ROUND(((((ET75*1.25))-((EU75*1.25)))+AE75),6)</f>
        <v>1562.875</v>
      </c>
      <c r="AE75">
        <f>ROUND(((EU75*1.25)),6)</f>
        <v>191.53749999999999</v>
      </c>
      <c r="AF75">
        <f>ROUND(((EV75*1.15)),6)</f>
        <v>1100.8834999999999</v>
      </c>
      <c r="AG75">
        <f t="shared" si="76"/>
        <v>0</v>
      </c>
      <c r="AH75">
        <f>((EW75*1.15))</f>
        <v>119.922</v>
      </c>
      <c r="AI75">
        <f>((EX75*1.25))</f>
        <v>14.1875</v>
      </c>
      <c r="AJ75">
        <f t="shared" si="77"/>
        <v>0</v>
      </c>
      <c r="AK75">
        <v>25578.37</v>
      </c>
      <c r="AL75">
        <v>23370.78</v>
      </c>
      <c r="AM75">
        <v>1250.3</v>
      </c>
      <c r="AN75">
        <v>153.22999999999999</v>
      </c>
      <c r="AO75">
        <v>957.29</v>
      </c>
      <c r="AP75">
        <v>0</v>
      </c>
      <c r="AQ75">
        <v>104.28</v>
      </c>
      <c r="AR75">
        <v>11.35</v>
      </c>
      <c r="AS75">
        <v>0</v>
      </c>
      <c r="AT75">
        <v>106</v>
      </c>
      <c r="AU75">
        <v>54</v>
      </c>
      <c r="AV75">
        <v>1</v>
      </c>
      <c r="AW75">
        <v>1</v>
      </c>
      <c r="AZ75">
        <v>1</v>
      </c>
      <c r="BA75">
        <v>33.049999999999997</v>
      </c>
      <c r="BB75">
        <v>10.36</v>
      </c>
      <c r="BC75">
        <v>4.95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136</v>
      </c>
      <c r="BM75">
        <v>10001</v>
      </c>
      <c r="BN75">
        <v>0</v>
      </c>
      <c r="BO75" t="s">
        <v>133</v>
      </c>
      <c r="BP75">
        <v>1</v>
      </c>
      <c r="BQ75">
        <v>2</v>
      </c>
      <c r="BR75">
        <v>0</v>
      </c>
      <c r="BS75">
        <v>33.049999999999997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118</v>
      </c>
      <c r="CA75">
        <v>63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608</v>
      </c>
      <c r="CO75">
        <v>0</v>
      </c>
      <c r="CP75">
        <f t="shared" si="78"/>
        <v>10095.650000000001</v>
      </c>
      <c r="CQ75">
        <f t="shared" si="79"/>
        <v>115685.361</v>
      </c>
      <c r="CR75">
        <f t="shared" si="80"/>
        <v>16191.384999999998</v>
      </c>
      <c r="CS75">
        <f t="shared" si="81"/>
        <v>6330.314374999999</v>
      </c>
      <c r="CT75">
        <f t="shared" si="82"/>
        <v>36384.199674999996</v>
      </c>
      <c r="CU75">
        <f t="shared" si="83"/>
        <v>0</v>
      </c>
      <c r="CV75">
        <f t="shared" si="84"/>
        <v>119.922</v>
      </c>
      <c r="CW75">
        <f t="shared" si="85"/>
        <v>14.1875</v>
      </c>
      <c r="CX75">
        <f t="shared" si="86"/>
        <v>0</v>
      </c>
      <c r="CY75">
        <f t="shared" si="87"/>
        <v>2716.6422000000002</v>
      </c>
      <c r="CZ75">
        <f t="shared" si="88"/>
        <v>1383.9498000000001</v>
      </c>
      <c r="DC75" t="s">
        <v>3</v>
      </c>
      <c r="DD75" t="s">
        <v>3</v>
      </c>
      <c r="DE75" t="s">
        <v>100</v>
      </c>
      <c r="DF75" t="s">
        <v>100</v>
      </c>
      <c r="DG75" t="s">
        <v>101</v>
      </c>
      <c r="DH75" t="s">
        <v>3</v>
      </c>
      <c r="DI75" t="s">
        <v>101</v>
      </c>
      <c r="DJ75" t="s">
        <v>100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1013</v>
      </c>
      <c r="DV75" t="s">
        <v>135</v>
      </c>
      <c r="DW75" t="s">
        <v>135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36260426</v>
      </c>
      <c r="EF75">
        <v>2</v>
      </c>
      <c r="EG75" t="s">
        <v>102</v>
      </c>
      <c r="EH75">
        <v>0</v>
      </c>
      <c r="EI75" t="s">
        <v>3</v>
      </c>
      <c r="EJ75">
        <v>1</v>
      </c>
      <c r="EK75">
        <v>10001</v>
      </c>
      <c r="EL75" t="s">
        <v>103</v>
      </c>
      <c r="EM75" t="s">
        <v>104</v>
      </c>
      <c r="EO75" t="s">
        <v>105</v>
      </c>
      <c r="EQ75">
        <v>0</v>
      </c>
      <c r="ER75">
        <v>25578.37</v>
      </c>
      <c r="ES75">
        <v>23370.78</v>
      </c>
      <c r="ET75">
        <v>1250.3</v>
      </c>
      <c r="EU75">
        <v>153.22999999999999</v>
      </c>
      <c r="EV75">
        <v>957.29</v>
      </c>
      <c r="EW75">
        <v>104.28</v>
      </c>
      <c r="EX75">
        <v>11.35</v>
      </c>
      <c r="EY75">
        <v>0</v>
      </c>
      <c r="FQ75">
        <v>0</v>
      </c>
      <c r="FR75">
        <f t="shared" si="89"/>
        <v>0</v>
      </c>
      <c r="FS75">
        <v>0</v>
      </c>
      <c r="FT75" t="s">
        <v>106</v>
      </c>
      <c r="FU75" t="s">
        <v>107</v>
      </c>
      <c r="FX75">
        <v>106.2</v>
      </c>
      <c r="FY75">
        <v>53.55</v>
      </c>
      <c r="GA75" t="s">
        <v>3</v>
      </c>
      <c r="GD75">
        <v>1</v>
      </c>
      <c r="GF75">
        <v>-1932172138</v>
      </c>
      <c r="GG75">
        <v>2</v>
      </c>
      <c r="GH75">
        <v>1</v>
      </c>
      <c r="GI75">
        <v>2</v>
      </c>
      <c r="GJ75">
        <v>0</v>
      </c>
      <c r="GK75">
        <v>0</v>
      </c>
      <c r="GL75">
        <f t="shared" si="90"/>
        <v>0</v>
      </c>
      <c r="GM75">
        <f t="shared" si="91"/>
        <v>14196.24</v>
      </c>
      <c r="GN75">
        <f t="shared" si="92"/>
        <v>14196.24</v>
      </c>
      <c r="GO75">
        <f t="shared" si="93"/>
        <v>0</v>
      </c>
      <c r="GP75">
        <f t="shared" si="94"/>
        <v>0</v>
      </c>
      <c r="GR75">
        <v>0</v>
      </c>
      <c r="GS75">
        <v>3</v>
      </c>
      <c r="GT75">
        <v>0</v>
      </c>
      <c r="GU75" t="s">
        <v>3</v>
      </c>
      <c r="GV75">
        <f t="shared" si="95"/>
        <v>0</v>
      </c>
      <c r="GW75">
        <v>1</v>
      </c>
      <c r="GX75">
        <f t="shared" si="96"/>
        <v>0</v>
      </c>
      <c r="HA75">
        <v>0</v>
      </c>
      <c r="HB75">
        <v>0</v>
      </c>
      <c r="HC75">
        <f t="shared" si="97"/>
        <v>0</v>
      </c>
      <c r="HE75" t="s">
        <v>3</v>
      </c>
      <c r="HF75" t="s">
        <v>3</v>
      </c>
      <c r="HM75" t="s">
        <v>3</v>
      </c>
      <c r="IK75">
        <v>0</v>
      </c>
    </row>
    <row r="76" spans="1:245">
      <c r="A76">
        <v>18</v>
      </c>
      <c r="B76">
        <v>1</v>
      </c>
      <c r="C76">
        <v>65</v>
      </c>
      <c r="E76" t="s">
        <v>137</v>
      </c>
      <c r="F76" t="s">
        <v>138</v>
      </c>
      <c r="G76" t="s">
        <v>139</v>
      </c>
      <c r="H76" t="s">
        <v>140</v>
      </c>
      <c r="I76">
        <f>I75*J76</f>
        <v>6</v>
      </c>
      <c r="J76">
        <v>100</v>
      </c>
      <c r="K76">
        <v>100</v>
      </c>
      <c r="O76">
        <f t="shared" si="64"/>
        <v>31656.79</v>
      </c>
      <c r="P76">
        <f t="shared" si="65"/>
        <v>31656.79</v>
      </c>
      <c r="Q76">
        <f t="shared" si="66"/>
        <v>0</v>
      </c>
      <c r="R76">
        <f t="shared" si="67"/>
        <v>0</v>
      </c>
      <c r="S76">
        <f t="shared" si="68"/>
        <v>0</v>
      </c>
      <c r="T76">
        <f t="shared" si="69"/>
        <v>0</v>
      </c>
      <c r="U76">
        <f t="shared" si="70"/>
        <v>0</v>
      </c>
      <c r="V76">
        <f t="shared" si="71"/>
        <v>0</v>
      </c>
      <c r="W76">
        <f t="shared" si="72"/>
        <v>1006.74</v>
      </c>
      <c r="X76">
        <f t="shared" si="73"/>
        <v>0</v>
      </c>
      <c r="Y76">
        <f t="shared" si="74"/>
        <v>0</v>
      </c>
      <c r="AA76">
        <v>34132744</v>
      </c>
      <c r="AB76">
        <f t="shared" si="75"/>
        <v>3663.98</v>
      </c>
      <c r="AC76">
        <f t="shared" si="98"/>
        <v>3663.98</v>
      </c>
      <c r="AD76">
        <f>ROUND((((ET76)-(EU76))+AE76),6)</f>
        <v>0</v>
      </c>
      <c r="AE76">
        <f>ROUND((EU76),6)</f>
        <v>0</v>
      </c>
      <c r="AF76">
        <f>ROUND((EV76),6)</f>
        <v>0</v>
      </c>
      <c r="AG76">
        <f t="shared" si="76"/>
        <v>0</v>
      </c>
      <c r="AH76">
        <f>(EW76)</f>
        <v>0</v>
      </c>
      <c r="AI76">
        <f>(EX76)</f>
        <v>0</v>
      </c>
      <c r="AJ76">
        <f t="shared" si="77"/>
        <v>167.79</v>
      </c>
      <c r="AK76">
        <v>3663.98</v>
      </c>
      <c r="AL76">
        <v>3663.98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167.79</v>
      </c>
      <c r="AT76">
        <v>106</v>
      </c>
      <c r="AU76">
        <v>54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1.44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1</v>
      </c>
      <c r="BJ76" t="s">
        <v>141</v>
      </c>
      <c r="BM76">
        <v>10001</v>
      </c>
      <c r="BN76">
        <v>0</v>
      </c>
      <c r="BO76" t="s">
        <v>138</v>
      </c>
      <c r="BP76">
        <v>1</v>
      </c>
      <c r="BQ76">
        <v>2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118</v>
      </c>
      <c r="CA76">
        <v>63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78"/>
        <v>31656.79</v>
      </c>
      <c r="CQ76">
        <f t="shared" si="79"/>
        <v>5276.1311999999998</v>
      </c>
      <c r="CR76">
        <f t="shared" si="80"/>
        <v>0</v>
      </c>
      <c r="CS76">
        <f t="shared" si="81"/>
        <v>0</v>
      </c>
      <c r="CT76">
        <f t="shared" si="82"/>
        <v>0</v>
      </c>
      <c r="CU76">
        <f t="shared" si="83"/>
        <v>0</v>
      </c>
      <c r="CV76">
        <f t="shared" si="84"/>
        <v>0</v>
      </c>
      <c r="CW76">
        <f t="shared" si="85"/>
        <v>0</v>
      </c>
      <c r="CX76">
        <f t="shared" si="86"/>
        <v>167.79</v>
      </c>
      <c r="CY76">
        <f t="shared" si="87"/>
        <v>0</v>
      </c>
      <c r="CZ76">
        <f t="shared" si="88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1005</v>
      </c>
      <c r="DV76" t="s">
        <v>140</v>
      </c>
      <c r="DW76" t="s">
        <v>140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36260426</v>
      </c>
      <c r="EF76">
        <v>2</v>
      </c>
      <c r="EG76" t="s">
        <v>102</v>
      </c>
      <c r="EH76">
        <v>0</v>
      </c>
      <c r="EI76" t="s">
        <v>3</v>
      </c>
      <c r="EJ76">
        <v>1</v>
      </c>
      <c r="EK76">
        <v>10001</v>
      </c>
      <c r="EL76" t="s">
        <v>103</v>
      </c>
      <c r="EM76" t="s">
        <v>104</v>
      </c>
      <c r="EO76" t="s">
        <v>3</v>
      </c>
      <c r="EQ76">
        <v>0</v>
      </c>
      <c r="ER76">
        <v>3663.98</v>
      </c>
      <c r="ES76">
        <v>3663.98</v>
      </c>
      <c r="ET76">
        <v>0</v>
      </c>
      <c r="EU76">
        <v>0</v>
      </c>
      <c r="EV76">
        <v>0</v>
      </c>
      <c r="EW76">
        <v>0</v>
      </c>
      <c r="EX76">
        <v>0</v>
      </c>
      <c r="FQ76">
        <v>0</v>
      </c>
      <c r="FR76">
        <f t="shared" si="89"/>
        <v>0</v>
      </c>
      <c r="FS76">
        <v>0</v>
      </c>
      <c r="FT76" t="s">
        <v>106</v>
      </c>
      <c r="FU76" t="s">
        <v>107</v>
      </c>
      <c r="FX76">
        <v>106.2</v>
      </c>
      <c r="FY76">
        <v>53.55</v>
      </c>
      <c r="GA76" t="s">
        <v>3</v>
      </c>
      <c r="GD76">
        <v>1</v>
      </c>
      <c r="GF76">
        <v>2094041149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 t="shared" si="90"/>
        <v>0</v>
      </c>
      <c r="GM76">
        <f t="shared" si="91"/>
        <v>31656.79</v>
      </c>
      <c r="GN76">
        <f t="shared" si="92"/>
        <v>31656.79</v>
      </c>
      <c r="GO76">
        <f t="shared" si="93"/>
        <v>0</v>
      </c>
      <c r="GP76">
        <f t="shared" si="94"/>
        <v>0</v>
      </c>
      <c r="GR76">
        <v>0</v>
      </c>
      <c r="GS76">
        <v>3</v>
      </c>
      <c r="GT76">
        <v>0</v>
      </c>
      <c r="GU76" t="s">
        <v>3</v>
      </c>
      <c r="GV76">
        <f t="shared" si="95"/>
        <v>0</v>
      </c>
      <c r="GW76">
        <v>1</v>
      </c>
      <c r="GX76">
        <f t="shared" si="96"/>
        <v>0</v>
      </c>
      <c r="HA76">
        <v>0</v>
      </c>
      <c r="HB76">
        <v>0</v>
      </c>
      <c r="HC76">
        <f t="shared" si="97"/>
        <v>0</v>
      </c>
      <c r="HE76" t="s">
        <v>3</v>
      </c>
      <c r="HF76" t="s">
        <v>3</v>
      </c>
      <c r="HM76" t="s">
        <v>3</v>
      </c>
      <c r="IK76">
        <v>0</v>
      </c>
    </row>
    <row r="77" spans="1:245">
      <c r="A77">
        <v>17</v>
      </c>
      <c r="B77">
        <v>1</v>
      </c>
      <c r="C77">
        <f>ROW(SmtRes!A72)</f>
        <v>72</v>
      </c>
      <c r="D77">
        <f>ROW(EtalonRes!A73)</f>
        <v>73</v>
      </c>
      <c r="E77" t="s">
        <v>142</v>
      </c>
      <c r="F77" t="s">
        <v>143</v>
      </c>
      <c r="G77" t="s">
        <v>144</v>
      </c>
      <c r="H77" t="s">
        <v>145</v>
      </c>
      <c r="I77">
        <f>ROUND(13/100,9)</f>
        <v>0.13</v>
      </c>
      <c r="J77">
        <v>0</v>
      </c>
      <c r="K77">
        <f>ROUND(13/100,9)</f>
        <v>0.13</v>
      </c>
      <c r="O77">
        <f t="shared" si="64"/>
        <v>11515.16</v>
      </c>
      <c r="P77">
        <f t="shared" si="65"/>
        <v>1992.21</v>
      </c>
      <c r="Q77">
        <f t="shared" si="66"/>
        <v>156.24</v>
      </c>
      <c r="R77">
        <f t="shared" si="67"/>
        <v>149.36000000000001</v>
      </c>
      <c r="S77">
        <f t="shared" si="68"/>
        <v>9366.7099999999991</v>
      </c>
      <c r="T77">
        <f t="shared" si="69"/>
        <v>0</v>
      </c>
      <c r="U77">
        <f t="shared" si="70"/>
        <v>30.506969999999999</v>
      </c>
      <c r="V77">
        <f t="shared" si="71"/>
        <v>0.33475000000000005</v>
      </c>
      <c r="W77">
        <f t="shared" si="72"/>
        <v>0</v>
      </c>
      <c r="X77">
        <f t="shared" si="73"/>
        <v>9040.27</v>
      </c>
      <c r="Y77">
        <f t="shared" si="74"/>
        <v>4472.55</v>
      </c>
      <c r="AA77">
        <v>34132744</v>
      </c>
      <c r="AB77">
        <f t="shared" si="75"/>
        <v>4365.6180000000004</v>
      </c>
      <c r="AC77">
        <f t="shared" si="98"/>
        <v>2105.04</v>
      </c>
      <c r="AD77">
        <f t="shared" ref="AD77:AD82" si="99">ROUND(((((ET77*1.25))-((EU77*1.25)))+AE77),6)</f>
        <v>80.5</v>
      </c>
      <c r="AE77">
        <f t="shared" ref="AE77:AE82" si="100">ROUND(((EU77*1.25)),6)</f>
        <v>34.762500000000003</v>
      </c>
      <c r="AF77">
        <f t="shared" ref="AF77:AF82" si="101">ROUND(((EV77*1.15)),6)</f>
        <v>2180.078</v>
      </c>
      <c r="AG77">
        <f t="shared" si="76"/>
        <v>0</v>
      </c>
      <c r="AH77">
        <f t="shared" ref="AH77:AH82" si="102">((EW77*1.15))</f>
        <v>234.66899999999998</v>
      </c>
      <c r="AI77">
        <f t="shared" ref="AI77:AI82" si="103">((EX77*1.25))</f>
        <v>2.5750000000000002</v>
      </c>
      <c r="AJ77">
        <f t="shared" si="77"/>
        <v>0</v>
      </c>
      <c r="AK77">
        <v>4065.16</v>
      </c>
      <c r="AL77">
        <v>2105.04</v>
      </c>
      <c r="AM77">
        <v>64.400000000000006</v>
      </c>
      <c r="AN77">
        <v>27.81</v>
      </c>
      <c r="AO77">
        <v>1895.72</v>
      </c>
      <c r="AP77">
        <v>0</v>
      </c>
      <c r="AQ77">
        <v>204.06</v>
      </c>
      <c r="AR77">
        <v>2.06</v>
      </c>
      <c r="AS77">
        <v>0</v>
      </c>
      <c r="AT77">
        <v>95</v>
      </c>
      <c r="AU77">
        <v>47</v>
      </c>
      <c r="AV77">
        <v>1</v>
      </c>
      <c r="AW77">
        <v>1</v>
      </c>
      <c r="AZ77">
        <v>1</v>
      </c>
      <c r="BA77">
        <v>33.049999999999997</v>
      </c>
      <c r="BB77">
        <v>14.93</v>
      </c>
      <c r="BC77">
        <v>7.28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1</v>
      </c>
      <c r="BJ77" t="s">
        <v>146</v>
      </c>
      <c r="BM77">
        <v>15001</v>
      </c>
      <c r="BN77">
        <v>0</v>
      </c>
      <c r="BO77" t="s">
        <v>143</v>
      </c>
      <c r="BP77">
        <v>1</v>
      </c>
      <c r="BQ77">
        <v>2</v>
      </c>
      <c r="BR77">
        <v>0</v>
      </c>
      <c r="BS77">
        <v>33.049999999999997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105</v>
      </c>
      <c r="CA77">
        <v>55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8"/>
        <v>11515.16</v>
      </c>
      <c r="CQ77">
        <f t="shared" si="79"/>
        <v>15324.691200000001</v>
      </c>
      <c r="CR77">
        <f t="shared" si="80"/>
        <v>1201.865</v>
      </c>
      <c r="CS77">
        <f t="shared" si="81"/>
        <v>1148.900625</v>
      </c>
      <c r="CT77">
        <f t="shared" si="82"/>
        <v>72051.577899999989</v>
      </c>
      <c r="CU77">
        <f t="shared" si="83"/>
        <v>0</v>
      </c>
      <c r="CV77">
        <f t="shared" si="84"/>
        <v>234.66899999999998</v>
      </c>
      <c r="CW77">
        <f t="shared" si="85"/>
        <v>2.5750000000000002</v>
      </c>
      <c r="CX77">
        <f t="shared" si="86"/>
        <v>0</v>
      </c>
      <c r="CY77">
        <f t="shared" si="87"/>
        <v>9040.2664999999997</v>
      </c>
      <c r="CZ77">
        <f t="shared" si="88"/>
        <v>4472.5528999999997</v>
      </c>
      <c r="DC77" t="s">
        <v>3</v>
      </c>
      <c r="DD77" t="s">
        <v>3</v>
      </c>
      <c r="DE77" t="s">
        <v>112</v>
      </c>
      <c r="DF77" t="s">
        <v>112</v>
      </c>
      <c r="DG77" t="s">
        <v>147</v>
      </c>
      <c r="DH77" t="s">
        <v>3</v>
      </c>
      <c r="DI77" t="s">
        <v>147</v>
      </c>
      <c r="DJ77" t="s">
        <v>112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145</v>
      </c>
      <c r="DW77" t="s">
        <v>145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36260452</v>
      </c>
      <c r="EF77">
        <v>2</v>
      </c>
      <c r="EG77" t="s">
        <v>102</v>
      </c>
      <c r="EH77">
        <v>0</v>
      </c>
      <c r="EI77" t="s">
        <v>3</v>
      </c>
      <c r="EJ77">
        <v>1</v>
      </c>
      <c r="EK77">
        <v>15001</v>
      </c>
      <c r="EL77" t="s">
        <v>148</v>
      </c>
      <c r="EM77" t="s">
        <v>149</v>
      </c>
      <c r="EO77" t="s">
        <v>3</v>
      </c>
      <c r="EQ77">
        <v>0</v>
      </c>
      <c r="ER77">
        <v>4065.16</v>
      </c>
      <c r="ES77">
        <v>2105.04</v>
      </c>
      <c r="ET77">
        <v>64.400000000000006</v>
      </c>
      <c r="EU77">
        <v>27.81</v>
      </c>
      <c r="EV77">
        <v>1895.72</v>
      </c>
      <c r="EW77">
        <v>204.06</v>
      </c>
      <c r="EX77">
        <v>2.06</v>
      </c>
      <c r="EY77">
        <v>0</v>
      </c>
      <c r="FQ77">
        <v>0</v>
      </c>
      <c r="FR77">
        <f t="shared" si="89"/>
        <v>0</v>
      </c>
      <c r="FS77">
        <v>0</v>
      </c>
      <c r="FT77" t="s">
        <v>106</v>
      </c>
      <c r="FU77" t="s">
        <v>107</v>
      </c>
      <c r="FX77">
        <v>94.5</v>
      </c>
      <c r="FY77">
        <v>46.75</v>
      </c>
      <c r="GA77" t="s">
        <v>3</v>
      </c>
      <c r="GD77">
        <v>1</v>
      </c>
      <c r="GF77">
        <v>615183920</v>
      </c>
      <c r="GG77">
        <v>2</v>
      </c>
      <c r="GH77">
        <v>1</v>
      </c>
      <c r="GI77">
        <v>2</v>
      </c>
      <c r="GJ77">
        <v>0</v>
      </c>
      <c r="GK77">
        <v>0</v>
      </c>
      <c r="GL77">
        <f t="shared" si="90"/>
        <v>0</v>
      </c>
      <c r="GM77">
        <f t="shared" si="91"/>
        <v>25027.98</v>
      </c>
      <c r="GN77">
        <f t="shared" si="92"/>
        <v>25027.98</v>
      </c>
      <c r="GO77">
        <f t="shared" si="93"/>
        <v>0</v>
      </c>
      <c r="GP77">
        <f t="shared" si="94"/>
        <v>0</v>
      </c>
      <c r="GR77">
        <v>0</v>
      </c>
      <c r="GS77">
        <v>3</v>
      </c>
      <c r="GT77">
        <v>0</v>
      </c>
      <c r="GU77" t="s">
        <v>3</v>
      </c>
      <c r="GV77">
        <f t="shared" si="95"/>
        <v>0</v>
      </c>
      <c r="GW77">
        <v>1</v>
      </c>
      <c r="GX77">
        <f t="shared" si="96"/>
        <v>0</v>
      </c>
      <c r="HA77">
        <v>0</v>
      </c>
      <c r="HB77">
        <v>0</v>
      </c>
      <c r="HC77">
        <f t="shared" si="97"/>
        <v>0</v>
      </c>
      <c r="HE77" t="s">
        <v>3</v>
      </c>
      <c r="HF77" t="s">
        <v>3</v>
      </c>
      <c r="HM77" t="s">
        <v>3</v>
      </c>
      <c r="IK77">
        <v>0</v>
      </c>
    </row>
    <row r="78" spans="1:245">
      <c r="A78">
        <v>17</v>
      </c>
      <c r="B78">
        <v>1</v>
      </c>
      <c r="C78">
        <f>ROW(SmtRes!A80)</f>
        <v>80</v>
      </c>
      <c r="D78">
        <f>ROW(EtalonRes!A81)</f>
        <v>81</v>
      </c>
      <c r="E78" t="s">
        <v>150</v>
      </c>
      <c r="F78" t="s">
        <v>151</v>
      </c>
      <c r="G78" t="s">
        <v>152</v>
      </c>
      <c r="H78" t="s">
        <v>153</v>
      </c>
      <c r="I78">
        <f>ROUND(13/100,9)</f>
        <v>0.13</v>
      </c>
      <c r="J78">
        <v>0</v>
      </c>
      <c r="K78">
        <f>ROUND(13/100,9)</f>
        <v>0.13</v>
      </c>
      <c r="O78">
        <f t="shared" si="64"/>
        <v>2575.23</v>
      </c>
      <c r="P78">
        <f t="shared" si="65"/>
        <v>649.65</v>
      </c>
      <c r="Q78">
        <f t="shared" si="66"/>
        <v>24.24</v>
      </c>
      <c r="R78">
        <f t="shared" si="67"/>
        <v>1.45</v>
      </c>
      <c r="S78">
        <f t="shared" si="68"/>
        <v>1901.34</v>
      </c>
      <c r="T78">
        <f t="shared" si="69"/>
        <v>0</v>
      </c>
      <c r="U78">
        <f t="shared" si="70"/>
        <v>6.413549999999999</v>
      </c>
      <c r="V78">
        <f t="shared" si="71"/>
        <v>3.2500000000000003E-3</v>
      </c>
      <c r="W78">
        <f t="shared" si="72"/>
        <v>0</v>
      </c>
      <c r="X78">
        <f t="shared" si="73"/>
        <v>1807.65</v>
      </c>
      <c r="Y78">
        <f t="shared" si="74"/>
        <v>894.31</v>
      </c>
      <c r="AA78">
        <v>34132744</v>
      </c>
      <c r="AB78">
        <f t="shared" si="75"/>
        <v>1715.2565</v>
      </c>
      <c r="AC78">
        <f t="shared" si="98"/>
        <v>1255.5999999999999</v>
      </c>
      <c r="AD78">
        <f t="shared" si="99"/>
        <v>17.125</v>
      </c>
      <c r="AE78">
        <f t="shared" si="100"/>
        <v>0.33750000000000002</v>
      </c>
      <c r="AF78">
        <f t="shared" si="101"/>
        <v>442.53149999999999</v>
      </c>
      <c r="AG78">
        <f t="shared" si="76"/>
        <v>0</v>
      </c>
      <c r="AH78">
        <f t="shared" si="102"/>
        <v>49.334999999999994</v>
      </c>
      <c r="AI78">
        <f t="shared" si="103"/>
        <v>2.5000000000000001E-2</v>
      </c>
      <c r="AJ78">
        <f t="shared" si="77"/>
        <v>0</v>
      </c>
      <c r="AK78">
        <v>1654.11</v>
      </c>
      <c r="AL78">
        <v>1255.5999999999999</v>
      </c>
      <c r="AM78">
        <v>13.7</v>
      </c>
      <c r="AN78">
        <v>0.27</v>
      </c>
      <c r="AO78">
        <v>384.81</v>
      </c>
      <c r="AP78">
        <v>0</v>
      </c>
      <c r="AQ78">
        <v>42.9</v>
      </c>
      <c r="AR78">
        <v>0.02</v>
      </c>
      <c r="AS78">
        <v>0</v>
      </c>
      <c r="AT78">
        <v>95</v>
      </c>
      <c r="AU78">
        <v>47</v>
      </c>
      <c r="AV78">
        <v>1</v>
      </c>
      <c r="AW78">
        <v>1</v>
      </c>
      <c r="AZ78">
        <v>1</v>
      </c>
      <c r="BA78">
        <v>33.049999999999997</v>
      </c>
      <c r="BB78">
        <v>10.89</v>
      </c>
      <c r="BC78">
        <v>3.98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154</v>
      </c>
      <c r="BM78">
        <v>15001</v>
      </c>
      <c r="BN78">
        <v>0</v>
      </c>
      <c r="BO78" t="s">
        <v>151</v>
      </c>
      <c r="BP78">
        <v>1</v>
      </c>
      <c r="BQ78">
        <v>2</v>
      </c>
      <c r="BR78">
        <v>0</v>
      </c>
      <c r="BS78">
        <v>33.049999999999997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105</v>
      </c>
      <c r="CA78">
        <v>55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608</v>
      </c>
      <c r="CO78">
        <v>0</v>
      </c>
      <c r="CP78">
        <f t="shared" si="78"/>
        <v>2575.23</v>
      </c>
      <c r="CQ78">
        <f t="shared" si="79"/>
        <v>4997.2879999999996</v>
      </c>
      <c r="CR78">
        <f t="shared" si="80"/>
        <v>186.49125000000001</v>
      </c>
      <c r="CS78">
        <f t="shared" si="81"/>
        <v>11.154375</v>
      </c>
      <c r="CT78">
        <f t="shared" si="82"/>
        <v>14625.666074999999</v>
      </c>
      <c r="CU78">
        <f t="shared" si="83"/>
        <v>0</v>
      </c>
      <c r="CV78">
        <f t="shared" si="84"/>
        <v>49.334999999999994</v>
      </c>
      <c r="CW78">
        <f t="shared" si="85"/>
        <v>2.5000000000000001E-2</v>
      </c>
      <c r="CX78">
        <f t="shared" si="86"/>
        <v>0</v>
      </c>
      <c r="CY78">
        <f t="shared" si="87"/>
        <v>1807.6505</v>
      </c>
      <c r="CZ78">
        <f t="shared" si="88"/>
        <v>894.31130000000007</v>
      </c>
      <c r="DC78" t="s">
        <v>3</v>
      </c>
      <c r="DD78" t="s">
        <v>3</v>
      </c>
      <c r="DE78" t="s">
        <v>100</v>
      </c>
      <c r="DF78" t="s">
        <v>100</v>
      </c>
      <c r="DG78" t="s">
        <v>101</v>
      </c>
      <c r="DH78" t="s">
        <v>3</v>
      </c>
      <c r="DI78" t="s">
        <v>101</v>
      </c>
      <c r="DJ78" t="s">
        <v>100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1005</v>
      </c>
      <c r="DV78" t="s">
        <v>153</v>
      </c>
      <c r="DW78" t="s">
        <v>153</v>
      </c>
      <c r="DX78">
        <v>100</v>
      </c>
      <c r="DZ78" t="s">
        <v>3</v>
      </c>
      <c r="EA78" t="s">
        <v>3</v>
      </c>
      <c r="EB78" t="s">
        <v>3</v>
      </c>
      <c r="EC78" t="s">
        <v>3</v>
      </c>
      <c r="EE78">
        <v>36260452</v>
      </c>
      <c r="EF78">
        <v>2</v>
      </c>
      <c r="EG78" t="s">
        <v>102</v>
      </c>
      <c r="EH78">
        <v>0</v>
      </c>
      <c r="EI78" t="s">
        <v>3</v>
      </c>
      <c r="EJ78">
        <v>1</v>
      </c>
      <c r="EK78">
        <v>15001</v>
      </c>
      <c r="EL78" t="s">
        <v>148</v>
      </c>
      <c r="EM78" t="s">
        <v>149</v>
      </c>
      <c r="EO78" t="s">
        <v>105</v>
      </c>
      <c r="EQ78">
        <v>0</v>
      </c>
      <c r="ER78">
        <v>1654.11</v>
      </c>
      <c r="ES78">
        <v>1255.5999999999999</v>
      </c>
      <c r="ET78">
        <v>13.7</v>
      </c>
      <c r="EU78">
        <v>0.27</v>
      </c>
      <c r="EV78">
        <v>384.81</v>
      </c>
      <c r="EW78">
        <v>42.9</v>
      </c>
      <c r="EX78">
        <v>0.02</v>
      </c>
      <c r="EY78">
        <v>0</v>
      </c>
      <c r="FQ78">
        <v>0</v>
      </c>
      <c r="FR78">
        <f t="shared" si="89"/>
        <v>0</v>
      </c>
      <c r="FS78">
        <v>0</v>
      </c>
      <c r="FT78" t="s">
        <v>106</v>
      </c>
      <c r="FU78" t="s">
        <v>107</v>
      </c>
      <c r="FX78">
        <v>94.5</v>
      </c>
      <c r="FY78">
        <v>46.75</v>
      </c>
      <c r="GA78" t="s">
        <v>3</v>
      </c>
      <c r="GD78">
        <v>1</v>
      </c>
      <c r="GF78">
        <v>-37514288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 t="shared" si="90"/>
        <v>0</v>
      </c>
      <c r="GM78">
        <f t="shared" si="91"/>
        <v>5277.19</v>
      </c>
      <c r="GN78">
        <f t="shared" si="92"/>
        <v>5277.19</v>
      </c>
      <c r="GO78">
        <f t="shared" si="93"/>
        <v>0</v>
      </c>
      <c r="GP78">
        <f t="shared" si="94"/>
        <v>0</v>
      </c>
      <c r="GR78">
        <v>0</v>
      </c>
      <c r="GS78">
        <v>3</v>
      </c>
      <c r="GT78">
        <v>0</v>
      </c>
      <c r="GU78" t="s">
        <v>3</v>
      </c>
      <c r="GV78">
        <f t="shared" si="95"/>
        <v>0</v>
      </c>
      <c r="GW78">
        <v>1</v>
      </c>
      <c r="GX78">
        <f t="shared" si="96"/>
        <v>0</v>
      </c>
      <c r="HA78">
        <v>0</v>
      </c>
      <c r="HB78">
        <v>0</v>
      </c>
      <c r="HC78">
        <f t="shared" si="97"/>
        <v>0</v>
      </c>
      <c r="HE78" t="s">
        <v>3</v>
      </c>
      <c r="HF78" t="s">
        <v>3</v>
      </c>
      <c r="HM78" t="s">
        <v>3</v>
      </c>
      <c r="IK78">
        <v>0</v>
      </c>
    </row>
    <row r="79" spans="1:245">
      <c r="A79">
        <v>17</v>
      </c>
      <c r="B79">
        <v>1</v>
      </c>
      <c r="C79">
        <f>ROW(SmtRes!A85)</f>
        <v>85</v>
      </c>
      <c r="D79">
        <f>ROW(EtalonRes!A86)</f>
        <v>86</v>
      </c>
      <c r="E79" t="s">
        <v>155</v>
      </c>
      <c r="F79" t="s">
        <v>156</v>
      </c>
      <c r="G79" t="s">
        <v>157</v>
      </c>
      <c r="H79" t="s">
        <v>158</v>
      </c>
      <c r="I79">
        <f>ROUND(6/100,9)</f>
        <v>0.06</v>
      </c>
      <c r="J79">
        <v>0</v>
      </c>
      <c r="K79">
        <f>ROUND(6/100,9)</f>
        <v>0.06</v>
      </c>
      <c r="O79">
        <f t="shared" si="64"/>
        <v>121.14</v>
      </c>
      <c r="P79">
        <f t="shared" si="65"/>
        <v>104.02</v>
      </c>
      <c r="Q79">
        <f t="shared" si="66"/>
        <v>8.07</v>
      </c>
      <c r="R79">
        <f t="shared" si="67"/>
        <v>7.04</v>
      </c>
      <c r="S79">
        <f t="shared" si="68"/>
        <v>9.0500000000000007</v>
      </c>
      <c r="T79">
        <f t="shared" si="69"/>
        <v>0</v>
      </c>
      <c r="U79">
        <f t="shared" si="70"/>
        <v>3.4499999999999996E-2</v>
      </c>
      <c r="V79">
        <f t="shared" si="71"/>
        <v>1.575E-2</v>
      </c>
      <c r="W79">
        <f t="shared" si="72"/>
        <v>0</v>
      </c>
      <c r="X79">
        <f t="shared" si="73"/>
        <v>17.86</v>
      </c>
      <c r="Y79">
        <f t="shared" si="74"/>
        <v>10.3</v>
      </c>
      <c r="AA79">
        <v>34132744</v>
      </c>
      <c r="AB79">
        <f t="shared" si="75"/>
        <v>293.84550000000002</v>
      </c>
      <c r="AC79">
        <f t="shared" si="98"/>
        <v>279.63</v>
      </c>
      <c r="AD79">
        <f t="shared" si="99"/>
        <v>9.65</v>
      </c>
      <c r="AE79">
        <f t="shared" si="100"/>
        <v>3.55</v>
      </c>
      <c r="AF79">
        <f t="shared" si="101"/>
        <v>4.5655000000000001</v>
      </c>
      <c r="AG79">
        <f t="shared" si="76"/>
        <v>0</v>
      </c>
      <c r="AH79">
        <f t="shared" si="102"/>
        <v>0.57499999999999996</v>
      </c>
      <c r="AI79">
        <f t="shared" si="103"/>
        <v>0.26250000000000001</v>
      </c>
      <c r="AJ79">
        <f t="shared" si="77"/>
        <v>0</v>
      </c>
      <c r="AK79">
        <v>291.32</v>
      </c>
      <c r="AL79">
        <v>279.63</v>
      </c>
      <c r="AM79">
        <v>7.72</v>
      </c>
      <c r="AN79">
        <v>2.84</v>
      </c>
      <c r="AO79">
        <v>3.97</v>
      </c>
      <c r="AP79">
        <v>0</v>
      </c>
      <c r="AQ79">
        <v>0.5</v>
      </c>
      <c r="AR79">
        <v>0.21</v>
      </c>
      <c r="AS79">
        <v>0</v>
      </c>
      <c r="AT79">
        <v>111</v>
      </c>
      <c r="AU79">
        <v>64</v>
      </c>
      <c r="AV79">
        <v>1</v>
      </c>
      <c r="AW79">
        <v>1</v>
      </c>
      <c r="AZ79">
        <v>1</v>
      </c>
      <c r="BA79">
        <v>33.049999999999997</v>
      </c>
      <c r="BB79">
        <v>13.93</v>
      </c>
      <c r="BC79">
        <v>6.2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159</v>
      </c>
      <c r="BM79">
        <v>11001</v>
      </c>
      <c r="BN79">
        <v>0</v>
      </c>
      <c r="BO79" t="s">
        <v>156</v>
      </c>
      <c r="BP79">
        <v>1</v>
      </c>
      <c r="BQ79">
        <v>2</v>
      </c>
      <c r="BR79">
        <v>0</v>
      </c>
      <c r="BS79">
        <v>33.049999999999997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123</v>
      </c>
      <c r="CA79">
        <v>75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608</v>
      </c>
      <c r="CO79">
        <v>0</v>
      </c>
      <c r="CP79">
        <f t="shared" si="78"/>
        <v>121.14</v>
      </c>
      <c r="CQ79">
        <f t="shared" si="79"/>
        <v>1733.7060000000001</v>
      </c>
      <c r="CR79">
        <f t="shared" si="80"/>
        <v>134.42449999999999</v>
      </c>
      <c r="CS79">
        <f t="shared" si="81"/>
        <v>117.32749999999999</v>
      </c>
      <c r="CT79">
        <f t="shared" si="82"/>
        <v>150.88977499999999</v>
      </c>
      <c r="CU79">
        <f t="shared" si="83"/>
        <v>0</v>
      </c>
      <c r="CV79">
        <f t="shared" si="84"/>
        <v>0.57499999999999996</v>
      </c>
      <c r="CW79">
        <f t="shared" si="85"/>
        <v>0.26250000000000001</v>
      </c>
      <c r="CX79">
        <f t="shared" si="86"/>
        <v>0</v>
      </c>
      <c r="CY79">
        <f t="shared" si="87"/>
        <v>17.8599</v>
      </c>
      <c r="CZ79">
        <f t="shared" si="88"/>
        <v>10.297599999999999</v>
      </c>
      <c r="DC79" t="s">
        <v>3</v>
      </c>
      <c r="DD79" t="s">
        <v>3</v>
      </c>
      <c r="DE79" t="s">
        <v>100</v>
      </c>
      <c r="DF79" t="s">
        <v>100</v>
      </c>
      <c r="DG79" t="s">
        <v>101</v>
      </c>
      <c r="DH79" t="s">
        <v>3</v>
      </c>
      <c r="DI79" t="s">
        <v>101</v>
      </c>
      <c r="DJ79" t="s">
        <v>100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158</v>
      </c>
      <c r="DW79" t="s">
        <v>158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36260427</v>
      </c>
      <c r="EF79">
        <v>2</v>
      </c>
      <c r="EG79" t="s">
        <v>102</v>
      </c>
      <c r="EH79">
        <v>0</v>
      </c>
      <c r="EI79" t="s">
        <v>3</v>
      </c>
      <c r="EJ79">
        <v>1</v>
      </c>
      <c r="EK79">
        <v>11001</v>
      </c>
      <c r="EL79" t="s">
        <v>39</v>
      </c>
      <c r="EM79" t="s">
        <v>160</v>
      </c>
      <c r="EO79" t="s">
        <v>105</v>
      </c>
      <c r="EQ79">
        <v>0</v>
      </c>
      <c r="ER79">
        <v>291.32</v>
      </c>
      <c r="ES79">
        <v>279.63</v>
      </c>
      <c r="ET79">
        <v>7.72</v>
      </c>
      <c r="EU79">
        <v>2.84</v>
      </c>
      <c r="EV79">
        <v>3.97</v>
      </c>
      <c r="EW79">
        <v>0.5</v>
      </c>
      <c r="EX79">
        <v>0.21</v>
      </c>
      <c r="EY79">
        <v>0</v>
      </c>
      <c r="FQ79">
        <v>0</v>
      </c>
      <c r="FR79">
        <f t="shared" si="89"/>
        <v>0</v>
      </c>
      <c r="FS79">
        <v>0</v>
      </c>
      <c r="FT79" t="s">
        <v>106</v>
      </c>
      <c r="FU79" t="s">
        <v>107</v>
      </c>
      <c r="FX79">
        <v>110.7</v>
      </c>
      <c r="FY79">
        <v>63.75</v>
      </c>
      <c r="GA79" t="s">
        <v>3</v>
      </c>
      <c r="GD79">
        <v>1</v>
      </c>
      <c r="GF79">
        <v>-187078821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si="90"/>
        <v>0</v>
      </c>
      <c r="GM79">
        <f t="shared" si="91"/>
        <v>149.30000000000001</v>
      </c>
      <c r="GN79">
        <f t="shared" si="92"/>
        <v>149.30000000000001</v>
      </c>
      <c r="GO79">
        <f t="shared" si="93"/>
        <v>0</v>
      </c>
      <c r="GP79">
        <f t="shared" si="94"/>
        <v>0</v>
      </c>
      <c r="GR79">
        <v>0</v>
      </c>
      <c r="GS79">
        <v>3</v>
      </c>
      <c r="GT79">
        <v>0</v>
      </c>
      <c r="GU79" t="s">
        <v>3</v>
      </c>
      <c r="GV79">
        <f t="shared" si="95"/>
        <v>0</v>
      </c>
      <c r="GW79">
        <v>1</v>
      </c>
      <c r="GX79">
        <f t="shared" si="96"/>
        <v>0</v>
      </c>
      <c r="HA79">
        <v>0</v>
      </c>
      <c r="HB79">
        <v>0</v>
      </c>
      <c r="HC79">
        <f t="shared" si="97"/>
        <v>0</v>
      </c>
      <c r="HE79" t="s">
        <v>3</v>
      </c>
      <c r="HF79" t="s">
        <v>3</v>
      </c>
      <c r="HM79" t="s">
        <v>3</v>
      </c>
      <c r="IK79">
        <v>0</v>
      </c>
    </row>
    <row r="80" spans="1:245">
      <c r="A80">
        <v>17</v>
      </c>
      <c r="B80">
        <v>1</v>
      </c>
      <c r="C80">
        <f>ROW(SmtRes!A96)</f>
        <v>96</v>
      </c>
      <c r="D80">
        <f>ROW(EtalonRes!A99)</f>
        <v>99</v>
      </c>
      <c r="E80" t="s">
        <v>161</v>
      </c>
      <c r="F80" t="s">
        <v>162</v>
      </c>
      <c r="G80" t="s">
        <v>163</v>
      </c>
      <c r="H80" t="s">
        <v>37</v>
      </c>
      <c r="I80">
        <f>ROUND(6/100,9)</f>
        <v>0.06</v>
      </c>
      <c r="J80">
        <v>0</v>
      </c>
      <c r="K80">
        <f>ROUND(6/100,9)</f>
        <v>0.06</v>
      </c>
      <c r="O80">
        <f t="shared" si="64"/>
        <v>10863.12</v>
      </c>
      <c r="P80">
        <f t="shared" si="65"/>
        <v>4627.12</v>
      </c>
      <c r="Q80">
        <f t="shared" si="66"/>
        <v>48.98</v>
      </c>
      <c r="R80">
        <f t="shared" si="67"/>
        <v>43.11</v>
      </c>
      <c r="S80">
        <f t="shared" si="68"/>
        <v>6187.02</v>
      </c>
      <c r="T80">
        <f t="shared" si="69"/>
        <v>0</v>
      </c>
      <c r="U80">
        <f t="shared" si="70"/>
        <v>21.418979999999998</v>
      </c>
      <c r="V80">
        <f t="shared" si="71"/>
        <v>0.129</v>
      </c>
      <c r="W80">
        <f t="shared" si="72"/>
        <v>0</v>
      </c>
      <c r="X80">
        <f t="shared" si="73"/>
        <v>6915.44</v>
      </c>
      <c r="Y80">
        <f t="shared" si="74"/>
        <v>3987.28</v>
      </c>
      <c r="AA80">
        <v>34132744</v>
      </c>
      <c r="AB80">
        <f t="shared" si="75"/>
        <v>22724.398000000001</v>
      </c>
      <c r="AC80">
        <f t="shared" si="98"/>
        <v>19573.28</v>
      </c>
      <c r="AD80">
        <f t="shared" si="99"/>
        <v>31.087499999999999</v>
      </c>
      <c r="AE80">
        <f t="shared" si="100"/>
        <v>21.737500000000001</v>
      </c>
      <c r="AF80">
        <f t="shared" si="101"/>
        <v>3120.0304999999998</v>
      </c>
      <c r="AG80">
        <f t="shared" si="76"/>
        <v>0</v>
      </c>
      <c r="AH80">
        <f t="shared" si="102"/>
        <v>356.983</v>
      </c>
      <c r="AI80">
        <f t="shared" si="103"/>
        <v>2.15</v>
      </c>
      <c r="AJ80">
        <f t="shared" si="77"/>
        <v>0</v>
      </c>
      <c r="AK80">
        <v>22311.22</v>
      </c>
      <c r="AL80">
        <v>19573.28</v>
      </c>
      <c r="AM80">
        <v>24.87</v>
      </c>
      <c r="AN80">
        <v>17.39</v>
      </c>
      <c r="AO80">
        <v>2713.07</v>
      </c>
      <c r="AP80">
        <v>0</v>
      </c>
      <c r="AQ80">
        <v>310.42</v>
      </c>
      <c r="AR80">
        <v>1.72</v>
      </c>
      <c r="AS80">
        <v>0</v>
      </c>
      <c r="AT80">
        <v>111</v>
      </c>
      <c r="AU80">
        <v>64</v>
      </c>
      <c r="AV80">
        <v>1</v>
      </c>
      <c r="AW80">
        <v>1</v>
      </c>
      <c r="AZ80">
        <v>1</v>
      </c>
      <c r="BA80">
        <v>33.049999999999997</v>
      </c>
      <c r="BB80">
        <v>26.26</v>
      </c>
      <c r="BC80">
        <v>3.94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1</v>
      </c>
      <c r="BJ80" t="s">
        <v>164</v>
      </c>
      <c r="BM80">
        <v>11001</v>
      </c>
      <c r="BN80">
        <v>0</v>
      </c>
      <c r="BO80" t="s">
        <v>162</v>
      </c>
      <c r="BP80">
        <v>1</v>
      </c>
      <c r="BQ80">
        <v>2</v>
      </c>
      <c r="BR80">
        <v>0</v>
      </c>
      <c r="BS80">
        <v>33.049999999999997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123</v>
      </c>
      <c r="CA80">
        <v>75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608</v>
      </c>
      <c r="CO80">
        <v>0</v>
      </c>
      <c r="CP80">
        <f t="shared" si="78"/>
        <v>10863.119999999999</v>
      </c>
      <c r="CQ80">
        <f t="shared" si="79"/>
        <v>77118.723199999993</v>
      </c>
      <c r="CR80">
        <f t="shared" si="80"/>
        <v>816.35775000000001</v>
      </c>
      <c r="CS80">
        <f t="shared" si="81"/>
        <v>718.42437499999994</v>
      </c>
      <c r="CT80">
        <f t="shared" si="82"/>
        <v>103117.00802499999</v>
      </c>
      <c r="CU80">
        <f t="shared" si="83"/>
        <v>0</v>
      </c>
      <c r="CV80">
        <f t="shared" si="84"/>
        <v>356.983</v>
      </c>
      <c r="CW80">
        <f t="shared" si="85"/>
        <v>2.15</v>
      </c>
      <c r="CX80">
        <f t="shared" si="86"/>
        <v>0</v>
      </c>
      <c r="CY80">
        <f t="shared" si="87"/>
        <v>6915.4443000000001</v>
      </c>
      <c r="CZ80">
        <f t="shared" si="88"/>
        <v>3987.2831999999999</v>
      </c>
      <c r="DC80" t="s">
        <v>3</v>
      </c>
      <c r="DD80" t="s">
        <v>3</v>
      </c>
      <c r="DE80" t="s">
        <v>100</v>
      </c>
      <c r="DF80" t="s">
        <v>100</v>
      </c>
      <c r="DG80" t="s">
        <v>101</v>
      </c>
      <c r="DH80" t="s">
        <v>3</v>
      </c>
      <c r="DI80" t="s">
        <v>101</v>
      </c>
      <c r="DJ80" t="s">
        <v>100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1013</v>
      </c>
      <c r="DV80" t="s">
        <v>37</v>
      </c>
      <c r="DW80" t="s">
        <v>37</v>
      </c>
      <c r="DX80">
        <v>1</v>
      </c>
      <c r="DZ80" t="s">
        <v>3</v>
      </c>
      <c r="EA80" t="s">
        <v>3</v>
      </c>
      <c r="EB80" t="s">
        <v>3</v>
      </c>
      <c r="EC80" t="s">
        <v>3</v>
      </c>
      <c r="EE80">
        <v>36260427</v>
      </c>
      <c r="EF80">
        <v>2</v>
      </c>
      <c r="EG80" t="s">
        <v>102</v>
      </c>
      <c r="EH80">
        <v>0</v>
      </c>
      <c r="EI80" t="s">
        <v>3</v>
      </c>
      <c r="EJ80">
        <v>1</v>
      </c>
      <c r="EK80">
        <v>11001</v>
      </c>
      <c r="EL80" t="s">
        <v>39</v>
      </c>
      <c r="EM80" t="s">
        <v>160</v>
      </c>
      <c r="EO80" t="s">
        <v>105</v>
      </c>
      <c r="EQ80">
        <v>0</v>
      </c>
      <c r="ER80">
        <v>22311.22</v>
      </c>
      <c r="ES80">
        <v>19573.28</v>
      </c>
      <c r="ET80">
        <v>24.87</v>
      </c>
      <c r="EU80">
        <v>17.39</v>
      </c>
      <c r="EV80">
        <v>2713.07</v>
      </c>
      <c r="EW80">
        <v>310.42</v>
      </c>
      <c r="EX80">
        <v>1.72</v>
      </c>
      <c r="EY80">
        <v>0</v>
      </c>
      <c r="FQ80">
        <v>0</v>
      </c>
      <c r="FR80">
        <f t="shared" si="89"/>
        <v>0</v>
      </c>
      <c r="FS80">
        <v>0</v>
      </c>
      <c r="FT80" t="s">
        <v>106</v>
      </c>
      <c r="FU80" t="s">
        <v>107</v>
      </c>
      <c r="FX80">
        <v>110.7</v>
      </c>
      <c r="FY80">
        <v>63.75</v>
      </c>
      <c r="GA80" t="s">
        <v>3</v>
      </c>
      <c r="GD80">
        <v>1</v>
      </c>
      <c r="GF80">
        <v>1494268860</v>
      </c>
      <c r="GG80">
        <v>2</v>
      </c>
      <c r="GH80">
        <v>1</v>
      </c>
      <c r="GI80">
        <v>2</v>
      </c>
      <c r="GJ80">
        <v>0</v>
      </c>
      <c r="GK80">
        <v>0</v>
      </c>
      <c r="GL80">
        <f t="shared" si="90"/>
        <v>0</v>
      </c>
      <c r="GM80">
        <f t="shared" si="91"/>
        <v>21765.84</v>
      </c>
      <c r="GN80">
        <f t="shared" si="92"/>
        <v>21765.84</v>
      </c>
      <c r="GO80">
        <f t="shared" si="93"/>
        <v>0</v>
      </c>
      <c r="GP80">
        <f t="shared" si="94"/>
        <v>0</v>
      </c>
      <c r="GR80">
        <v>0</v>
      </c>
      <c r="GS80">
        <v>3</v>
      </c>
      <c r="GT80">
        <v>0</v>
      </c>
      <c r="GU80" t="s">
        <v>3</v>
      </c>
      <c r="GV80">
        <f t="shared" si="95"/>
        <v>0</v>
      </c>
      <c r="GW80">
        <v>1</v>
      </c>
      <c r="GX80">
        <f t="shared" si="96"/>
        <v>0</v>
      </c>
      <c r="HA80">
        <v>0</v>
      </c>
      <c r="HB80">
        <v>0</v>
      </c>
      <c r="HC80">
        <f t="shared" si="97"/>
        <v>0</v>
      </c>
      <c r="HE80" t="s">
        <v>3</v>
      </c>
      <c r="HF80" t="s">
        <v>3</v>
      </c>
      <c r="HM80" t="s">
        <v>3</v>
      </c>
      <c r="IK80">
        <v>0</v>
      </c>
    </row>
    <row r="81" spans="1:245">
      <c r="A81">
        <v>17</v>
      </c>
      <c r="B81">
        <v>1</v>
      </c>
      <c r="C81">
        <f>ROW(SmtRes!A97)</f>
        <v>97</v>
      </c>
      <c r="D81">
        <f>ROW(EtalonRes!A100)</f>
        <v>100</v>
      </c>
      <c r="E81" t="s">
        <v>165</v>
      </c>
      <c r="F81" t="s">
        <v>166</v>
      </c>
      <c r="G81" t="s">
        <v>167</v>
      </c>
      <c r="H81" t="s">
        <v>168</v>
      </c>
      <c r="I81">
        <f>ROUND(1.9/100,9)</f>
        <v>1.9E-2</v>
      </c>
      <c r="J81">
        <v>0</v>
      </c>
      <c r="K81">
        <f>ROUND(1.9/100,9)</f>
        <v>1.9E-2</v>
      </c>
      <c r="O81">
        <f t="shared" si="64"/>
        <v>867.44</v>
      </c>
      <c r="P81">
        <f t="shared" si="65"/>
        <v>0</v>
      </c>
      <c r="Q81">
        <f t="shared" si="66"/>
        <v>0</v>
      </c>
      <c r="R81">
        <f t="shared" si="67"/>
        <v>0</v>
      </c>
      <c r="S81">
        <f t="shared" si="68"/>
        <v>867.44</v>
      </c>
      <c r="T81">
        <f t="shared" si="69"/>
        <v>0</v>
      </c>
      <c r="U81">
        <f t="shared" si="70"/>
        <v>3.3649</v>
      </c>
      <c r="V81">
        <f t="shared" si="71"/>
        <v>0</v>
      </c>
      <c r="W81">
        <f t="shared" si="72"/>
        <v>0</v>
      </c>
      <c r="X81">
        <f t="shared" si="73"/>
        <v>624.55999999999995</v>
      </c>
      <c r="Y81">
        <f t="shared" si="74"/>
        <v>329.63</v>
      </c>
      <c r="AA81">
        <v>34132744</v>
      </c>
      <c r="AB81">
        <f t="shared" si="75"/>
        <v>1381.38</v>
      </c>
      <c r="AC81">
        <f t="shared" si="98"/>
        <v>0</v>
      </c>
      <c r="AD81">
        <f t="shared" si="99"/>
        <v>0</v>
      </c>
      <c r="AE81">
        <f t="shared" si="100"/>
        <v>0</v>
      </c>
      <c r="AF81">
        <f t="shared" si="101"/>
        <v>1381.38</v>
      </c>
      <c r="AG81">
        <f t="shared" si="76"/>
        <v>0</v>
      </c>
      <c r="AH81">
        <f t="shared" si="102"/>
        <v>177.1</v>
      </c>
      <c r="AI81">
        <f t="shared" si="103"/>
        <v>0</v>
      </c>
      <c r="AJ81">
        <f t="shared" si="77"/>
        <v>0</v>
      </c>
      <c r="AK81">
        <v>1201.2</v>
      </c>
      <c r="AL81">
        <v>0</v>
      </c>
      <c r="AM81">
        <v>0</v>
      </c>
      <c r="AN81">
        <v>0</v>
      </c>
      <c r="AO81">
        <v>1201.2</v>
      </c>
      <c r="AP81">
        <v>0</v>
      </c>
      <c r="AQ81">
        <v>154</v>
      </c>
      <c r="AR81">
        <v>0</v>
      </c>
      <c r="AS81">
        <v>0</v>
      </c>
      <c r="AT81">
        <v>72</v>
      </c>
      <c r="AU81">
        <v>38</v>
      </c>
      <c r="AV81">
        <v>1</v>
      </c>
      <c r="AW81">
        <v>1</v>
      </c>
      <c r="AZ81">
        <v>1</v>
      </c>
      <c r="BA81">
        <v>33.049999999999997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169</v>
      </c>
      <c r="BM81">
        <v>1003</v>
      </c>
      <c r="BN81">
        <v>0</v>
      </c>
      <c r="BO81" t="s">
        <v>166</v>
      </c>
      <c r="BP81">
        <v>1</v>
      </c>
      <c r="BQ81">
        <v>2</v>
      </c>
      <c r="BR81">
        <v>0</v>
      </c>
      <c r="BS81">
        <v>33.049999999999997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80</v>
      </c>
      <c r="CA81">
        <v>45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608</v>
      </c>
      <c r="CO81">
        <v>0</v>
      </c>
      <c r="CP81">
        <f t="shared" si="78"/>
        <v>867.44</v>
      </c>
      <c r="CQ81">
        <f t="shared" si="79"/>
        <v>0</v>
      </c>
      <c r="CR81">
        <f t="shared" si="80"/>
        <v>0</v>
      </c>
      <c r="CS81">
        <f t="shared" si="81"/>
        <v>0</v>
      </c>
      <c r="CT81">
        <f t="shared" si="82"/>
        <v>45654.608999999997</v>
      </c>
      <c r="CU81">
        <f t="shared" si="83"/>
        <v>0</v>
      </c>
      <c r="CV81">
        <f t="shared" si="84"/>
        <v>177.1</v>
      </c>
      <c r="CW81">
        <f t="shared" si="85"/>
        <v>0</v>
      </c>
      <c r="CX81">
        <f t="shared" si="86"/>
        <v>0</v>
      </c>
      <c r="CY81">
        <f t="shared" si="87"/>
        <v>624.55680000000007</v>
      </c>
      <c r="CZ81">
        <f t="shared" si="88"/>
        <v>329.62720000000002</v>
      </c>
      <c r="DC81" t="s">
        <v>3</v>
      </c>
      <c r="DD81" t="s">
        <v>3</v>
      </c>
      <c r="DE81" t="s">
        <v>100</v>
      </c>
      <c r="DF81" t="s">
        <v>100</v>
      </c>
      <c r="DG81" t="s">
        <v>101</v>
      </c>
      <c r="DH81" t="s">
        <v>3</v>
      </c>
      <c r="DI81" t="s">
        <v>101</v>
      </c>
      <c r="DJ81" t="s">
        <v>100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168</v>
      </c>
      <c r="DW81" t="s">
        <v>168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36260402</v>
      </c>
      <c r="EF81">
        <v>2</v>
      </c>
      <c r="EG81" t="s">
        <v>102</v>
      </c>
      <c r="EH81">
        <v>0</v>
      </c>
      <c r="EI81" t="s">
        <v>3</v>
      </c>
      <c r="EJ81">
        <v>1</v>
      </c>
      <c r="EK81">
        <v>1003</v>
      </c>
      <c r="EL81" t="s">
        <v>170</v>
      </c>
      <c r="EM81" t="s">
        <v>171</v>
      </c>
      <c r="EO81" t="s">
        <v>105</v>
      </c>
      <c r="EQ81">
        <v>0</v>
      </c>
      <c r="ER81">
        <v>1201.2</v>
      </c>
      <c r="ES81">
        <v>0</v>
      </c>
      <c r="ET81">
        <v>0</v>
      </c>
      <c r="EU81">
        <v>0</v>
      </c>
      <c r="EV81">
        <v>1201.2</v>
      </c>
      <c r="EW81">
        <v>154</v>
      </c>
      <c r="EX81">
        <v>0</v>
      </c>
      <c r="EY81">
        <v>0</v>
      </c>
      <c r="FQ81">
        <v>0</v>
      </c>
      <c r="FR81">
        <f t="shared" si="89"/>
        <v>0</v>
      </c>
      <c r="FS81">
        <v>0</v>
      </c>
      <c r="FT81" t="s">
        <v>106</v>
      </c>
      <c r="FU81" t="s">
        <v>107</v>
      </c>
      <c r="FX81">
        <v>72</v>
      </c>
      <c r="FY81">
        <v>38.25</v>
      </c>
      <c r="GA81" t="s">
        <v>3</v>
      </c>
      <c r="GD81">
        <v>1</v>
      </c>
      <c r="GF81">
        <v>325003626</v>
      </c>
      <c r="GG81">
        <v>2</v>
      </c>
      <c r="GH81">
        <v>1</v>
      </c>
      <c r="GI81">
        <v>2</v>
      </c>
      <c r="GJ81">
        <v>0</v>
      </c>
      <c r="GK81">
        <v>0</v>
      </c>
      <c r="GL81">
        <f t="shared" si="90"/>
        <v>0</v>
      </c>
      <c r="GM81">
        <f t="shared" si="91"/>
        <v>1821.63</v>
      </c>
      <c r="GN81">
        <f t="shared" si="92"/>
        <v>1821.63</v>
      </c>
      <c r="GO81">
        <f t="shared" si="93"/>
        <v>0</v>
      </c>
      <c r="GP81">
        <f t="shared" si="94"/>
        <v>0</v>
      </c>
      <c r="GR81">
        <v>0</v>
      </c>
      <c r="GS81">
        <v>3</v>
      </c>
      <c r="GT81">
        <v>0</v>
      </c>
      <c r="GU81" t="s">
        <v>3</v>
      </c>
      <c r="GV81">
        <f t="shared" si="95"/>
        <v>0</v>
      </c>
      <c r="GW81">
        <v>1</v>
      </c>
      <c r="GX81">
        <f t="shared" si="96"/>
        <v>0</v>
      </c>
      <c r="HA81">
        <v>0</v>
      </c>
      <c r="HB81">
        <v>0</v>
      </c>
      <c r="HC81">
        <f t="shared" si="97"/>
        <v>0</v>
      </c>
      <c r="HE81" t="s">
        <v>3</v>
      </c>
      <c r="HF81" t="s">
        <v>3</v>
      </c>
      <c r="HM81" t="s">
        <v>3</v>
      </c>
      <c r="IK81">
        <v>0</v>
      </c>
    </row>
    <row r="82" spans="1:245">
      <c r="A82">
        <v>17</v>
      </c>
      <c r="B82">
        <v>1</v>
      </c>
      <c r="C82">
        <f>ROW(SmtRes!A105)</f>
        <v>105</v>
      </c>
      <c r="D82">
        <f>ROW(EtalonRes!A108)</f>
        <v>108</v>
      </c>
      <c r="E82" t="s">
        <v>172</v>
      </c>
      <c r="F82" t="s">
        <v>173</v>
      </c>
      <c r="G82" t="s">
        <v>174</v>
      </c>
      <c r="H82" t="s">
        <v>175</v>
      </c>
      <c r="I82">
        <f>ROUND(3/100,9)</f>
        <v>0.03</v>
      </c>
      <c r="J82">
        <v>0</v>
      </c>
      <c r="K82">
        <f>ROUND(3/100,9)</f>
        <v>0.03</v>
      </c>
      <c r="O82">
        <f t="shared" si="64"/>
        <v>745.55</v>
      </c>
      <c r="P82">
        <f t="shared" si="65"/>
        <v>3.33</v>
      </c>
      <c r="Q82">
        <f t="shared" si="66"/>
        <v>598.47</v>
      </c>
      <c r="R82">
        <f t="shared" si="67"/>
        <v>220.03</v>
      </c>
      <c r="S82">
        <f t="shared" si="68"/>
        <v>143.75</v>
      </c>
      <c r="T82">
        <f t="shared" si="69"/>
        <v>0</v>
      </c>
      <c r="U82">
        <f t="shared" si="70"/>
        <v>0.54233999999999993</v>
      </c>
      <c r="V82">
        <f t="shared" si="71"/>
        <v>0.52050000000000007</v>
      </c>
      <c r="W82">
        <f t="shared" si="72"/>
        <v>0</v>
      </c>
      <c r="X82">
        <f t="shared" si="73"/>
        <v>465.64</v>
      </c>
      <c r="Y82">
        <f t="shared" si="74"/>
        <v>294.66000000000003</v>
      </c>
      <c r="AA82">
        <v>34132744</v>
      </c>
      <c r="AB82">
        <f t="shared" si="75"/>
        <v>2889.9180000000001</v>
      </c>
      <c r="AC82">
        <f t="shared" si="98"/>
        <v>12.2</v>
      </c>
      <c r="AD82">
        <f t="shared" si="99"/>
        <v>2732.7375000000002</v>
      </c>
      <c r="AE82">
        <f t="shared" si="100"/>
        <v>221.91249999999999</v>
      </c>
      <c r="AF82">
        <f t="shared" si="101"/>
        <v>144.98050000000001</v>
      </c>
      <c r="AG82">
        <f t="shared" si="76"/>
        <v>0</v>
      </c>
      <c r="AH82">
        <f t="shared" si="102"/>
        <v>18.077999999999999</v>
      </c>
      <c r="AI82">
        <f t="shared" si="103"/>
        <v>17.350000000000001</v>
      </c>
      <c r="AJ82">
        <f t="shared" si="77"/>
        <v>0</v>
      </c>
      <c r="AK82">
        <v>2324.46</v>
      </c>
      <c r="AL82">
        <v>12.2</v>
      </c>
      <c r="AM82">
        <v>2186.19</v>
      </c>
      <c r="AN82">
        <v>177.53</v>
      </c>
      <c r="AO82">
        <v>126.07</v>
      </c>
      <c r="AP82">
        <v>0</v>
      </c>
      <c r="AQ82">
        <v>15.72</v>
      </c>
      <c r="AR82">
        <v>13.88</v>
      </c>
      <c r="AS82">
        <v>0</v>
      </c>
      <c r="AT82">
        <v>128</v>
      </c>
      <c r="AU82">
        <v>81</v>
      </c>
      <c r="AV82">
        <v>1</v>
      </c>
      <c r="AW82">
        <v>1</v>
      </c>
      <c r="AZ82">
        <v>1</v>
      </c>
      <c r="BA82">
        <v>33.049999999999997</v>
      </c>
      <c r="BB82">
        <v>7.3</v>
      </c>
      <c r="BC82">
        <v>9.1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176</v>
      </c>
      <c r="BM82">
        <v>27001</v>
      </c>
      <c r="BN82">
        <v>0</v>
      </c>
      <c r="BO82" t="s">
        <v>173</v>
      </c>
      <c r="BP82">
        <v>1</v>
      </c>
      <c r="BQ82">
        <v>2</v>
      </c>
      <c r="BR82">
        <v>0</v>
      </c>
      <c r="BS82">
        <v>33.049999999999997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142</v>
      </c>
      <c r="CA82">
        <v>95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608</v>
      </c>
      <c r="CO82">
        <v>0</v>
      </c>
      <c r="CP82">
        <f t="shared" si="78"/>
        <v>745.55000000000007</v>
      </c>
      <c r="CQ82">
        <f t="shared" si="79"/>
        <v>111.02</v>
      </c>
      <c r="CR82">
        <f t="shared" si="80"/>
        <v>19948.983749999999</v>
      </c>
      <c r="CS82">
        <f t="shared" si="81"/>
        <v>7334.2081249999992</v>
      </c>
      <c r="CT82">
        <f t="shared" si="82"/>
        <v>4791.6055249999999</v>
      </c>
      <c r="CU82">
        <f t="shared" si="83"/>
        <v>0</v>
      </c>
      <c r="CV82">
        <f t="shared" si="84"/>
        <v>18.077999999999999</v>
      </c>
      <c r="CW82">
        <f t="shared" si="85"/>
        <v>17.350000000000001</v>
      </c>
      <c r="CX82">
        <f t="shared" si="86"/>
        <v>0</v>
      </c>
      <c r="CY82">
        <f t="shared" si="87"/>
        <v>465.63839999999999</v>
      </c>
      <c r="CZ82">
        <f t="shared" si="88"/>
        <v>294.66179999999997</v>
      </c>
      <c r="DC82" t="s">
        <v>3</v>
      </c>
      <c r="DD82" t="s">
        <v>3</v>
      </c>
      <c r="DE82" t="s">
        <v>100</v>
      </c>
      <c r="DF82" t="s">
        <v>100</v>
      </c>
      <c r="DG82" t="s">
        <v>101</v>
      </c>
      <c r="DH82" t="s">
        <v>3</v>
      </c>
      <c r="DI82" t="s">
        <v>101</v>
      </c>
      <c r="DJ82" t="s">
        <v>100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175</v>
      </c>
      <c r="DW82" t="s">
        <v>175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36260467</v>
      </c>
      <c r="EF82">
        <v>2</v>
      </c>
      <c r="EG82" t="s">
        <v>102</v>
      </c>
      <c r="EH82">
        <v>0</v>
      </c>
      <c r="EI82" t="s">
        <v>3</v>
      </c>
      <c r="EJ82">
        <v>1</v>
      </c>
      <c r="EK82">
        <v>27001</v>
      </c>
      <c r="EL82" t="s">
        <v>177</v>
      </c>
      <c r="EM82" t="s">
        <v>178</v>
      </c>
      <c r="EO82" t="s">
        <v>105</v>
      </c>
      <c r="EQ82">
        <v>0</v>
      </c>
      <c r="ER82">
        <v>2324.46</v>
      </c>
      <c r="ES82">
        <v>12.2</v>
      </c>
      <c r="ET82">
        <v>2186.19</v>
      </c>
      <c r="EU82">
        <v>177.53</v>
      </c>
      <c r="EV82">
        <v>126.07</v>
      </c>
      <c r="EW82">
        <v>15.72</v>
      </c>
      <c r="EX82">
        <v>13.88</v>
      </c>
      <c r="EY82">
        <v>0</v>
      </c>
      <c r="FQ82">
        <v>0</v>
      </c>
      <c r="FR82">
        <f t="shared" si="89"/>
        <v>0</v>
      </c>
      <c r="FS82">
        <v>0</v>
      </c>
      <c r="FT82" t="s">
        <v>106</v>
      </c>
      <c r="FU82" t="s">
        <v>107</v>
      </c>
      <c r="FX82">
        <v>127.8</v>
      </c>
      <c r="FY82">
        <v>80.75</v>
      </c>
      <c r="GA82" t="s">
        <v>3</v>
      </c>
      <c r="GD82">
        <v>1</v>
      </c>
      <c r="GF82">
        <v>302790359</v>
      </c>
      <c r="GG82">
        <v>2</v>
      </c>
      <c r="GH82">
        <v>1</v>
      </c>
      <c r="GI82">
        <v>2</v>
      </c>
      <c r="GJ82">
        <v>0</v>
      </c>
      <c r="GK82">
        <v>0</v>
      </c>
      <c r="GL82">
        <f t="shared" si="90"/>
        <v>0</v>
      </c>
      <c r="GM82">
        <f t="shared" si="91"/>
        <v>1505.85</v>
      </c>
      <c r="GN82">
        <f t="shared" si="92"/>
        <v>1505.85</v>
      </c>
      <c r="GO82">
        <f t="shared" si="93"/>
        <v>0</v>
      </c>
      <c r="GP82">
        <f t="shared" si="94"/>
        <v>0</v>
      </c>
      <c r="GR82">
        <v>0</v>
      </c>
      <c r="GS82">
        <v>3</v>
      </c>
      <c r="GT82">
        <v>0</v>
      </c>
      <c r="GU82" t="s">
        <v>3</v>
      </c>
      <c r="GV82">
        <f t="shared" si="95"/>
        <v>0</v>
      </c>
      <c r="GW82">
        <v>1</v>
      </c>
      <c r="GX82">
        <f t="shared" si="96"/>
        <v>0</v>
      </c>
      <c r="HA82">
        <v>0</v>
      </c>
      <c r="HB82">
        <v>0</v>
      </c>
      <c r="HC82">
        <f t="shared" si="97"/>
        <v>0</v>
      </c>
      <c r="HE82" t="s">
        <v>3</v>
      </c>
      <c r="HF82" t="s">
        <v>3</v>
      </c>
      <c r="HM82" t="s">
        <v>3</v>
      </c>
      <c r="IK82">
        <v>0</v>
      </c>
    </row>
    <row r="83" spans="1:245">
      <c r="A83">
        <v>18</v>
      </c>
      <c r="B83">
        <v>1</v>
      </c>
      <c r="C83">
        <v>104</v>
      </c>
      <c r="E83" t="s">
        <v>179</v>
      </c>
      <c r="F83" t="s">
        <v>180</v>
      </c>
      <c r="G83" t="s">
        <v>181</v>
      </c>
      <c r="H83" t="s">
        <v>182</v>
      </c>
      <c r="I83">
        <f>I82*J83</f>
        <v>0.03</v>
      </c>
      <c r="J83">
        <v>1</v>
      </c>
      <c r="K83">
        <v>1</v>
      </c>
      <c r="O83">
        <f t="shared" si="64"/>
        <v>16.87</v>
      </c>
      <c r="P83">
        <f t="shared" si="65"/>
        <v>16.87</v>
      </c>
      <c r="Q83">
        <f t="shared" si="66"/>
        <v>0</v>
      </c>
      <c r="R83">
        <f t="shared" si="67"/>
        <v>0</v>
      </c>
      <c r="S83">
        <f t="shared" si="68"/>
        <v>0</v>
      </c>
      <c r="T83">
        <f t="shared" si="69"/>
        <v>0</v>
      </c>
      <c r="U83">
        <f t="shared" si="70"/>
        <v>0</v>
      </c>
      <c r="V83">
        <f t="shared" si="71"/>
        <v>0</v>
      </c>
      <c r="W83">
        <f t="shared" si="72"/>
        <v>0.9</v>
      </c>
      <c r="X83">
        <f t="shared" si="73"/>
        <v>0</v>
      </c>
      <c r="Y83">
        <f t="shared" si="74"/>
        <v>0</v>
      </c>
      <c r="AA83">
        <v>34132744</v>
      </c>
      <c r="AB83">
        <f t="shared" si="75"/>
        <v>55.12</v>
      </c>
      <c r="AC83">
        <f t="shared" si="98"/>
        <v>55.12</v>
      </c>
      <c r="AD83">
        <f>ROUND((((ET83)-(EU83))+AE83),6)</f>
        <v>0</v>
      </c>
      <c r="AE83">
        <f>ROUND((EU83),6)</f>
        <v>0</v>
      </c>
      <c r="AF83">
        <f>ROUND((EV83),6)</f>
        <v>0</v>
      </c>
      <c r="AG83">
        <f t="shared" si="76"/>
        <v>0</v>
      </c>
      <c r="AH83">
        <f>(EW83)</f>
        <v>0</v>
      </c>
      <c r="AI83">
        <f>(EX83)</f>
        <v>0</v>
      </c>
      <c r="AJ83">
        <f t="shared" si="77"/>
        <v>30.02</v>
      </c>
      <c r="AK83">
        <v>55.12</v>
      </c>
      <c r="AL83">
        <v>55.12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30.02</v>
      </c>
      <c r="AT83">
        <v>128</v>
      </c>
      <c r="AU83">
        <v>81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10.199999999999999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183</v>
      </c>
      <c r="BM83">
        <v>27001</v>
      </c>
      <c r="BN83">
        <v>0</v>
      </c>
      <c r="BO83" t="s">
        <v>180</v>
      </c>
      <c r="BP83">
        <v>1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142</v>
      </c>
      <c r="CA83">
        <v>95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78"/>
        <v>16.87</v>
      </c>
      <c r="CQ83">
        <f t="shared" si="79"/>
        <v>562.22399999999993</v>
      </c>
      <c r="CR83">
        <f t="shared" si="80"/>
        <v>0</v>
      </c>
      <c r="CS83">
        <f t="shared" si="81"/>
        <v>0</v>
      </c>
      <c r="CT83">
        <f t="shared" si="82"/>
        <v>0</v>
      </c>
      <c r="CU83">
        <f t="shared" si="83"/>
        <v>0</v>
      </c>
      <c r="CV83">
        <f t="shared" si="84"/>
        <v>0</v>
      </c>
      <c r="CW83">
        <f t="shared" si="85"/>
        <v>0</v>
      </c>
      <c r="CX83">
        <f t="shared" si="86"/>
        <v>30.02</v>
      </c>
      <c r="CY83">
        <f t="shared" si="87"/>
        <v>0</v>
      </c>
      <c r="CZ83">
        <f t="shared" si="88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1007</v>
      </c>
      <c r="DV83" t="s">
        <v>182</v>
      </c>
      <c r="DW83" t="s">
        <v>182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36260467</v>
      </c>
      <c r="EF83">
        <v>2</v>
      </c>
      <c r="EG83" t="s">
        <v>102</v>
      </c>
      <c r="EH83">
        <v>0</v>
      </c>
      <c r="EI83" t="s">
        <v>3</v>
      </c>
      <c r="EJ83">
        <v>1</v>
      </c>
      <c r="EK83">
        <v>27001</v>
      </c>
      <c r="EL83" t="s">
        <v>177</v>
      </c>
      <c r="EM83" t="s">
        <v>178</v>
      </c>
      <c r="EO83" t="s">
        <v>3</v>
      </c>
      <c r="EQ83">
        <v>0</v>
      </c>
      <c r="ER83">
        <v>55.12</v>
      </c>
      <c r="ES83">
        <v>55.12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89"/>
        <v>0</v>
      </c>
      <c r="FS83">
        <v>0</v>
      </c>
      <c r="FT83" t="s">
        <v>106</v>
      </c>
      <c r="FU83" t="s">
        <v>107</v>
      </c>
      <c r="FX83">
        <v>127.8</v>
      </c>
      <c r="FY83">
        <v>80.75</v>
      </c>
      <c r="GA83" t="s">
        <v>3</v>
      </c>
      <c r="GD83">
        <v>1</v>
      </c>
      <c r="GF83">
        <v>2137520540</v>
      </c>
      <c r="GG83">
        <v>2</v>
      </c>
      <c r="GH83">
        <v>1</v>
      </c>
      <c r="GI83">
        <v>2</v>
      </c>
      <c r="GJ83">
        <v>0</v>
      </c>
      <c r="GK83">
        <v>0</v>
      </c>
      <c r="GL83">
        <f t="shared" si="90"/>
        <v>0</v>
      </c>
      <c r="GM83">
        <f t="shared" si="91"/>
        <v>16.87</v>
      </c>
      <c r="GN83">
        <f t="shared" si="92"/>
        <v>16.87</v>
      </c>
      <c r="GO83">
        <f t="shared" si="93"/>
        <v>0</v>
      </c>
      <c r="GP83">
        <f t="shared" si="94"/>
        <v>0</v>
      </c>
      <c r="GR83">
        <v>0</v>
      </c>
      <c r="GS83">
        <v>3</v>
      </c>
      <c r="GT83">
        <v>0</v>
      </c>
      <c r="GU83" t="s">
        <v>3</v>
      </c>
      <c r="GV83">
        <f t="shared" si="95"/>
        <v>0</v>
      </c>
      <c r="GW83">
        <v>1</v>
      </c>
      <c r="GX83">
        <f t="shared" si="96"/>
        <v>0</v>
      </c>
      <c r="HA83">
        <v>0</v>
      </c>
      <c r="HB83">
        <v>0</v>
      </c>
      <c r="HC83">
        <f t="shared" si="97"/>
        <v>0</v>
      </c>
      <c r="HE83" t="s">
        <v>3</v>
      </c>
      <c r="HF83" t="s">
        <v>3</v>
      </c>
      <c r="HM83" t="s">
        <v>3</v>
      </c>
      <c r="IK83">
        <v>0</v>
      </c>
    </row>
    <row r="84" spans="1:245">
      <c r="A84">
        <v>17</v>
      </c>
      <c r="B84">
        <v>1</v>
      </c>
      <c r="C84">
        <f>ROW(SmtRes!A115)</f>
        <v>115</v>
      </c>
      <c r="D84">
        <f>ROW(EtalonRes!A117)</f>
        <v>117</v>
      </c>
      <c r="E84" t="s">
        <v>184</v>
      </c>
      <c r="F84" t="s">
        <v>185</v>
      </c>
      <c r="G84" t="s">
        <v>186</v>
      </c>
      <c r="H84" t="s">
        <v>187</v>
      </c>
      <c r="I84">
        <f>ROUND(22/100,9)</f>
        <v>0.22</v>
      </c>
      <c r="J84">
        <v>0</v>
      </c>
      <c r="K84">
        <f>ROUND(22/100,9)</f>
        <v>0.22</v>
      </c>
      <c r="O84">
        <f t="shared" si="64"/>
        <v>10616.21</v>
      </c>
      <c r="P84">
        <f t="shared" si="65"/>
        <v>6911.78</v>
      </c>
      <c r="Q84">
        <f t="shared" si="66"/>
        <v>807.87</v>
      </c>
      <c r="R84">
        <f t="shared" si="67"/>
        <v>51.26</v>
      </c>
      <c r="S84">
        <f t="shared" si="68"/>
        <v>2896.56</v>
      </c>
      <c r="T84">
        <f t="shared" si="69"/>
        <v>0</v>
      </c>
      <c r="U84">
        <f t="shared" si="70"/>
        <v>10.7272</v>
      </c>
      <c r="V84">
        <f t="shared" si="71"/>
        <v>0.11550000000000001</v>
      </c>
      <c r="W84">
        <f t="shared" si="72"/>
        <v>0</v>
      </c>
      <c r="X84">
        <f t="shared" si="73"/>
        <v>3773.21</v>
      </c>
      <c r="Y84">
        <f t="shared" si="74"/>
        <v>2387.73</v>
      </c>
      <c r="AA84">
        <v>34132744</v>
      </c>
      <c r="AB84">
        <f t="shared" si="75"/>
        <v>7915.5439999999999</v>
      </c>
      <c r="AC84">
        <f t="shared" si="98"/>
        <v>7012.76</v>
      </c>
      <c r="AD84">
        <f>ROUND(((((ET84*1.25))-((EU84*1.25)))+AE84),6)</f>
        <v>504.41250000000002</v>
      </c>
      <c r="AE84">
        <f>ROUND(((EU84*1.25)),6)</f>
        <v>7.05</v>
      </c>
      <c r="AF84">
        <f>ROUND(((EV84*1.15)),6)</f>
        <v>398.37150000000003</v>
      </c>
      <c r="AG84">
        <f t="shared" si="76"/>
        <v>0</v>
      </c>
      <c r="AH84">
        <f>((EW84*1.15))</f>
        <v>48.76</v>
      </c>
      <c r="AI84">
        <f>((EX84*1.25))</f>
        <v>0.52500000000000002</v>
      </c>
      <c r="AJ84">
        <f t="shared" si="77"/>
        <v>0</v>
      </c>
      <c r="AK84">
        <v>7762.7</v>
      </c>
      <c r="AL84">
        <v>7012.76</v>
      </c>
      <c r="AM84">
        <v>403.53</v>
      </c>
      <c r="AN84">
        <v>5.64</v>
      </c>
      <c r="AO84">
        <v>346.41</v>
      </c>
      <c r="AP84">
        <v>0</v>
      </c>
      <c r="AQ84">
        <v>42.4</v>
      </c>
      <c r="AR84">
        <v>0.42</v>
      </c>
      <c r="AS84">
        <v>0</v>
      </c>
      <c r="AT84">
        <v>128</v>
      </c>
      <c r="AU84">
        <v>81</v>
      </c>
      <c r="AV84">
        <v>1</v>
      </c>
      <c r="AW84">
        <v>1</v>
      </c>
      <c r="AZ84">
        <v>1</v>
      </c>
      <c r="BA84">
        <v>33.049999999999997</v>
      </c>
      <c r="BB84">
        <v>7.28</v>
      </c>
      <c r="BC84">
        <v>4.4800000000000004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1</v>
      </c>
      <c r="BJ84" t="s">
        <v>188</v>
      </c>
      <c r="BM84">
        <v>27001</v>
      </c>
      <c r="BN84">
        <v>0</v>
      </c>
      <c r="BO84" t="s">
        <v>185</v>
      </c>
      <c r="BP84">
        <v>1</v>
      </c>
      <c r="BQ84">
        <v>2</v>
      </c>
      <c r="BR84">
        <v>0</v>
      </c>
      <c r="BS84">
        <v>33.049999999999997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142</v>
      </c>
      <c r="CA84">
        <v>95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608</v>
      </c>
      <c r="CO84">
        <v>0</v>
      </c>
      <c r="CP84">
        <f t="shared" si="78"/>
        <v>10616.21</v>
      </c>
      <c r="CQ84">
        <f t="shared" si="79"/>
        <v>31417.164800000002</v>
      </c>
      <c r="CR84">
        <f t="shared" si="80"/>
        <v>3672.1230000000005</v>
      </c>
      <c r="CS84">
        <f t="shared" si="81"/>
        <v>233.00249999999997</v>
      </c>
      <c r="CT84">
        <f t="shared" si="82"/>
        <v>13166.178075</v>
      </c>
      <c r="CU84">
        <f t="shared" si="83"/>
        <v>0</v>
      </c>
      <c r="CV84">
        <f t="shared" si="84"/>
        <v>48.76</v>
      </c>
      <c r="CW84">
        <f t="shared" si="85"/>
        <v>0.52500000000000002</v>
      </c>
      <c r="CX84">
        <f t="shared" si="86"/>
        <v>0</v>
      </c>
      <c r="CY84">
        <f t="shared" si="87"/>
        <v>3773.2096000000001</v>
      </c>
      <c r="CZ84">
        <f t="shared" si="88"/>
        <v>2387.7342000000003</v>
      </c>
      <c r="DC84" t="s">
        <v>3</v>
      </c>
      <c r="DD84" t="s">
        <v>3</v>
      </c>
      <c r="DE84" t="s">
        <v>100</v>
      </c>
      <c r="DF84" t="s">
        <v>100</v>
      </c>
      <c r="DG84" t="s">
        <v>101</v>
      </c>
      <c r="DH84" t="s">
        <v>3</v>
      </c>
      <c r="DI84" t="s">
        <v>101</v>
      </c>
      <c r="DJ84" t="s">
        <v>100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1013</v>
      </c>
      <c r="DV84" t="s">
        <v>187</v>
      </c>
      <c r="DW84" t="s">
        <v>187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36260467</v>
      </c>
      <c r="EF84">
        <v>2</v>
      </c>
      <c r="EG84" t="s">
        <v>102</v>
      </c>
      <c r="EH84">
        <v>0</v>
      </c>
      <c r="EI84" t="s">
        <v>3</v>
      </c>
      <c r="EJ84">
        <v>1</v>
      </c>
      <c r="EK84">
        <v>27001</v>
      </c>
      <c r="EL84" t="s">
        <v>177</v>
      </c>
      <c r="EM84" t="s">
        <v>178</v>
      </c>
      <c r="EO84" t="s">
        <v>105</v>
      </c>
      <c r="EQ84">
        <v>0</v>
      </c>
      <c r="ER84">
        <v>7762.7</v>
      </c>
      <c r="ES84">
        <v>7012.76</v>
      </c>
      <c r="ET84">
        <v>403.53</v>
      </c>
      <c r="EU84">
        <v>5.64</v>
      </c>
      <c r="EV84">
        <v>346.41</v>
      </c>
      <c r="EW84">
        <v>42.4</v>
      </c>
      <c r="EX84">
        <v>0.42</v>
      </c>
      <c r="EY84">
        <v>0</v>
      </c>
      <c r="FQ84">
        <v>0</v>
      </c>
      <c r="FR84">
        <f t="shared" si="89"/>
        <v>0</v>
      </c>
      <c r="FS84">
        <v>0</v>
      </c>
      <c r="FT84" t="s">
        <v>106</v>
      </c>
      <c r="FU84" t="s">
        <v>107</v>
      </c>
      <c r="FX84">
        <v>127.8</v>
      </c>
      <c r="FY84">
        <v>80.75</v>
      </c>
      <c r="GA84" t="s">
        <v>3</v>
      </c>
      <c r="GD84">
        <v>1</v>
      </c>
      <c r="GF84">
        <v>9265945</v>
      </c>
      <c r="GG84">
        <v>2</v>
      </c>
      <c r="GH84">
        <v>1</v>
      </c>
      <c r="GI84">
        <v>2</v>
      </c>
      <c r="GJ84">
        <v>0</v>
      </c>
      <c r="GK84">
        <v>0</v>
      </c>
      <c r="GL84">
        <f t="shared" si="90"/>
        <v>0</v>
      </c>
      <c r="GM84">
        <f t="shared" si="91"/>
        <v>16777.150000000001</v>
      </c>
      <c r="GN84">
        <f t="shared" si="92"/>
        <v>16777.150000000001</v>
      </c>
      <c r="GO84">
        <f t="shared" si="93"/>
        <v>0</v>
      </c>
      <c r="GP84">
        <f t="shared" si="94"/>
        <v>0</v>
      </c>
      <c r="GR84">
        <v>0</v>
      </c>
      <c r="GS84">
        <v>3</v>
      </c>
      <c r="GT84">
        <v>0</v>
      </c>
      <c r="GU84" t="s">
        <v>3</v>
      </c>
      <c r="GV84">
        <f t="shared" si="95"/>
        <v>0</v>
      </c>
      <c r="GW84">
        <v>1</v>
      </c>
      <c r="GX84">
        <f t="shared" si="96"/>
        <v>0</v>
      </c>
      <c r="HA84">
        <v>0</v>
      </c>
      <c r="HB84">
        <v>0</v>
      </c>
      <c r="HC84">
        <f t="shared" si="97"/>
        <v>0</v>
      </c>
      <c r="HE84" t="s">
        <v>3</v>
      </c>
      <c r="HF84" t="s">
        <v>3</v>
      </c>
      <c r="HM84" t="s">
        <v>3</v>
      </c>
      <c r="IK84">
        <v>0</v>
      </c>
    </row>
    <row r="85" spans="1:245">
      <c r="A85">
        <v>18</v>
      </c>
      <c r="B85">
        <v>1</v>
      </c>
      <c r="C85">
        <v>113</v>
      </c>
      <c r="E85" t="s">
        <v>189</v>
      </c>
      <c r="F85" t="s">
        <v>190</v>
      </c>
      <c r="G85" t="s">
        <v>191</v>
      </c>
      <c r="H85" t="s">
        <v>182</v>
      </c>
      <c r="I85">
        <f>I84*J85</f>
        <v>1.1000000000000001</v>
      </c>
      <c r="J85">
        <v>5</v>
      </c>
      <c r="K85">
        <v>5</v>
      </c>
      <c r="O85">
        <f t="shared" si="64"/>
        <v>3491.33</v>
      </c>
      <c r="P85">
        <f t="shared" si="65"/>
        <v>3491.33</v>
      </c>
      <c r="Q85">
        <f t="shared" si="66"/>
        <v>0</v>
      </c>
      <c r="R85">
        <f t="shared" si="67"/>
        <v>0</v>
      </c>
      <c r="S85">
        <f t="shared" si="68"/>
        <v>0</v>
      </c>
      <c r="T85">
        <f t="shared" si="69"/>
        <v>0</v>
      </c>
      <c r="U85">
        <f t="shared" si="70"/>
        <v>0</v>
      </c>
      <c r="V85">
        <f t="shared" si="71"/>
        <v>0</v>
      </c>
      <c r="W85">
        <f t="shared" si="72"/>
        <v>59.65</v>
      </c>
      <c r="X85">
        <f t="shared" si="73"/>
        <v>0</v>
      </c>
      <c r="Y85">
        <f t="shared" si="74"/>
        <v>0</v>
      </c>
      <c r="AA85">
        <v>34132744</v>
      </c>
      <c r="AB85">
        <f t="shared" si="75"/>
        <v>295.8</v>
      </c>
      <c r="AC85">
        <f t="shared" si="98"/>
        <v>295.8</v>
      </c>
      <c r="AD85">
        <f>ROUND((((ET85)-(EU85))+AE85),6)</f>
        <v>0</v>
      </c>
      <c r="AE85">
        <f>ROUND((EU85),6)</f>
        <v>0</v>
      </c>
      <c r="AF85">
        <f>ROUND((EV85),6)</f>
        <v>0</v>
      </c>
      <c r="AG85">
        <f t="shared" si="76"/>
        <v>0</v>
      </c>
      <c r="AH85">
        <f>(EW85)</f>
        <v>0</v>
      </c>
      <c r="AI85">
        <f>(EX85)</f>
        <v>0</v>
      </c>
      <c r="AJ85">
        <f t="shared" si="77"/>
        <v>54.23</v>
      </c>
      <c r="AK85">
        <v>295.8</v>
      </c>
      <c r="AL85">
        <v>295.8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54.23</v>
      </c>
      <c r="AT85">
        <v>128</v>
      </c>
      <c r="AU85">
        <v>81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10.73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192</v>
      </c>
      <c r="BM85">
        <v>27001</v>
      </c>
      <c r="BN85">
        <v>0</v>
      </c>
      <c r="BO85" t="s">
        <v>190</v>
      </c>
      <c r="BP85">
        <v>1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142</v>
      </c>
      <c r="CA85">
        <v>95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78"/>
        <v>3491.33</v>
      </c>
      <c r="CQ85">
        <f t="shared" si="79"/>
        <v>3173.9340000000002</v>
      </c>
      <c r="CR85">
        <f t="shared" si="80"/>
        <v>0</v>
      </c>
      <c r="CS85">
        <f t="shared" si="81"/>
        <v>0</v>
      </c>
      <c r="CT85">
        <f t="shared" si="82"/>
        <v>0</v>
      </c>
      <c r="CU85">
        <f t="shared" si="83"/>
        <v>0</v>
      </c>
      <c r="CV85">
        <f t="shared" si="84"/>
        <v>0</v>
      </c>
      <c r="CW85">
        <f t="shared" si="85"/>
        <v>0</v>
      </c>
      <c r="CX85">
        <f t="shared" si="86"/>
        <v>54.23</v>
      </c>
      <c r="CY85">
        <f t="shared" si="87"/>
        <v>0</v>
      </c>
      <c r="CZ85">
        <f t="shared" si="88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1007</v>
      </c>
      <c r="DV85" t="s">
        <v>182</v>
      </c>
      <c r="DW85" t="s">
        <v>182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36260467</v>
      </c>
      <c r="EF85">
        <v>2</v>
      </c>
      <c r="EG85" t="s">
        <v>102</v>
      </c>
      <c r="EH85">
        <v>0</v>
      </c>
      <c r="EI85" t="s">
        <v>3</v>
      </c>
      <c r="EJ85">
        <v>1</v>
      </c>
      <c r="EK85">
        <v>27001</v>
      </c>
      <c r="EL85" t="s">
        <v>177</v>
      </c>
      <c r="EM85" t="s">
        <v>178</v>
      </c>
      <c r="EO85" t="s">
        <v>3</v>
      </c>
      <c r="EQ85">
        <v>0</v>
      </c>
      <c r="ER85">
        <v>295.8</v>
      </c>
      <c r="ES85">
        <v>295.8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89"/>
        <v>0</v>
      </c>
      <c r="FS85">
        <v>0</v>
      </c>
      <c r="FT85" t="s">
        <v>106</v>
      </c>
      <c r="FU85" t="s">
        <v>107</v>
      </c>
      <c r="FX85">
        <v>127.8</v>
      </c>
      <c r="FY85">
        <v>80.75</v>
      </c>
      <c r="GA85" t="s">
        <v>3</v>
      </c>
      <c r="GD85">
        <v>1</v>
      </c>
      <c r="GF85">
        <v>-103102022</v>
      </c>
      <c r="GG85">
        <v>2</v>
      </c>
      <c r="GH85">
        <v>1</v>
      </c>
      <c r="GI85">
        <v>2</v>
      </c>
      <c r="GJ85">
        <v>0</v>
      </c>
      <c r="GK85">
        <v>0</v>
      </c>
      <c r="GL85">
        <f t="shared" si="90"/>
        <v>0</v>
      </c>
      <c r="GM85">
        <f t="shared" si="91"/>
        <v>3491.33</v>
      </c>
      <c r="GN85">
        <f t="shared" si="92"/>
        <v>3491.33</v>
      </c>
      <c r="GO85">
        <f t="shared" si="93"/>
        <v>0</v>
      </c>
      <c r="GP85">
        <f t="shared" si="94"/>
        <v>0</v>
      </c>
      <c r="GR85">
        <v>0</v>
      </c>
      <c r="GS85">
        <v>3</v>
      </c>
      <c r="GT85">
        <v>0</v>
      </c>
      <c r="GU85" t="s">
        <v>3</v>
      </c>
      <c r="GV85">
        <f t="shared" si="95"/>
        <v>0</v>
      </c>
      <c r="GW85">
        <v>1</v>
      </c>
      <c r="GX85">
        <f t="shared" si="96"/>
        <v>0</v>
      </c>
      <c r="HA85">
        <v>0</v>
      </c>
      <c r="HB85">
        <v>0</v>
      </c>
      <c r="HC85">
        <f t="shared" si="97"/>
        <v>0</v>
      </c>
      <c r="HE85" t="s">
        <v>3</v>
      </c>
      <c r="HF85" t="s">
        <v>3</v>
      </c>
      <c r="HM85" t="s">
        <v>3</v>
      </c>
      <c r="IK85">
        <v>0</v>
      </c>
    </row>
    <row r="86" spans="1:245">
      <c r="A86">
        <v>18</v>
      </c>
      <c r="B86">
        <v>1</v>
      </c>
      <c r="C86">
        <v>114</v>
      </c>
      <c r="E86" t="s">
        <v>193</v>
      </c>
      <c r="F86" t="s">
        <v>194</v>
      </c>
      <c r="G86" t="s">
        <v>195</v>
      </c>
      <c r="H86" t="s">
        <v>182</v>
      </c>
      <c r="I86">
        <f>I84*J86</f>
        <v>1.1000000000000001</v>
      </c>
      <c r="J86">
        <v>5</v>
      </c>
      <c r="K86">
        <v>5</v>
      </c>
      <c r="O86">
        <f t="shared" si="64"/>
        <v>0</v>
      </c>
      <c r="P86">
        <f t="shared" si="65"/>
        <v>0</v>
      </c>
      <c r="Q86">
        <f t="shared" si="66"/>
        <v>0</v>
      </c>
      <c r="R86">
        <f t="shared" si="67"/>
        <v>0</v>
      </c>
      <c r="S86">
        <f t="shared" si="68"/>
        <v>0</v>
      </c>
      <c r="T86">
        <f t="shared" si="69"/>
        <v>0</v>
      </c>
      <c r="U86">
        <f t="shared" si="70"/>
        <v>0</v>
      </c>
      <c r="V86">
        <f t="shared" si="71"/>
        <v>0</v>
      </c>
      <c r="W86">
        <f t="shared" si="72"/>
        <v>0</v>
      </c>
      <c r="X86">
        <f t="shared" si="73"/>
        <v>0</v>
      </c>
      <c r="Y86">
        <f t="shared" si="74"/>
        <v>0</v>
      </c>
      <c r="AA86">
        <v>34132744</v>
      </c>
      <c r="AB86">
        <f t="shared" si="75"/>
        <v>0</v>
      </c>
      <c r="AC86">
        <f t="shared" si="98"/>
        <v>0</v>
      </c>
      <c r="AD86">
        <f>ROUND((((ET86)-(EU86))+AE86),6)</f>
        <v>0</v>
      </c>
      <c r="AE86">
        <f>ROUND((EU86),6)</f>
        <v>0</v>
      </c>
      <c r="AF86">
        <f>ROUND((EV86),6)</f>
        <v>0</v>
      </c>
      <c r="AG86">
        <f t="shared" si="76"/>
        <v>0</v>
      </c>
      <c r="AH86">
        <f>(EW86)</f>
        <v>0</v>
      </c>
      <c r="AI86">
        <f>(EX86)</f>
        <v>0</v>
      </c>
      <c r="AJ86">
        <f t="shared" si="77"/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128</v>
      </c>
      <c r="AU86">
        <v>81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1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196</v>
      </c>
      <c r="BM86">
        <v>27001</v>
      </c>
      <c r="BN86">
        <v>0</v>
      </c>
      <c r="BO86" t="s">
        <v>3</v>
      </c>
      <c r="BP86">
        <v>0</v>
      </c>
      <c r="BQ86">
        <v>2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142</v>
      </c>
      <c r="CA86">
        <v>95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78"/>
        <v>0</v>
      </c>
      <c r="CQ86">
        <f t="shared" si="79"/>
        <v>0</v>
      </c>
      <c r="CR86">
        <f t="shared" si="80"/>
        <v>0</v>
      </c>
      <c r="CS86">
        <f t="shared" si="81"/>
        <v>0</v>
      </c>
      <c r="CT86">
        <f t="shared" si="82"/>
        <v>0</v>
      </c>
      <c r="CU86">
        <f t="shared" si="83"/>
        <v>0</v>
      </c>
      <c r="CV86">
        <f t="shared" si="84"/>
        <v>0</v>
      </c>
      <c r="CW86">
        <f t="shared" si="85"/>
        <v>0</v>
      </c>
      <c r="CX86">
        <f t="shared" si="86"/>
        <v>0</v>
      </c>
      <c r="CY86">
        <f t="shared" si="87"/>
        <v>0</v>
      </c>
      <c r="CZ86">
        <f t="shared" si="88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1007</v>
      </c>
      <c r="DV86" t="s">
        <v>182</v>
      </c>
      <c r="DW86" t="s">
        <v>182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36260467</v>
      </c>
      <c r="EF86">
        <v>2</v>
      </c>
      <c r="EG86" t="s">
        <v>102</v>
      </c>
      <c r="EH86">
        <v>0</v>
      </c>
      <c r="EI86" t="s">
        <v>3</v>
      </c>
      <c r="EJ86">
        <v>1</v>
      </c>
      <c r="EK86">
        <v>27001</v>
      </c>
      <c r="EL86" t="s">
        <v>177</v>
      </c>
      <c r="EM86" t="s">
        <v>178</v>
      </c>
      <c r="EO86" t="s">
        <v>3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FQ86">
        <v>0</v>
      </c>
      <c r="FR86">
        <f t="shared" si="89"/>
        <v>0</v>
      </c>
      <c r="FS86">
        <v>0</v>
      </c>
      <c r="FT86" t="s">
        <v>106</v>
      </c>
      <c r="FU86" t="s">
        <v>107</v>
      </c>
      <c r="FX86">
        <v>127.8</v>
      </c>
      <c r="FY86">
        <v>80.75</v>
      </c>
      <c r="GA86" t="s">
        <v>3</v>
      </c>
      <c r="GD86">
        <v>1</v>
      </c>
      <c r="GF86">
        <v>322991403</v>
      </c>
      <c r="GG86">
        <v>2</v>
      </c>
      <c r="GH86">
        <v>1</v>
      </c>
      <c r="GI86">
        <v>-2</v>
      </c>
      <c r="GJ86">
        <v>0</v>
      </c>
      <c r="GK86">
        <v>0</v>
      </c>
      <c r="GL86">
        <f t="shared" si="90"/>
        <v>0</v>
      </c>
      <c r="GM86">
        <f t="shared" si="91"/>
        <v>0</v>
      </c>
      <c r="GN86">
        <f t="shared" si="92"/>
        <v>0</v>
      </c>
      <c r="GO86">
        <f t="shared" si="93"/>
        <v>0</v>
      </c>
      <c r="GP86">
        <f t="shared" si="94"/>
        <v>0</v>
      </c>
      <c r="GR86">
        <v>0</v>
      </c>
      <c r="GS86">
        <v>3</v>
      </c>
      <c r="GT86">
        <v>0</v>
      </c>
      <c r="GU86" t="s">
        <v>3</v>
      </c>
      <c r="GV86">
        <f t="shared" si="95"/>
        <v>0</v>
      </c>
      <c r="GW86">
        <v>1</v>
      </c>
      <c r="GX86">
        <f t="shared" si="96"/>
        <v>0</v>
      </c>
      <c r="HA86">
        <v>0</v>
      </c>
      <c r="HB86">
        <v>0</v>
      </c>
      <c r="HC86">
        <f t="shared" si="97"/>
        <v>0</v>
      </c>
      <c r="HE86" t="s">
        <v>3</v>
      </c>
      <c r="HF86" t="s">
        <v>3</v>
      </c>
      <c r="HM86" t="s">
        <v>3</v>
      </c>
      <c r="IK86">
        <v>0</v>
      </c>
    </row>
    <row r="88" spans="1:245">
      <c r="A88" s="2">
        <v>51</v>
      </c>
      <c r="B88" s="2">
        <f>B65</f>
        <v>1</v>
      </c>
      <c r="C88" s="2">
        <f>A65</f>
        <v>4</v>
      </c>
      <c r="D88" s="2">
        <f>ROW(A65)</f>
        <v>65</v>
      </c>
      <c r="E88" s="2"/>
      <c r="F88" s="2" t="str">
        <f>IF(F65&lt;&gt;"",F65,"")</f>
        <v>Новый раздел</v>
      </c>
      <c r="G88" s="2" t="str">
        <f>IF(G65&lt;&gt;"",G65,"")</f>
        <v>Монтаж</v>
      </c>
      <c r="H88" s="2">
        <v>0</v>
      </c>
      <c r="I88" s="2"/>
      <c r="J88" s="2"/>
      <c r="K88" s="2"/>
      <c r="L88" s="2"/>
      <c r="M88" s="2"/>
      <c r="N88" s="2"/>
      <c r="O88" s="2">
        <f t="shared" ref="O88:T88" si="104">ROUND(AB88,2)</f>
        <v>179373.23</v>
      </c>
      <c r="P88" s="2">
        <f t="shared" si="104"/>
        <v>133856.6</v>
      </c>
      <c r="Q88" s="2">
        <f t="shared" si="104"/>
        <v>4539.6899999999996</v>
      </c>
      <c r="R88" s="2">
        <f t="shared" si="104"/>
        <v>931.24</v>
      </c>
      <c r="S88" s="2">
        <f t="shared" si="104"/>
        <v>40976.94</v>
      </c>
      <c r="T88" s="2">
        <f t="shared" si="104"/>
        <v>0</v>
      </c>
      <c r="U88" s="2">
        <f>AH88</f>
        <v>136.77176</v>
      </c>
      <c r="V88" s="2">
        <f>AI88</f>
        <v>2.1370399999999998</v>
      </c>
      <c r="W88" s="2">
        <f>ROUND(AJ88,2)</f>
        <v>1829.79</v>
      </c>
      <c r="X88" s="2">
        <f>ROUND(AK88,2)</f>
        <v>42239.72</v>
      </c>
      <c r="Y88" s="2">
        <f>ROUND(AL88,2)</f>
        <v>24415.48</v>
      </c>
      <c r="Z88" s="2"/>
      <c r="AA88" s="2"/>
      <c r="AB88" s="2">
        <f>ROUND(SUMIF(AA69:AA86,"=34132744",O69:O86),2)</f>
        <v>179373.23</v>
      </c>
      <c r="AC88" s="2">
        <f>ROUND(SUMIF(AA69:AA86,"=34132744",P69:P86),2)</f>
        <v>133856.6</v>
      </c>
      <c r="AD88" s="2">
        <f>ROUND(SUMIF(AA69:AA86,"=34132744",Q69:Q86),2)</f>
        <v>4539.6899999999996</v>
      </c>
      <c r="AE88" s="2">
        <f>ROUND(SUMIF(AA69:AA86,"=34132744",R69:R86),2)</f>
        <v>931.24</v>
      </c>
      <c r="AF88" s="2">
        <f>ROUND(SUMIF(AA69:AA86,"=34132744",S69:S86),2)</f>
        <v>40976.94</v>
      </c>
      <c r="AG88" s="2">
        <f>ROUND(SUMIF(AA69:AA86,"=34132744",T69:T86),2)</f>
        <v>0</v>
      </c>
      <c r="AH88" s="2">
        <f>SUMIF(AA69:AA86,"=34132744",U69:U86)</f>
        <v>136.77176</v>
      </c>
      <c r="AI88" s="2">
        <f>SUMIF(AA69:AA86,"=34132744",V69:V86)</f>
        <v>2.1370399999999998</v>
      </c>
      <c r="AJ88" s="2">
        <f>ROUND(SUMIF(AA69:AA86,"=34132744",W69:W86),2)</f>
        <v>1829.79</v>
      </c>
      <c r="AK88" s="2">
        <f>ROUND(SUMIF(AA69:AA86,"=34132744",X69:X86),2)</f>
        <v>42239.72</v>
      </c>
      <c r="AL88" s="2">
        <f>ROUND(SUMIF(AA69:AA86,"=34132744",Y69:Y86),2)</f>
        <v>24415.48</v>
      </c>
      <c r="AM88" s="2"/>
      <c r="AN88" s="2"/>
      <c r="AO88" s="2">
        <f t="shared" ref="AO88:BD88" si="105">ROUND(BX88,2)</f>
        <v>0</v>
      </c>
      <c r="AP88" s="2">
        <f t="shared" si="105"/>
        <v>0</v>
      </c>
      <c r="AQ88" s="2">
        <f t="shared" si="105"/>
        <v>0</v>
      </c>
      <c r="AR88" s="2">
        <f t="shared" si="105"/>
        <v>246028.43</v>
      </c>
      <c r="AS88" s="2">
        <f t="shared" si="105"/>
        <v>246028.43</v>
      </c>
      <c r="AT88" s="2">
        <f t="shared" si="105"/>
        <v>0</v>
      </c>
      <c r="AU88" s="2">
        <f t="shared" si="105"/>
        <v>0</v>
      </c>
      <c r="AV88" s="2">
        <f t="shared" si="105"/>
        <v>133856.6</v>
      </c>
      <c r="AW88" s="2">
        <f t="shared" si="105"/>
        <v>133856.6</v>
      </c>
      <c r="AX88" s="2">
        <f t="shared" si="105"/>
        <v>0</v>
      </c>
      <c r="AY88" s="2">
        <f t="shared" si="105"/>
        <v>133856.6</v>
      </c>
      <c r="AZ88" s="2">
        <f t="shared" si="105"/>
        <v>0</v>
      </c>
      <c r="BA88" s="2">
        <f t="shared" si="105"/>
        <v>0</v>
      </c>
      <c r="BB88" s="2">
        <f t="shared" si="105"/>
        <v>0</v>
      </c>
      <c r="BC88" s="2">
        <f t="shared" si="105"/>
        <v>0</v>
      </c>
      <c r="BD88" s="2">
        <f t="shared" si="105"/>
        <v>0</v>
      </c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>
        <f>ROUND(SUMIF(AA69:AA86,"=34132744",FQ69:FQ86),2)</f>
        <v>0</v>
      </c>
      <c r="BY88" s="2">
        <f>ROUND(SUMIF(AA69:AA86,"=34132744",FR69:FR86),2)</f>
        <v>0</v>
      </c>
      <c r="BZ88" s="2">
        <f>ROUND(SUMIF(AA69:AA86,"=34132744",GL69:GL86),2)</f>
        <v>0</v>
      </c>
      <c r="CA88" s="2">
        <f>ROUND(SUMIF(AA69:AA86,"=34132744",GM69:GM86),2)</f>
        <v>246028.43</v>
      </c>
      <c r="CB88" s="2">
        <f>ROUND(SUMIF(AA69:AA86,"=34132744",GN69:GN86),2)</f>
        <v>246028.43</v>
      </c>
      <c r="CC88" s="2">
        <f>ROUND(SUMIF(AA69:AA86,"=34132744",GO69:GO86),2)</f>
        <v>0</v>
      </c>
      <c r="CD88" s="2">
        <f>ROUND(SUMIF(AA69:AA86,"=34132744",GP69:GP86),2)</f>
        <v>0</v>
      </c>
      <c r="CE88" s="2">
        <f>AC88-BX88</f>
        <v>133856.6</v>
      </c>
      <c r="CF88" s="2">
        <f>AC88-BY88</f>
        <v>133856.6</v>
      </c>
      <c r="CG88" s="2">
        <f>BX88-BZ88</f>
        <v>0</v>
      </c>
      <c r="CH88" s="2">
        <f>AC88-BX88-BY88+BZ88</f>
        <v>133856.6</v>
      </c>
      <c r="CI88" s="2">
        <f>BY88-BZ88</f>
        <v>0</v>
      </c>
      <c r="CJ88" s="2">
        <f>ROUND(SUMIF(AA69:AA86,"=34132744",GX69:GX86),2)</f>
        <v>0</v>
      </c>
      <c r="CK88" s="2">
        <f>ROUND(SUMIF(AA69:AA86,"=34132744",GY69:GY86),2)</f>
        <v>0</v>
      </c>
      <c r="CL88" s="2">
        <f>ROUND(SUMIF(AA69:AA86,"=34132744",GZ69:GZ86),2)</f>
        <v>0</v>
      </c>
      <c r="CM88" s="2">
        <f>ROUND(SUMIF(AA69:AA86,"=34132744",HD69:HD86),2)</f>
        <v>0</v>
      </c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>
        <v>0</v>
      </c>
    </row>
    <row r="90" spans="1:245">
      <c r="A90" s="4">
        <v>50</v>
      </c>
      <c r="B90" s="4">
        <v>0</v>
      </c>
      <c r="C90" s="4">
        <v>0</v>
      </c>
      <c r="D90" s="4">
        <v>1</v>
      </c>
      <c r="E90" s="4">
        <v>201</v>
      </c>
      <c r="F90" s="4">
        <f>ROUND(Source!O88,O90)</f>
        <v>179373.23</v>
      </c>
      <c r="G90" s="4" t="s">
        <v>42</v>
      </c>
      <c r="H90" s="4" t="s">
        <v>43</v>
      </c>
      <c r="I90" s="4"/>
      <c r="J90" s="4"/>
      <c r="K90" s="4">
        <v>201</v>
      </c>
      <c r="L90" s="4">
        <v>1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45">
      <c r="A91" s="4">
        <v>50</v>
      </c>
      <c r="B91" s="4">
        <v>0</v>
      </c>
      <c r="C91" s="4">
        <v>0</v>
      </c>
      <c r="D91" s="4">
        <v>1</v>
      </c>
      <c r="E91" s="4">
        <v>202</v>
      </c>
      <c r="F91" s="4">
        <f>ROUND(Source!P88,O91)</f>
        <v>133856.6</v>
      </c>
      <c r="G91" s="4" t="s">
        <v>44</v>
      </c>
      <c r="H91" s="4" t="s">
        <v>45</v>
      </c>
      <c r="I91" s="4"/>
      <c r="J91" s="4"/>
      <c r="K91" s="4">
        <v>202</v>
      </c>
      <c r="L91" s="4">
        <v>2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45">
      <c r="A92" s="4">
        <v>50</v>
      </c>
      <c r="B92" s="4">
        <v>0</v>
      </c>
      <c r="C92" s="4">
        <v>0</v>
      </c>
      <c r="D92" s="4">
        <v>1</v>
      </c>
      <c r="E92" s="4">
        <v>222</v>
      </c>
      <c r="F92" s="4">
        <f>ROUND(Source!AO88,O92)</f>
        <v>0</v>
      </c>
      <c r="G92" s="4" t="s">
        <v>46</v>
      </c>
      <c r="H92" s="4" t="s">
        <v>47</v>
      </c>
      <c r="I92" s="4"/>
      <c r="J92" s="4"/>
      <c r="K92" s="4">
        <v>222</v>
      </c>
      <c r="L92" s="4">
        <v>3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45">
      <c r="A93" s="4">
        <v>50</v>
      </c>
      <c r="B93" s="4">
        <v>0</v>
      </c>
      <c r="C93" s="4">
        <v>0</v>
      </c>
      <c r="D93" s="4">
        <v>1</v>
      </c>
      <c r="E93" s="4">
        <v>225</v>
      </c>
      <c r="F93" s="4">
        <f>ROUND(Source!AV88,O93)</f>
        <v>133856.6</v>
      </c>
      <c r="G93" s="4" t="s">
        <v>48</v>
      </c>
      <c r="H93" s="4" t="s">
        <v>49</v>
      </c>
      <c r="I93" s="4"/>
      <c r="J93" s="4"/>
      <c r="K93" s="4">
        <v>225</v>
      </c>
      <c r="L93" s="4">
        <v>4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45">
      <c r="A94" s="4">
        <v>50</v>
      </c>
      <c r="B94" s="4">
        <v>0</v>
      </c>
      <c r="C94" s="4">
        <v>0</v>
      </c>
      <c r="D94" s="4">
        <v>1</v>
      </c>
      <c r="E94" s="4">
        <v>226</v>
      </c>
      <c r="F94" s="4">
        <f>ROUND(Source!AW88,O94)</f>
        <v>133856.6</v>
      </c>
      <c r="G94" s="4" t="s">
        <v>50</v>
      </c>
      <c r="H94" s="4" t="s">
        <v>51</v>
      </c>
      <c r="I94" s="4"/>
      <c r="J94" s="4"/>
      <c r="K94" s="4">
        <v>226</v>
      </c>
      <c r="L94" s="4">
        <v>5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45">
      <c r="A95" s="4">
        <v>50</v>
      </c>
      <c r="B95" s="4">
        <v>0</v>
      </c>
      <c r="C95" s="4">
        <v>0</v>
      </c>
      <c r="D95" s="4">
        <v>1</v>
      </c>
      <c r="E95" s="4">
        <v>227</v>
      </c>
      <c r="F95" s="4">
        <f>ROUND(Source!AX88,O95)</f>
        <v>0</v>
      </c>
      <c r="G95" s="4" t="s">
        <v>52</v>
      </c>
      <c r="H95" s="4" t="s">
        <v>53</v>
      </c>
      <c r="I95" s="4"/>
      <c r="J95" s="4"/>
      <c r="K95" s="4">
        <v>227</v>
      </c>
      <c r="L95" s="4">
        <v>6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45">
      <c r="A96" s="4">
        <v>50</v>
      </c>
      <c r="B96" s="4">
        <v>0</v>
      </c>
      <c r="C96" s="4">
        <v>0</v>
      </c>
      <c r="D96" s="4">
        <v>1</v>
      </c>
      <c r="E96" s="4">
        <v>228</v>
      </c>
      <c r="F96" s="4">
        <f>ROUND(Source!AY88,O96)</f>
        <v>133856.6</v>
      </c>
      <c r="G96" s="4" t="s">
        <v>54</v>
      </c>
      <c r="H96" s="4" t="s">
        <v>55</v>
      </c>
      <c r="I96" s="4"/>
      <c r="J96" s="4"/>
      <c r="K96" s="4">
        <v>228</v>
      </c>
      <c r="L96" s="4">
        <v>7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216</v>
      </c>
      <c r="F97" s="4">
        <f>ROUND(Source!AP88,O97)</f>
        <v>0</v>
      </c>
      <c r="G97" s="4" t="s">
        <v>56</v>
      </c>
      <c r="H97" s="4" t="s">
        <v>57</v>
      </c>
      <c r="I97" s="4"/>
      <c r="J97" s="4"/>
      <c r="K97" s="4">
        <v>216</v>
      </c>
      <c r="L97" s="4">
        <v>8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0</v>
      </c>
      <c r="C98" s="4">
        <v>0</v>
      </c>
      <c r="D98" s="4">
        <v>1</v>
      </c>
      <c r="E98" s="4">
        <v>223</v>
      </c>
      <c r="F98" s="4">
        <f>ROUND(Source!AQ88,O98)</f>
        <v>0</v>
      </c>
      <c r="G98" s="4" t="s">
        <v>58</v>
      </c>
      <c r="H98" s="4" t="s">
        <v>59</v>
      </c>
      <c r="I98" s="4"/>
      <c r="J98" s="4"/>
      <c r="K98" s="4">
        <v>223</v>
      </c>
      <c r="L98" s="4">
        <v>9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0</v>
      </c>
      <c r="C99" s="4">
        <v>0</v>
      </c>
      <c r="D99" s="4">
        <v>1</v>
      </c>
      <c r="E99" s="4">
        <v>229</v>
      </c>
      <c r="F99" s="4">
        <f>ROUND(Source!AZ88,O99)</f>
        <v>0</v>
      </c>
      <c r="G99" s="4" t="s">
        <v>60</v>
      </c>
      <c r="H99" s="4" t="s">
        <v>61</v>
      </c>
      <c r="I99" s="4"/>
      <c r="J99" s="4"/>
      <c r="K99" s="4">
        <v>229</v>
      </c>
      <c r="L99" s="4">
        <v>10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>
      <c r="A100" s="4">
        <v>50</v>
      </c>
      <c r="B100" s="4">
        <v>0</v>
      </c>
      <c r="C100" s="4">
        <v>0</v>
      </c>
      <c r="D100" s="4">
        <v>1</v>
      </c>
      <c r="E100" s="4">
        <v>203</v>
      </c>
      <c r="F100" s="4">
        <f>ROUND(Source!Q88,O100)</f>
        <v>4539.6899999999996</v>
      </c>
      <c r="G100" s="4" t="s">
        <v>62</v>
      </c>
      <c r="H100" s="4" t="s">
        <v>63</v>
      </c>
      <c r="I100" s="4"/>
      <c r="J100" s="4"/>
      <c r="K100" s="4">
        <v>203</v>
      </c>
      <c r="L100" s="4">
        <v>11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>
      <c r="A101" s="4">
        <v>50</v>
      </c>
      <c r="B101" s="4">
        <v>0</v>
      </c>
      <c r="C101" s="4">
        <v>0</v>
      </c>
      <c r="D101" s="4">
        <v>1</v>
      </c>
      <c r="E101" s="4">
        <v>231</v>
      </c>
      <c r="F101" s="4">
        <f>ROUND(Source!BB88,O101)</f>
        <v>0</v>
      </c>
      <c r="G101" s="4" t="s">
        <v>64</v>
      </c>
      <c r="H101" s="4" t="s">
        <v>65</v>
      </c>
      <c r="I101" s="4"/>
      <c r="J101" s="4"/>
      <c r="K101" s="4">
        <v>231</v>
      </c>
      <c r="L101" s="4">
        <v>12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>
      <c r="A102" s="4">
        <v>50</v>
      </c>
      <c r="B102" s="4">
        <v>0</v>
      </c>
      <c r="C102" s="4">
        <v>0</v>
      </c>
      <c r="D102" s="4">
        <v>1</v>
      </c>
      <c r="E102" s="4">
        <v>204</v>
      </c>
      <c r="F102" s="4">
        <f>ROUND(Source!R88,O102)</f>
        <v>931.24</v>
      </c>
      <c r="G102" s="4" t="s">
        <v>66</v>
      </c>
      <c r="H102" s="4" t="s">
        <v>67</v>
      </c>
      <c r="I102" s="4"/>
      <c r="J102" s="4"/>
      <c r="K102" s="4">
        <v>204</v>
      </c>
      <c r="L102" s="4">
        <v>13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>
      <c r="A103" s="4">
        <v>50</v>
      </c>
      <c r="B103" s="4">
        <v>0</v>
      </c>
      <c r="C103" s="4">
        <v>0</v>
      </c>
      <c r="D103" s="4">
        <v>1</v>
      </c>
      <c r="E103" s="4">
        <v>205</v>
      </c>
      <c r="F103" s="4">
        <f>ROUND(Source!S88,O103)</f>
        <v>40976.94</v>
      </c>
      <c r="G103" s="4" t="s">
        <v>68</v>
      </c>
      <c r="H103" s="4" t="s">
        <v>69</v>
      </c>
      <c r="I103" s="4"/>
      <c r="J103" s="4"/>
      <c r="K103" s="4">
        <v>205</v>
      </c>
      <c r="L103" s="4">
        <v>14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3">
      <c r="A104" s="4">
        <v>50</v>
      </c>
      <c r="B104" s="4">
        <v>0</v>
      </c>
      <c r="C104" s="4">
        <v>0</v>
      </c>
      <c r="D104" s="4">
        <v>1</v>
      </c>
      <c r="E104" s="4">
        <v>232</v>
      </c>
      <c r="F104" s="4">
        <f>ROUND(Source!BC88,O104)</f>
        <v>0</v>
      </c>
      <c r="G104" s="4" t="s">
        <v>70</v>
      </c>
      <c r="H104" s="4" t="s">
        <v>71</v>
      </c>
      <c r="I104" s="4"/>
      <c r="J104" s="4"/>
      <c r="K104" s="4">
        <v>232</v>
      </c>
      <c r="L104" s="4">
        <v>15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>
      <c r="A105" s="4">
        <v>50</v>
      </c>
      <c r="B105" s="4">
        <v>0</v>
      </c>
      <c r="C105" s="4">
        <v>0</v>
      </c>
      <c r="D105" s="4">
        <v>1</v>
      </c>
      <c r="E105" s="4">
        <v>214</v>
      </c>
      <c r="F105" s="4">
        <f>ROUND(Source!AS88,O105)</f>
        <v>246028.43</v>
      </c>
      <c r="G105" s="4" t="s">
        <v>72</v>
      </c>
      <c r="H105" s="4" t="s">
        <v>73</v>
      </c>
      <c r="I105" s="4"/>
      <c r="J105" s="4"/>
      <c r="K105" s="4">
        <v>214</v>
      </c>
      <c r="L105" s="4">
        <v>16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>
      <c r="A106" s="4">
        <v>50</v>
      </c>
      <c r="B106" s="4">
        <v>0</v>
      </c>
      <c r="C106" s="4">
        <v>0</v>
      </c>
      <c r="D106" s="4">
        <v>1</v>
      </c>
      <c r="E106" s="4">
        <v>215</v>
      </c>
      <c r="F106" s="4">
        <f>ROUND(Source!AT88,O106)</f>
        <v>0</v>
      </c>
      <c r="G106" s="4" t="s">
        <v>74</v>
      </c>
      <c r="H106" s="4" t="s">
        <v>75</v>
      </c>
      <c r="I106" s="4"/>
      <c r="J106" s="4"/>
      <c r="K106" s="4">
        <v>215</v>
      </c>
      <c r="L106" s="4">
        <v>17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>
      <c r="A107" s="4">
        <v>50</v>
      </c>
      <c r="B107" s="4">
        <v>0</v>
      </c>
      <c r="C107" s="4">
        <v>0</v>
      </c>
      <c r="D107" s="4">
        <v>1</v>
      </c>
      <c r="E107" s="4">
        <v>217</v>
      </c>
      <c r="F107" s="4">
        <f>ROUND(Source!AU88,O107)</f>
        <v>0</v>
      </c>
      <c r="G107" s="4" t="s">
        <v>76</v>
      </c>
      <c r="H107" s="4" t="s">
        <v>77</v>
      </c>
      <c r="I107" s="4"/>
      <c r="J107" s="4"/>
      <c r="K107" s="4">
        <v>217</v>
      </c>
      <c r="L107" s="4">
        <v>18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>
      <c r="A108" s="4">
        <v>50</v>
      </c>
      <c r="B108" s="4">
        <v>0</v>
      </c>
      <c r="C108" s="4">
        <v>0</v>
      </c>
      <c r="D108" s="4">
        <v>1</v>
      </c>
      <c r="E108" s="4">
        <v>230</v>
      </c>
      <c r="F108" s="4">
        <f>ROUND(Source!BA88,O108)</f>
        <v>0</v>
      </c>
      <c r="G108" s="4" t="s">
        <v>78</v>
      </c>
      <c r="H108" s="4" t="s">
        <v>79</v>
      </c>
      <c r="I108" s="4"/>
      <c r="J108" s="4"/>
      <c r="K108" s="4">
        <v>230</v>
      </c>
      <c r="L108" s="4">
        <v>19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3">
      <c r="A109" s="4">
        <v>50</v>
      </c>
      <c r="B109" s="4">
        <v>0</v>
      </c>
      <c r="C109" s="4">
        <v>0</v>
      </c>
      <c r="D109" s="4">
        <v>1</v>
      </c>
      <c r="E109" s="4">
        <v>206</v>
      </c>
      <c r="F109" s="4">
        <f>ROUND(Source!T88,O109)</f>
        <v>0</v>
      </c>
      <c r="G109" s="4" t="s">
        <v>80</v>
      </c>
      <c r="H109" s="4" t="s">
        <v>81</v>
      </c>
      <c r="I109" s="4"/>
      <c r="J109" s="4"/>
      <c r="K109" s="4">
        <v>206</v>
      </c>
      <c r="L109" s="4">
        <v>20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3">
      <c r="A110" s="4">
        <v>50</v>
      </c>
      <c r="B110" s="4">
        <v>0</v>
      </c>
      <c r="C110" s="4">
        <v>0</v>
      </c>
      <c r="D110" s="4">
        <v>1</v>
      </c>
      <c r="E110" s="4">
        <v>207</v>
      </c>
      <c r="F110" s="4">
        <f>Source!U88</f>
        <v>136.77176</v>
      </c>
      <c r="G110" s="4" t="s">
        <v>82</v>
      </c>
      <c r="H110" s="4" t="s">
        <v>83</v>
      </c>
      <c r="I110" s="4"/>
      <c r="J110" s="4"/>
      <c r="K110" s="4">
        <v>207</v>
      </c>
      <c r="L110" s="4">
        <v>21</v>
      </c>
      <c r="M110" s="4">
        <v>3</v>
      </c>
      <c r="N110" s="4" t="s">
        <v>3</v>
      </c>
      <c r="O110" s="4">
        <v>-1</v>
      </c>
      <c r="P110" s="4"/>
      <c r="Q110" s="4"/>
      <c r="R110" s="4"/>
      <c r="S110" s="4"/>
      <c r="T110" s="4"/>
      <c r="U110" s="4"/>
      <c r="V110" s="4"/>
      <c r="W110" s="4"/>
    </row>
    <row r="111" spans="1:23">
      <c r="A111" s="4">
        <v>50</v>
      </c>
      <c r="B111" s="4">
        <v>0</v>
      </c>
      <c r="C111" s="4">
        <v>0</v>
      </c>
      <c r="D111" s="4">
        <v>1</v>
      </c>
      <c r="E111" s="4">
        <v>208</v>
      </c>
      <c r="F111" s="4">
        <f>Source!V88</f>
        <v>2.1370399999999998</v>
      </c>
      <c r="G111" s="4" t="s">
        <v>84</v>
      </c>
      <c r="H111" s="4" t="s">
        <v>85</v>
      </c>
      <c r="I111" s="4"/>
      <c r="J111" s="4"/>
      <c r="K111" s="4">
        <v>208</v>
      </c>
      <c r="L111" s="4">
        <v>22</v>
      </c>
      <c r="M111" s="4">
        <v>3</v>
      </c>
      <c r="N111" s="4" t="s">
        <v>3</v>
      </c>
      <c r="O111" s="4">
        <v>-1</v>
      </c>
      <c r="P111" s="4"/>
      <c r="Q111" s="4"/>
      <c r="R111" s="4"/>
      <c r="S111" s="4"/>
      <c r="T111" s="4"/>
      <c r="U111" s="4"/>
      <c r="V111" s="4"/>
      <c r="W111" s="4"/>
    </row>
    <row r="112" spans="1:23">
      <c r="A112" s="4">
        <v>50</v>
      </c>
      <c r="B112" s="4">
        <v>0</v>
      </c>
      <c r="C112" s="4">
        <v>0</v>
      </c>
      <c r="D112" s="4">
        <v>1</v>
      </c>
      <c r="E112" s="4">
        <v>209</v>
      </c>
      <c r="F112" s="4">
        <f>ROUND(Source!W88,O112)</f>
        <v>1829.79</v>
      </c>
      <c r="G112" s="4" t="s">
        <v>86</v>
      </c>
      <c r="H112" s="4" t="s">
        <v>87</v>
      </c>
      <c r="I112" s="4"/>
      <c r="J112" s="4"/>
      <c r="K112" s="4">
        <v>209</v>
      </c>
      <c r="L112" s="4">
        <v>23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45">
      <c r="A113" s="4">
        <v>50</v>
      </c>
      <c r="B113" s="4">
        <v>0</v>
      </c>
      <c r="C113" s="4">
        <v>0</v>
      </c>
      <c r="D113" s="4">
        <v>1</v>
      </c>
      <c r="E113" s="4">
        <v>233</v>
      </c>
      <c r="F113" s="4">
        <f>ROUND(Source!BD88,O113)</f>
        <v>0</v>
      </c>
      <c r="G113" s="4" t="s">
        <v>88</v>
      </c>
      <c r="H113" s="4" t="s">
        <v>89</v>
      </c>
      <c r="I113" s="4"/>
      <c r="J113" s="4"/>
      <c r="K113" s="4">
        <v>233</v>
      </c>
      <c r="L113" s="4">
        <v>24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45">
      <c r="A114" s="4">
        <v>50</v>
      </c>
      <c r="B114" s="4">
        <v>0</v>
      </c>
      <c r="C114" s="4">
        <v>0</v>
      </c>
      <c r="D114" s="4">
        <v>1</v>
      </c>
      <c r="E114" s="4">
        <v>210</v>
      </c>
      <c r="F114" s="4">
        <f>ROUND(Source!X88,O114)</f>
        <v>42239.72</v>
      </c>
      <c r="G114" s="4" t="s">
        <v>90</v>
      </c>
      <c r="H114" s="4" t="s">
        <v>91</v>
      </c>
      <c r="I114" s="4"/>
      <c r="J114" s="4"/>
      <c r="K114" s="4">
        <v>210</v>
      </c>
      <c r="L114" s="4">
        <v>25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45">
      <c r="A115" s="4">
        <v>50</v>
      </c>
      <c r="B115" s="4">
        <v>0</v>
      </c>
      <c r="C115" s="4">
        <v>0</v>
      </c>
      <c r="D115" s="4">
        <v>1</v>
      </c>
      <c r="E115" s="4">
        <v>211</v>
      </c>
      <c r="F115" s="4">
        <f>ROUND(Source!Y88,O115)</f>
        <v>24415.48</v>
      </c>
      <c r="G115" s="4" t="s">
        <v>92</v>
      </c>
      <c r="H115" s="4" t="s">
        <v>93</v>
      </c>
      <c r="I115" s="4"/>
      <c r="J115" s="4"/>
      <c r="K115" s="4">
        <v>211</v>
      </c>
      <c r="L115" s="4">
        <v>26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45">
      <c r="A116" s="4">
        <v>50</v>
      </c>
      <c r="B116" s="4">
        <v>0</v>
      </c>
      <c r="C116" s="4">
        <v>0</v>
      </c>
      <c r="D116" s="4">
        <v>1</v>
      </c>
      <c r="E116" s="4">
        <v>224</v>
      </c>
      <c r="F116" s="4">
        <f>ROUND(Source!AR88,O116)</f>
        <v>246028.43</v>
      </c>
      <c r="G116" s="4" t="s">
        <v>94</v>
      </c>
      <c r="H116" s="4" t="s">
        <v>95</v>
      </c>
      <c r="I116" s="4"/>
      <c r="J116" s="4"/>
      <c r="K116" s="4">
        <v>224</v>
      </c>
      <c r="L116" s="4">
        <v>27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8" spans="1:245">
      <c r="A118" s="1">
        <v>4</v>
      </c>
      <c r="B118" s="1">
        <v>1</v>
      </c>
      <c r="C118" s="1"/>
      <c r="D118" s="1">
        <f>ROW(A141)</f>
        <v>141</v>
      </c>
      <c r="E118" s="1"/>
      <c r="F118" s="1" t="s">
        <v>13</v>
      </c>
      <c r="G118" s="1" t="s">
        <v>197</v>
      </c>
      <c r="H118" s="1" t="s">
        <v>3</v>
      </c>
      <c r="I118" s="1">
        <v>0</v>
      </c>
      <c r="J118" s="1"/>
      <c r="K118" s="1">
        <v>0</v>
      </c>
      <c r="L118" s="1"/>
      <c r="M118" s="1" t="s">
        <v>3</v>
      </c>
      <c r="N118" s="1"/>
      <c r="O118" s="1"/>
      <c r="P118" s="1"/>
      <c r="Q118" s="1"/>
      <c r="R118" s="1"/>
      <c r="S118" s="1">
        <v>0</v>
      </c>
      <c r="T118" s="1"/>
      <c r="U118" s="1" t="s">
        <v>3</v>
      </c>
      <c r="V118" s="1">
        <v>0</v>
      </c>
      <c r="W118" s="1"/>
      <c r="X118" s="1"/>
      <c r="Y118" s="1"/>
      <c r="Z118" s="1"/>
      <c r="AA118" s="1"/>
      <c r="AB118" s="1" t="s">
        <v>3</v>
      </c>
      <c r="AC118" s="1" t="s">
        <v>3</v>
      </c>
      <c r="AD118" s="1" t="s">
        <v>3</v>
      </c>
      <c r="AE118" s="1" t="s">
        <v>3</v>
      </c>
      <c r="AF118" s="1" t="s">
        <v>3</v>
      </c>
      <c r="AG118" s="1" t="s">
        <v>3</v>
      </c>
      <c r="AH118" s="1"/>
      <c r="AI118" s="1"/>
      <c r="AJ118" s="1"/>
      <c r="AK118" s="1"/>
      <c r="AL118" s="1"/>
      <c r="AM118" s="1"/>
      <c r="AN118" s="1"/>
      <c r="AO118" s="1"/>
      <c r="AP118" s="1" t="s">
        <v>3</v>
      </c>
      <c r="AQ118" s="1" t="s">
        <v>3</v>
      </c>
      <c r="AR118" s="1" t="s">
        <v>3</v>
      </c>
      <c r="AS118" s="1"/>
      <c r="AT118" s="1"/>
      <c r="AU118" s="1"/>
      <c r="AV118" s="1"/>
      <c r="AW118" s="1"/>
      <c r="AX118" s="1"/>
      <c r="AY118" s="1"/>
      <c r="AZ118" s="1" t="s">
        <v>3</v>
      </c>
      <c r="BA118" s="1"/>
      <c r="BB118" s="1" t="s">
        <v>3</v>
      </c>
      <c r="BC118" s="1" t="s">
        <v>3</v>
      </c>
      <c r="BD118" s="1" t="s">
        <v>3</v>
      </c>
      <c r="BE118" s="1" t="s">
        <v>3</v>
      </c>
      <c r="BF118" s="1" t="s">
        <v>3</v>
      </c>
      <c r="BG118" s="1" t="s">
        <v>3</v>
      </c>
      <c r="BH118" s="1" t="s">
        <v>3</v>
      </c>
      <c r="BI118" s="1" t="s">
        <v>3</v>
      </c>
      <c r="BJ118" s="1" t="s">
        <v>3</v>
      </c>
      <c r="BK118" s="1" t="s">
        <v>3</v>
      </c>
      <c r="BL118" s="1" t="s">
        <v>3</v>
      </c>
      <c r="BM118" s="1" t="s">
        <v>3</v>
      </c>
      <c r="BN118" s="1" t="s">
        <v>3</v>
      </c>
      <c r="BO118" s="1" t="s">
        <v>3</v>
      </c>
      <c r="BP118" s="1" t="s">
        <v>3</v>
      </c>
      <c r="BQ118" s="1"/>
      <c r="BR118" s="1"/>
      <c r="BS118" s="1"/>
      <c r="BT118" s="1"/>
      <c r="BU118" s="1"/>
      <c r="BV118" s="1"/>
      <c r="BW118" s="1"/>
      <c r="BX118" s="1">
        <v>0</v>
      </c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>
        <v>0</v>
      </c>
    </row>
    <row r="120" spans="1:245">
      <c r="A120" s="2">
        <v>52</v>
      </c>
      <c r="B120" s="2">
        <f t="shared" ref="B120:G120" si="106">B141</f>
        <v>1</v>
      </c>
      <c r="C120" s="2">
        <f t="shared" si="106"/>
        <v>4</v>
      </c>
      <c r="D120" s="2">
        <f t="shared" si="106"/>
        <v>118</v>
      </c>
      <c r="E120" s="2">
        <f t="shared" si="106"/>
        <v>0</v>
      </c>
      <c r="F120" s="2" t="str">
        <f t="shared" si="106"/>
        <v>Новый раздел</v>
      </c>
      <c r="G120" s="2" t="str">
        <f t="shared" si="106"/>
        <v>Крыльцо ОВП с торца</v>
      </c>
      <c r="H120" s="2"/>
      <c r="I120" s="2"/>
      <c r="J120" s="2"/>
      <c r="K120" s="2"/>
      <c r="L120" s="2"/>
      <c r="M120" s="2"/>
      <c r="N120" s="2"/>
      <c r="O120" s="2">
        <f t="shared" ref="O120:AT120" si="107">O141</f>
        <v>45258.13</v>
      </c>
      <c r="P120" s="2">
        <f t="shared" si="107"/>
        <v>32857.68</v>
      </c>
      <c r="Q120" s="2">
        <f t="shared" si="107"/>
        <v>1137.47</v>
      </c>
      <c r="R120" s="2">
        <f t="shared" si="107"/>
        <v>275.27999999999997</v>
      </c>
      <c r="S120" s="2">
        <f t="shared" si="107"/>
        <v>11262.98</v>
      </c>
      <c r="T120" s="2">
        <f t="shared" si="107"/>
        <v>0</v>
      </c>
      <c r="U120" s="2">
        <f t="shared" si="107"/>
        <v>37.893040999999997</v>
      </c>
      <c r="V120" s="2">
        <f t="shared" si="107"/>
        <v>0.66439749999999986</v>
      </c>
      <c r="W120" s="2">
        <f t="shared" si="107"/>
        <v>452.77</v>
      </c>
      <c r="X120" s="2">
        <f t="shared" si="107"/>
        <v>10479.51</v>
      </c>
      <c r="Y120" s="2">
        <f t="shared" si="107"/>
        <v>6629.08</v>
      </c>
      <c r="Z120" s="2">
        <f t="shared" si="107"/>
        <v>0</v>
      </c>
      <c r="AA120" s="2">
        <f t="shared" si="107"/>
        <v>0</v>
      </c>
      <c r="AB120" s="2">
        <f t="shared" si="107"/>
        <v>45258.13</v>
      </c>
      <c r="AC120" s="2">
        <f t="shared" si="107"/>
        <v>32857.68</v>
      </c>
      <c r="AD120" s="2">
        <f t="shared" si="107"/>
        <v>1137.47</v>
      </c>
      <c r="AE120" s="2">
        <f t="shared" si="107"/>
        <v>275.27999999999997</v>
      </c>
      <c r="AF120" s="2">
        <f t="shared" si="107"/>
        <v>11262.98</v>
      </c>
      <c r="AG120" s="2">
        <f t="shared" si="107"/>
        <v>0</v>
      </c>
      <c r="AH120" s="2">
        <f t="shared" si="107"/>
        <v>37.893040999999997</v>
      </c>
      <c r="AI120" s="2">
        <f t="shared" si="107"/>
        <v>0.66439749999999986</v>
      </c>
      <c r="AJ120" s="2">
        <f t="shared" si="107"/>
        <v>452.77</v>
      </c>
      <c r="AK120" s="2">
        <f t="shared" si="107"/>
        <v>10479.51</v>
      </c>
      <c r="AL120" s="2">
        <f t="shared" si="107"/>
        <v>6629.08</v>
      </c>
      <c r="AM120" s="2">
        <f t="shared" si="107"/>
        <v>0</v>
      </c>
      <c r="AN120" s="2">
        <f t="shared" si="107"/>
        <v>0</v>
      </c>
      <c r="AO120" s="2">
        <f t="shared" si="107"/>
        <v>0</v>
      </c>
      <c r="AP120" s="2">
        <f t="shared" si="107"/>
        <v>0</v>
      </c>
      <c r="AQ120" s="2">
        <f t="shared" si="107"/>
        <v>0</v>
      </c>
      <c r="AR120" s="2">
        <f t="shared" si="107"/>
        <v>62366.720000000001</v>
      </c>
      <c r="AS120" s="2">
        <f t="shared" si="107"/>
        <v>61341.72</v>
      </c>
      <c r="AT120" s="2">
        <f t="shared" si="107"/>
        <v>0</v>
      </c>
      <c r="AU120" s="2">
        <f t="shared" ref="AU120:BZ120" si="108">AU141</f>
        <v>1025</v>
      </c>
      <c r="AV120" s="2">
        <f t="shared" si="108"/>
        <v>32857.68</v>
      </c>
      <c r="AW120" s="2">
        <f t="shared" si="108"/>
        <v>32857.68</v>
      </c>
      <c r="AX120" s="2">
        <f t="shared" si="108"/>
        <v>0</v>
      </c>
      <c r="AY120" s="2">
        <f t="shared" si="108"/>
        <v>32857.68</v>
      </c>
      <c r="AZ120" s="2">
        <f t="shared" si="108"/>
        <v>0</v>
      </c>
      <c r="BA120" s="2">
        <f t="shared" si="108"/>
        <v>0</v>
      </c>
      <c r="BB120" s="2">
        <f t="shared" si="108"/>
        <v>0</v>
      </c>
      <c r="BC120" s="2">
        <f t="shared" si="108"/>
        <v>0</v>
      </c>
      <c r="BD120" s="2">
        <f t="shared" si="108"/>
        <v>0</v>
      </c>
      <c r="BE120" s="2">
        <f t="shared" si="108"/>
        <v>0</v>
      </c>
      <c r="BF120" s="2">
        <f t="shared" si="108"/>
        <v>0</v>
      </c>
      <c r="BG120" s="2">
        <f t="shared" si="108"/>
        <v>0</v>
      </c>
      <c r="BH120" s="2">
        <f t="shared" si="108"/>
        <v>0</v>
      </c>
      <c r="BI120" s="2">
        <f t="shared" si="108"/>
        <v>0</v>
      </c>
      <c r="BJ120" s="2">
        <f t="shared" si="108"/>
        <v>0</v>
      </c>
      <c r="BK120" s="2">
        <f t="shared" si="108"/>
        <v>0</v>
      </c>
      <c r="BL120" s="2">
        <f t="shared" si="108"/>
        <v>0</v>
      </c>
      <c r="BM120" s="2">
        <f t="shared" si="108"/>
        <v>0</v>
      </c>
      <c r="BN120" s="2">
        <f t="shared" si="108"/>
        <v>0</v>
      </c>
      <c r="BO120" s="2">
        <f t="shared" si="108"/>
        <v>0</v>
      </c>
      <c r="BP120" s="2">
        <f t="shared" si="108"/>
        <v>0</v>
      </c>
      <c r="BQ120" s="2">
        <f t="shared" si="108"/>
        <v>0</v>
      </c>
      <c r="BR120" s="2">
        <f t="shared" si="108"/>
        <v>0</v>
      </c>
      <c r="BS120" s="2">
        <f t="shared" si="108"/>
        <v>0</v>
      </c>
      <c r="BT120" s="2">
        <f t="shared" si="108"/>
        <v>0</v>
      </c>
      <c r="BU120" s="2">
        <f t="shared" si="108"/>
        <v>0</v>
      </c>
      <c r="BV120" s="2">
        <f t="shared" si="108"/>
        <v>0</v>
      </c>
      <c r="BW120" s="2">
        <f t="shared" si="108"/>
        <v>0</v>
      </c>
      <c r="BX120" s="2">
        <f t="shared" si="108"/>
        <v>0</v>
      </c>
      <c r="BY120" s="2">
        <f t="shared" si="108"/>
        <v>0</v>
      </c>
      <c r="BZ120" s="2">
        <f t="shared" si="108"/>
        <v>0</v>
      </c>
      <c r="CA120" s="2">
        <f t="shared" ref="CA120:DF120" si="109">CA141</f>
        <v>62366.720000000001</v>
      </c>
      <c r="CB120" s="2">
        <f t="shared" si="109"/>
        <v>61341.72</v>
      </c>
      <c r="CC120" s="2">
        <f t="shared" si="109"/>
        <v>0</v>
      </c>
      <c r="CD120" s="2">
        <f t="shared" si="109"/>
        <v>1025</v>
      </c>
      <c r="CE120" s="2">
        <f t="shared" si="109"/>
        <v>32857.68</v>
      </c>
      <c r="CF120" s="2">
        <f t="shared" si="109"/>
        <v>32857.68</v>
      </c>
      <c r="CG120" s="2">
        <f t="shared" si="109"/>
        <v>0</v>
      </c>
      <c r="CH120" s="2">
        <f t="shared" si="109"/>
        <v>32857.68</v>
      </c>
      <c r="CI120" s="2">
        <f t="shared" si="109"/>
        <v>0</v>
      </c>
      <c r="CJ120" s="2">
        <f t="shared" si="109"/>
        <v>0</v>
      </c>
      <c r="CK120" s="2">
        <f t="shared" si="109"/>
        <v>0</v>
      </c>
      <c r="CL120" s="2">
        <f t="shared" si="109"/>
        <v>0</v>
      </c>
      <c r="CM120" s="2">
        <f t="shared" si="109"/>
        <v>0</v>
      </c>
      <c r="CN120" s="2">
        <f t="shared" si="109"/>
        <v>0</v>
      </c>
      <c r="CO120" s="2">
        <f t="shared" si="109"/>
        <v>0</v>
      </c>
      <c r="CP120" s="2">
        <f t="shared" si="109"/>
        <v>0</v>
      </c>
      <c r="CQ120" s="2">
        <f t="shared" si="109"/>
        <v>0</v>
      </c>
      <c r="CR120" s="2">
        <f t="shared" si="109"/>
        <v>0</v>
      </c>
      <c r="CS120" s="2">
        <f t="shared" si="109"/>
        <v>0</v>
      </c>
      <c r="CT120" s="2">
        <f t="shared" si="109"/>
        <v>0</v>
      </c>
      <c r="CU120" s="2">
        <f t="shared" si="109"/>
        <v>0</v>
      </c>
      <c r="CV120" s="2">
        <f t="shared" si="109"/>
        <v>0</v>
      </c>
      <c r="CW120" s="2">
        <f t="shared" si="109"/>
        <v>0</v>
      </c>
      <c r="CX120" s="2">
        <f t="shared" si="109"/>
        <v>0</v>
      </c>
      <c r="CY120" s="2">
        <f t="shared" si="109"/>
        <v>0</v>
      </c>
      <c r="CZ120" s="2">
        <f t="shared" si="109"/>
        <v>0</v>
      </c>
      <c r="DA120" s="2">
        <f t="shared" si="109"/>
        <v>0</v>
      </c>
      <c r="DB120" s="2">
        <f t="shared" si="109"/>
        <v>0</v>
      </c>
      <c r="DC120" s="2">
        <f t="shared" si="109"/>
        <v>0</v>
      </c>
      <c r="DD120" s="2">
        <f t="shared" si="109"/>
        <v>0</v>
      </c>
      <c r="DE120" s="2">
        <f t="shared" si="109"/>
        <v>0</v>
      </c>
      <c r="DF120" s="2">
        <f t="shared" si="109"/>
        <v>0</v>
      </c>
      <c r="DG120" s="3">
        <f t="shared" ref="DG120:EL120" si="110">DG141</f>
        <v>0</v>
      </c>
      <c r="DH120" s="3">
        <f t="shared" si="110"/>
        <v>0</v>
      </c>
      <c r="DI120" s="3">
        <f t="shared" si="110"/>
        <v>0</v>
      </c>
      <c r="DJ120" s="3">
        <f t="shared" si="110"/>
        <v>0</v>
      </c>
      <c r="DK120" s="3">
        <f t="shared" si="110"/>
        <v>0</v>
      </c>
      <c r="DL120" s="3">
        <f t="shared" si="110"/>
        <v>0</v>
      </c>
      <c r="DM120" s="3">
        <f t="shared" si="110"/>
        <v>0</v>
      </c>
      <c r="DN120" s="3">
        <f t="shared" si="110"/>
        <v>0</v>
      </c>
      <c r="DO120" s="3">
        <f t="shared" si="110"/>
        <v>0</v>
      </c>
      <c r="DP120" s="3">
        <f t="shared" si="110"/>
        <v>0</v>
      </c>
      <c r="DQ120" s="3">
        <f t="shared" si="110"/>
        <v>0</v>
      </c>
      <c r="DR120" s="3">
        <f t="shared" si="110"/>
        <v>0</v>
      </c>
      <c r="DS120" s="3">
        <f t="shared" si="110"/>
        <v>0</v>
      </c>
      <c r="DT120" s="3">
        <f t="shared" si="110"/>
        <v>0</v>
      </c>
      <c r="DU120" s="3">
        <f t="shared" si="110"/>
        <v>0</v>
      </c>
      <c r="DV120" s="3">
        <f t="shared" si="110"/>
        <v>0</v>
      </c>
      <c r="DW120" s="3">
        <f t="shared" si="110"/>
        <v>0</v>
      </c>
      <c r="DX120" s="3">
        <f t="shared" si="110"/>
        <v>0</v>
      </c>
      <c r="DY120" s="3">
        <f t="shared" si="110"/>
        <v>0</v>
      </c>
      <c r="DZ120" s="3">
        <f t="shared" si="110"/>
        <v>0</v>
      </c>
      <c r="EA120" s="3">
        <f t="shared" si="110"/>
        <v>0</v>
      </c>
      <c r="EB120" s="3">
        <f t="shared" si="110"/>
        <v>0</v>
      </c>
      <c r="EC120" s="3">
        <f t="shared" si="110"/>
        <v>0</v>
      </c>
      <c r="ED120" s="3">
        <f t="shared" si="110"/>
        <v>0</v>
      </c>
      <c r="EE120" s="3">
        <f t="shared" si="110"/>
        <v>0</v>
      </c>
      <c r="EF120" s="3">
        <f t="shared" si="110"/>
        <v>0</v>
      </c>
      <c r="EG120" s="3">
        <f t="shared" si="110"/>
        <v>0</v>
      </c>
      <c r="EH120" s="3">
        <f t="shared" si="110"/>
        <v>0</v>
      </c>
      <c r="EI120" s="3">
        <f t="shared" si="110"/>
        <v>0</v>
      </c>
      <c r="EJ120" s="3">
        <f t="shared" si="110"/>
        <v>0</v>
      </c>
      <c r="EK120" s="3">
        <f t="shared" si="110"/>
        <v>0</v>
      </c>
      <c r="EL120" s="3">
        <f t="shared" si="110"/>
        <v>0</v>
      </c>
      <c r="EM120" s="3">
        <f t="shared" ref="EM120:FR120" si="111">EM141</f>
        <v>0</v>
      </c>
      <c r="EN120" s="3">
        <f t="shared" si="111"/>
        <v>0</v>
      </c>
      <c r="EO120" s="3">
        <f t="shared" si="111"/>
        <v>0</v>
      </c>
      <c r="EP120" s="3">
        <f t="shared" si="111"/>
        <v>0</v>
      </c>
      <c r="EQ120" s="3">
        <f t="shared" si="111"/>
        <v>0</v>
      </c>
      <c r="ER120" s="3">
        <f t="shared" si="111"/>
        <v>0</v>
      </c>
      <c r="ES120" s="3">
        <f t="shared" si="111"/>
        <v>0</v>
      </c>
      <c r="ET120" s="3">
        <f t="shared" si="111"/>
        <v>0</v>
      </c>
      <c r="EU120" s="3">
        <f t="shared" si="111"/>
        <v>0</v>
      </c>
      <c r="EV120" s="3">
        <f t="shared" si="111"/>
        <v>0</v>
      </c>
      <c r="EW120" s="3">
        <f t="shared" si="111"/>
        <v>0</v>
      </c>
      <c r="EX120" s="3">
        <f t="shared" si="111"/>
        <v>0</v>
      </c>
      <c r="EY120" s="3">
        <f t="shared" si="111"/>
        <v>0</v>
      </c>
      <c r="EZ120" s="3">
        <f t="shared" si="111"/>
        <v>0</v>
      </c>
      <c r="FA120" s="3">
        <f t="shared" si="111"/>
        <v>0</v>
      </c>
      <c r="FB120" s="3">
        <f t="shared" si="111"/>
        <v>0</v>
      </c>
      <c r="FC120" s="3">
        <f t="shared" si="111"/>
        <v>0</v>
      </c>
      <c r="FD120" s="3">
        <f t="shared" si="111"/>
        <v>0</v>
      </c>
      <c r="FE120" s="3">
        <f t="shared" si="111"/>
        <v>0</v>
      </c>
      <c r="FF120" s="3">
        <f t="shared" si="111"/>
        <v>0</v>
      </c>
      <c r="FG120" s="3">
        <f t="shared" si="111"/>
        <v>0</v>
      </c>
      <c r="FH120" s="3">
        <f t="shared" si="111"/>
        <v>0</v>
      </c>
      <c r="FI120" s="3">
        <f t="shared" si="111"/>
        <v>0</v>
      </c>
      <c r="FJ120" s="3">
        <f t="shared" si="111"/>
        <v>0</v>
      </c>
      <c r="FK120" s="3">
        <f t="shared" si="111"/>
        <v>0</v>
      </c>
      <c r="FL120" s="3">
        <f t="shared" si="111"/>
        <v>0</v>
      </c>
      <c r="FM120" s="3">
        <f t="shared" si="111"/>
        <v>0</v>
      </c>
      <c r="FN120" s="3">
        <f t="shared" si="111"/>
        <v>0</v>
      </c>
      <c r="FO120" s="3">
        <f t="shared" si="111"/>
        <v>0</v>
      </c>
      <c r="FP120" s="3">
        <f t="shared" si="111"/>
        <v>0</v>
      </c>
      <c r="FQ120" s="3">
        <f t="shared" si="111"/>
        <v>0</v>
      </c>
      <c r="FR120" s="3">
        <f t="shared" si="111"/>
        <v>0</v>
      </c>
      <c r="FS120" s="3">
        <f t="shared" ref="FS120:GX120" si="112">FS141</f>
        <v>0</v>
      </c>
      <c r="FT120" s="3">
        <f t="shared" si="112"/>
        <v>0</v>
      </c>
      <c r="FU120" s="3">
        <f t="shared" si="112"/>
        <v>0</v>
      </c>
      <c r="FV120" s="3">
        <f t="shared" si="112"/>
        <v>0</v>
      </c>
      <c r="FW120" s="3">
        <f t="shared" si="112"/>
        <v>0</v>
      </c>
      <c r="FX120" s="3">
        <f t="shared" si="112"/>
        <v>0</v>
      </c>
      <c r="FY120" s="3">
        <f t="shared" si="112"/>
        <v>0</v>
      </c>
      <c r="FZ120" s="3">
        <f t="shared" si="112"/>
        <v>0</v>
      </c>
      <c r="GA120" s="3">
        <f t="shared" si="112"/>
        <v>0</v>
      </c>
      <c r="GB120" s="3">
        <f t="shared" si="112"/>
        <v>0</v>
      </c>
      <c r="GC120" s="3">
        <f t="shared" si="112"/>
        <v>0</v>
      </c>
      <c r="GD120" s="3">
        <f t="shared" si="112"/>
        <v>0</v>
      </c>
      <c r="GE120" s="3">
        <f t="shared" si="112"/>
        <v>0</v>
      </c>
      <c r="GF120" s="3">
        <f t="shared" si="112"/>
        <v>0</v>
      </c>
      <c r="GG120" s="3">
        <f t="shared" si="112"/>
        <v>0</v>
      </c>
      <c r="GH120" s="3">
        <f t="shared" si="112"/>
        <v>0</v>
      </c>
      <c r="GI120" s="3">
        <f t="shared" si="112"/>
        <v>0</v>
      </c>
      <c r="GJ120" s="3">
        <f t="shared" si="112"/>
        <v>0</v>
      </c>
      <c r="GK120" s="3">
        <f t="shared" si="112"/>
        <v>0</v>
      </c>
      <c r="GL120" s="3">
        <f t="shared" si="112"/>
        <v>0</v>
      </c>
      <c r="GM120" s="3">
        <f t="shared" si="112"/>
        <v>0</v>
      </c>
      <c r="GN120" s="3">
        <f t="shared" si="112"/>
        <v>0</v>
      </c>
      <c r="GO120" s="3">
        <f t="shared" si="112"/>
        <v>0</v>
      </c>
      <c r="GP120" s="3">
        <f t="shared" si="112"/>
        <v>0</v>
      </c>
      <c r="GQ120" s="3">
        <f t="shared" si="112"/>
        <v>0</v>
      </c>
      <c r="GR120" s="3">
        <f t="shared" si="112"/>
        <v>0</v>
      </c>
      <c r="GS120" s="3">
        <f t="shared" si="112"/>
        <v>0</v>
      </c>
      <c r="GT120" s="3">
        <f t="shared" si="112"/>
        <v>0</v>
      </c>
      <c r="GU120" s="3">
        <f t="shared" si="112"/>
        <v>0</v>
      </c>
      <c r="GV120" s="3">
        <f t="shared" si="112"/>
        <v>0</v>
      </c>
      <c r="GW120" s="3">
        <f t="shared" si="112"/>
        <v>0</v>
      </c>
      <c r="GX120" s="3">
        <f t="shared" si="112"/>
        <v>0</v>
      </c>
    </row>
    <row r="122" spans="1:245">
      <c r="A122">
        <v>17</v>
      </c>
      <c r="B122">
        <v>1</v>
      </c>
      <c r="C122">
        <f>ROW(SmtRes!A119)</f>
        <v>119</v>
      </c>
      <c r="D122">
        <f>ROW(EtalonRes!A121)</f>
        <v>121</v>
      </c>
      <c r="E122" t="s">
        <v>15</v>
      </c>
      <c r="F122" t="s">
        <v>35</v>
      </c>
      <c r="G122" t="s">
        <v>36</v>
      </c>
      <c r="H122" t="s">
        <v>37</v>
      </c>
      <c r="I122">
        <f>ROUND(3.2/100,9)</f>
        <v>3.2000000000000001E-2</v>
      </c>
      <c r="J122">
        <v>0</v>
      </c>
      <c r="K122">
        <f>ROUND(3.2/100,9)</f>
        <v>3.2000000000000001E-2</v>
      </c>
      <c r="O122">
        <f t="shared" ref="O122:O139" si="113">ROUND(CP122,2)</f>
        <v>651.82000000000005</v>
      </c>
      <c r="P122">
        <f t="shared" ref="P122:P139" si="114">ROUND(CQ122*I122,2)</f>
        <v>0</v>
      </c>
      <c r="Q122">
        <f t="shared" ref="Q122:Q139" si="115">ROUND(CR122*I122,2)</f>
        <v>21.5</v>
      </c>
      <c r="R122">
        <f t="shared" ref="R122:R139" si="116">ROUND(CS122*I122,2)</f>
        <v>20.56</v>
      </c>
      <c r="S122">
        <f t="shared" ref="S122:S139" si="117">ROUND(CT122*I122,2)</f>
        <v>630.32000000000005</v>
      </c>
      <c r="T122">
        <f t="shared" ref="T122:T139" si="118">ROUND(CU122*I122,2)</f>
        <v>0</v>
      </c>
      <c r="U122">
        <f t="shared" ref="U122:U139" si="119">CV122*I122</f>
        <v>2.23584</v>
      </c>
      <c r="V122">
        <f t="shared" ref="V122:V139" si="120">CW122*I122</f>
        <v>4.6079999999999996E-2</v>
      </c>
      <c r="W122">
        <f t="shared" ref="W122:W139" si="121">ROUND(CX122*I122,2)</f>
        <v>0</v>
      </c>
      <c r="X122">
        <f t="shared" ref="X122:X139" si="122">ROUND(CY122,2)</f>
        <v>520.70000000000005</v>
      </c>
      <c r="Y122">
        <f t="shared" ref="Y122:Y139" si="123">ROUND(CZ122,2)</f>
        <v>442.6</v>
      </c>
      <c r="AA122">
        <v>34132744</v>
      </c>
      <c r="AB122">
        <f t="shared" ref="AB122:AB139" si="124">ROUND((AC122+AD122+AF122),6)</f>
        <v>641</v>
      </c>
      <c r="AC122">
        <f t="shared" ref="AC122:AC139" si="125">ROUND((ES122),6)</f>
        <v>0</v>
      </c>
      <c r="AD122">
        <f>ROUND((((ET122)-(EU122))+AE122),6)</f>
        <v>45.01</v>
      </c>
      <c r="AE122">
        <f>ROUND((EU122),6)</f>
        <v>19.440000000000001</v>
      </c>
      <c r="AF122">
        <f>ROUND((EV122),6)</f>
        <v>595.99</v>
      </c>
      <c r="AG122">
        <f t="shared" ref="AG122:AG139" si="126">ROUND((AP122),6)</f>
        <v>0</v>
      </c>
      <c r="AH122">
        <f>(EW122)</f>
        <v>69.87</v>
      </c>
      <c r="AI122">
        <f>(EX122)</f>
        <v>1.44</v>
      </c>
      <c r="AJ122">
        <f t="shared" ref="AJ122:AJ139" si="127">(AS122)</f>
        <v>0</v>
      </c>
      <c r="AK122">
        <v>641</v>
      </c>
      <c r="AL122">
        <v>0</v>
      </c>
      <c r="AM122">
        <v>45.01</v>
      </c>
      <c r="AN122">
        <v>19.440000000000001</v>
      </c>
      <c r="AO122">
        <v>595.99</v>
      </c>
      <c r="AP122">
        <v>0</v>
      </c>
      <c r="AQ122">
        <v>69.87</v>
      </c>
      <c r="AR122">
        <v>1.44</v>
      </c>
      <c r="AS122">
        <v>0</v>
      </c>
      <c r="AT122">
        <v>80</v>
      </c>
      <c r="AU122">
        <v>68</v>
      </c>
      <c r="AV122">
        <v>1</v>
      </c>
      <c r="AW122">
        <v>1</v>
      </c>
      <c r="AZ122">
        <v>1</v>
      </c>
      <c r="BA122">
        <v>33.049999999999997</v>
      </c>
      <c r="BB122">
        <v>14.93</v>
      </c>
      <c r="BC122">
        <v>1</v>
      </c>
      <c r="BD122" t="s">
        <v>3</v>
      </c>
      <c r="BE122" t="s">
        <v>3</v>
      </c>
      <c r="BF122" t="s">
        <v>3</v>
      </c>
      <c r="BG122" t="s">
        <v>3</v>
      </c>
      <c r="BH122">
        <v>0</v>
      </c>
      <c r="BI122">
        <v>1</v>
      </c>
      <c r="BJ122" t="s">
        <v>38</v>
      </c>
      <c r="BM122">
        <v>57001</v>
      </c>
      <c r="BN122">
        <v>0</v>
      </c>
      <c r="BO122" t="s">
        <v>35</v>
      </c>
      <c r="BP122">
        <v>1</v>
      </c>
      <c r="BQ122">
        <v>6</v>
      </c>
      <c r="BR122">
        <v>0</v>
      </c>
      <c r="BS122">
        <v>33.049999999999997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3</v>
      </c>
      <c r="BZ122">
        <v>80</v>
      </c>
      <c r="CA122">
        <v>68</v>
      </c>
      <c r="CB122" t="s">
        <v>3</v>
      </c>
      <c r="CE122">
        <v>0</v>
      </c>
      <c r="CF122">
        <v>0</v>
      </c>
      <c r="CG122">
        <v>0</v>
      </c>
      <c r="CM122">
        <v>0</v>
      </c>
      <c r="CN122" t="s">
        <v>3</v>
      </c>
      <c r="CO122">
        <v>0</v>
      </c>
      <c r="CP122">
        <f t="shared" ref="CP122:CP139" si="128">(P122+Q122+S122)</f>
        <v>651.82000000000005</v>
      </c>
      <c r="CQ122">
        <f t="shared" ref="CQ122:CQ139" si="129">AC122*BC122</f>
        <v>0</v>
      </c>
      <c r="CR122">
        <f t="shared" ref="CR122:CR139" si="130">AD122*BB122</f>
        <v>671.99929999999995</v>
      </c>
      <c r="CS122">
        <f t="shared" ref="CS122:CS139" si="131">AE122*BS122</f>
        <v>642.49199999999996</v>
      </c>
      <c r="CT122">
        <f t="shared" ref="CT122:CT139" si="132">AF122*BA122</f>
        <v>19697.469499999999</v>
      </c>
      <c r="CU122">
        <f t="shared" ref="CU122:CU139" si="133">AG122</f>
        <v>0</v>
      </c>
      <c r="CV122">
        <f t="shared" ref="CV122:CV139" si="134">AH122</f>
        <v>69.87</v>
      </c>
      <c r="CW122">
        <f t="shared" ref="CW122:CW139" si="135">AI122</f>
        <v>1.44</v>
      </c>
      <c r="CX122">
        <f t="shared" ref="CX122:CX139" si="136">AJ122</f>
        <v>0</v>
      </c>
      <c r="CY122">
        <f t="shared" ref="CY122:CY139" si="137">(((S122+R122)*AT122)/100)</f>
        <v>520.70400000000006</v>
      </c>
      <c r="CZ122">
        <f t="shared" ref="CZ122:CZ139" si="138">(((S122+R122)*AU122)/100)</f>
        <v>442.59839999999997</v>
      </c>
      <c r="DC122" t="s">
        <v>3</v>
      </c>
      <c r="DD122" t="s">
        <v>3</v>
      </c>
      <c r="DE122" t="s">
        <v>3</v>
      </c>
      <c r="DF122" t="s">
        <v>3</v>
      </c>
      <c r="DG122" t="s">
        <v>3</v>
      </c>
      <c r="DH122" t="s">
        <v>3</v>
      </c>
      <c r="DI122" t="s">
        <v>3</v>
      </c>
      <c r="DJ122" t="s">
        <v>3</v>
      </c>
      <c r="DK122" t="s">
        <v>3</v>
      </c>
      <c r="DL122" t="s">
        <v>3</v>
      </c>
      <c r="DM122" t="s">
        <v>3</v>
      </c>
      <c r="DN122">
        <v>0</v>
      </c>
      <c r="DO122">
        <v>0</v>
      </c>
      <c r="DP122">
        <v>1</v>
      </c>
      <c r="DQ122">
        <v>1</v>
      </c>
      <c r="DU122">
        <v>1013</v>
      </c>
      <c r="DV122" t="s">
        <v>37</v>
      </c>
      <c r="DW122" t="s">
        <v>37</v>
      </c>
      <c r="DX122">
        <v>1</v>
      </c>
      <c r="DZ122" t="s">
        <v>3</v>
      </c>
      <c r="EA122" t="s">
        <v>3</v>
      </c>
      <c r="EB122" t="s">
        <v>3</v>
      </c>
      <c r="EC122" t="s">
        <v>3</v>
      </c>
      <c r="EE122">
        <v>36260505</v>
      </c>
      <c r="EF122">
        <v>6</v>
      </c>
      <c r="EG122" t="s">
        <v>20</v>
      </c>
      <c r="EH122">
        <v>0</v>
      </c>
      <c r="EI122" t="s">
        <v>3</v>
      </c>
      <c r="EJ122">
        <v>1</v>
      </c>
      <c r="EK122">
        <v>57001</v>
      </c>
      <c r="EL122" t="s">
        <v>39</v>
      </c>
      <c r="EM122" t="s">
        <v>40</v>
      </c>
      <c r="EO122" t="s">
        <v>3</v>
      </c>
      <c r="EQ122">
        <v>0</v>
      </c>
      <c r="ER122">
        <v>641</v>
      </c>
      <c r="ES122">
        <v>0</v>
      </c>
      <c r="ET122">
        <v>45.01</v>
      </c>
      <c r="EU122">
        <v>19.440000000000001</v>
      </c>
      <c r="EV122">
        <v>595.99</v>
      </c>
      <c r="EW122">
        <v>69.87</v>
      </c>
      <c r="EX122">
        <v>1.44</v>
      </c>
      <c r="EY122">
        <v>0</v>
      </c>
      <c r="FQ122">
        <v>0</v>
      </c>
      <c r="FR122">
        <f t="shared" ref="FR122:FR139" si="139">ROUND(IF(AND(BH122=3,BI122=3),P122,0),2)</f>
        <v>0</v>
      </c>
      <c r="FS122">
        <v>0</v>
      </c>
      <c r="FX122">
        <v>80</v>
      </c>
      <c r="FY122">
        <v>68</v>
      </c>
      <c r="GA122" t="s">
        <v>3</v>
      </c>
      <c r="GD122">
        <v>1</v>
      </c>
      <c r="GF122">
        <v>1408343215</v>
      </c>
      <c r="GG122">
        <v>2</v>
      </c>
      <c r="GH122">
        <v>1</v>
      </c>
      <c r="GI122">
        <v>2</v>
      </c>
      <c r="GJ122">
        <v>0</v>
      </c>
      <c r="GK122">
        <v>0</v>
      </c>
      <c r="GL122">
        <f t="shared" ref="GL122:GL139" si="140">ROUND(IF(AND(BH122=3,BI122=3,FS122&lt;&gt;0),P122,0),2)</f>
        <v>0</v>
      </c>
      <c r="GM122">
        <f t="shared" ref="GM122:GM139" si="141">ROUND(O122+X122+Y122,2)+GX122</f>
        <v>1615.12</v>
      </c>
      <c r="GN122">
        <f t="shared" ref="GN122:GN139" si="142">IF(OR(BI122=0,BI122=1),ROUND(O122+X122+Y122,2),0)</f>
        <v>1615.12</v>
      </c>
      <c r="GO122">
        <f t="shared" ref="GO122:GO139" si="143">IF(BI122=2,ROUND(O122+X122+Y122,2),0)</f>
        <v>0</v>
      </c>
      <c r="GP122">
        <f t="shared" ref="GP122:GP139" si="144">IF(BI122=4,ROUND(O122+X122+Y122,2)+GX122,0)</f>
        <v>0</v>
      </c>
      <c r="GR122">
        <v>0</v>
      </c>
      <c r="GS122">
        <v>3</v>
      </c>
      <c r="GT122">
        <v>0</v>
      </c>
      <c r="GU122" t="s">
        <v>3</v>
      </c>
      <c r="GV122">
        <f t="shared" ref="GV122:GV139" si="145">ROUND((GT122),6)</f>
        <v>0</v>
      </c>
      <c r="GW122">
        <v>1</v>
      </c>
      <c r="GX122">
        <f t="shared" ref="GX122:GX139" si="146">ROUND(HC122*I122,2)</f>
        <v>0</v>
      </c>
      <c r="HA122">
        <v>0</v>
      </c>
      <c r="HB122">
        <v>0</v>
      </c>
      <c r="HC122">
        <f t="shared" ref="HC122:HC139" si="147">GV122*GW122</f>
        <v>0</v>
      </c>
      <c r="HE122" t="s">
        <v>3</v>
      </c>
      <c r="HF122" t="s">
        <v>3</v>
      </c>
      <c r="HM122" t="s">
        <v>3</v>
      </c>
      <c r="IK122">
        <v>0</v>
      </c>
    </row>
    <row r="123" spans="1:245">
      <c r="A123">
        <v>18</v>
      </c>
      <c r="B123">
        <v>1</v>
      </c>
      <c r="C123">
        <v>119</v>
      </c>
      <c r="E123" t="s">
        <v>23</v>
      </c>
      <c r="F123" t="s">
        <v>24</v>
      </c>
      <c r="G123" t="s">
        <v>25</v>
      </c>
      <c r="H123" t="s">
        <v>26</v>
      </c>
      <c r="I123">
        <f>I122*J123</f>
        <v>0.16639999999999999</v>
      </c>
      <c r="J123">
        <v>5.1999999999999993</v>
      </c>
      <c r="K123">
        <v>5.2</v>
      </c>
      <c r="O123">
        <f t="shared" si="113"/>
        <v>0</v>
      </c>
      <c r="P123">
        <f t="shared" si="114"/>
        <v>0</v>
      </c>
      <c r="Q123">
        <f t="shared" si="115"/>
        <v>0</v>
      </c>
      <c r="R123">
        <f t="shared" si="116"/>
        <v>0</v>
      </c>
      <c r="S123">
        <f t="shared" si="117"/>
        <v>0</v>
      </c>
      <c r="T123">
        <f t="shared" si="118"/>
        <v>0</v>
      </c>
      <c r="U123">
        <f t="shared" si="119"/>
        <v>0</v>
      </c>
      <c r="V123">
        <f t="shared" si="120"/>
        <v>0</v>
      </c>
      <c r="W123">
        <f t="shared" si="121"/>
        <v>0</v>
      </c>
      <c r="X123">
        <f t="shared" si="122"/>
        <v>0</v>
      </c>
      <c r="Y123">
        <f t="shared" si="123"/>
        <v>0</v>
      </c>
      <c r="AA123">
        <v>34132744</v>
      </c>
      <c r="AB123">
        <f t="shared" si="124"/>
        <v>0</v>
      </c>
      <c r="AC123">
        <f t="shared" si="125"/>
        <v>0</v>
      </c>
      <c r="AD123">
        <f>ROUND((((ET123)-(EU123))+AE123),6)</f>
        <v>0</v>
      </c>
      <c r="AE123">
        <f>ROUND((EU123),6)</f>
        <v>0</v>
      </c>
      <c r="AF123">
        <f>ROUND((EV123),6)</f>
        <v>0</v>
      </c>
      <c r="AG123">
        <f t="shared" si="126"/>
        <v>0</v>
      </c>
      <c r="AH123">
        <f>(EW123)</f>
        <v>0</v>
      </c>
      <c r="AI123">
        <f>(EX123)</f>
        <v>0</v>
      </c>
      <c r="AJ123">
        <f t="shared" si="127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80</v>
      </c>
      <c r="AU123">
        <v>68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27</v>
      </c>
      <c r="BM123">
        <v>57001</v>
      </c>
      <c r="BN123">
        <v>0</v>
      </c>
      <c r="BO123" t="s">
        <v>3</v>
      </c>
      <c r="BP123">
        <v>0</v>
      </c>
      <c r="BQ123">
        <v>6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80</v>
      </c>
      <c r="CA123">
        <v>68</v>
      </c>
      <c r="CB123" t="s">
        <v>3</v>
      </c>
      <c r="CE123">
        <v>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28"/>
        <v>0</v>
      </c>
      <c r="CQ123">
        <f t="shared" si="129"/>
        <v>0</v>
      </c>
      <c r="CR123">
        <f t="shared" si="130"/>
        <v>0</v>
      </c>
      <c r="CS123">
        <f t="shared" si="131"/>
        <v>0</v>
      </c>
      <c r="CT123">
        <f t="shared" si="132"/>
        <v>0</v>
      </c>
      <c r="CU123">
        <f t="shared" si="133"/>
        <v>0</v>
      </c>
      <c r="CV123">
        <f t="shared" si="134"/>
        <v>0</v>
      </c>
      <c r="CW123">
        <f t="shared" si="135"/>
        <v>0</v>
      </c>
      <c r="CX123">
        <f t="shared" si="136"/>
        <v>0</v>
      </c>
      <c r="CY123">
        <f t="shared" si="137"/>
        <v>0</v>
      </c>
      <c r="CZ123">
        <f t="shared" si="138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1009</v>
      </c>
      <c r="DV123" t="s">
        <v>26</v>
      </c>
      <c r="DW123" t="s">
        <v>26</v>
      </c>
      <c r="DX123">
        <v>1000</v>
      </c>
      <c r="DZ123" t="s">
        <v>3</v>
      </c>
      <c r="EA123" t="s">
        <v>3</v>
      </c>
      <c r="EB123" t="s">
        <v>3</v>
      </c>
      <c r="EC123" t="s">
        <v>3</v>
      </c>
      <c r="EE123">
        <v>36260505</v>
      </c>
      <c r="EF123">
        <v>6</v>
      </c>
      <c r="EG123" t="s">
        <v>20</v>
      </c>
      <c r="EH123">
        <v>0</v>
      </c>
      <c r="EI123" t="s">
        <v>3</v>
      </c>
      <c r="EJ123">
        <v>1</v>
      </c>
      <c r="EK123">
        <v>57001</v>
      </c>
      <c r="EL123" t="s">
        <v>39</v>
      </c>
      <c r="EM123" t="s">
        <v>40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39"/>
        <v>0</v>
      </c>
      <c r="FS123">
        <v>0</v>
      </c>
      <c r="FX123">
        <v>80</v>
      </c>
      <c r="FY123">
        <v>68</v>
      </c>
      <c r="GA123" t="s">
        <v>3</v>
      </c>
      <c r="GD123">
        <v>1</v>
      </c>
      <c r="GF123">
        <v>-304821490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40"/>
        <v>0</v>
      </c>
      <c r="GM123">
        <f t="shared" si="141"/>
        <v>0</v>
      </c>
      <c r="GN123">
        <f t="shared" si="142"/>
        <v>0</v>
      </c>
      <c r="GO123">
        <f t="shared" si="143"/>
        <v>0</v>
      </c>
      <c r="GP123">
        <f t="shared" si="144"/>
        <v>0</v>
      </c>
      <c r="GR123">
        <v>0</v>
      </c>
      <c r="GS123">
        <v>3</v>
      </c>
      <c r="GT123">
        <v>0</v>
      </c>
      <c r="GU123" t="s">
        <v>3</v>
      </c>
      <c r="GV123">
        <f t="shared" si="145"/>
        <v>0</v>
      </c>
      <c r="GW123">
        <v>1</v>
      </c>
      <c r="GX123">
        <f t="shared" si="146"/>
        <v>0</v>
      </c>
      <c r="HA123">
        <v>0</v>
      </c>
      <c r="HB123">
        <v>0</v>
      </c>
      <c r="HC123">
        <f t="shared" si="147"/>
        <v>0</v>
      </c>
      <c r="HE123" t="s">
        <v>3</v>
      </c>
      <c r="HF123" t="s">
        <v>3</v>
      </c>
      <c r="HM123" t="s">
        <v>3</v>
      </c>
      <c r="IK123">
        <v>0</v>
      </c>
    </row>
    <row r="124" spans="1:245">
      <c r="A124">
        <v>17</v>
      </c>
      <c r="B124">
        <v>1</v>
      </c>
      <c r="C124">
        <f>ROW(SmtRes!A124)</f>
        <v>124</v>
      </c>
      <c r="D124">
        <f>ROW(EtalonRes!A126)</f>
        <v>126</v>
      </c>
      <c r="E124" t="s">
        <v>28</v>
      </c>
      <c r="F124" t="s">
        <v>156</v>
      </c>
      <c r="G124" t="s">
        <v>157</v>
      </c>
      <c r="H124" t="s">
        <v>158</v>
      </c>
      <c r="I124">
        <f>ROUND(3.2/100,9)</f>
        <v>3.2000000000000001E-2</v>
      </c>
      <c r="J124">
        <v>0</v>
      </c>
      <c r="K124">
        <f>ROUND(3.2/100,9)</f>
        <v>3.2000000000000001E-2</v>
      </c>
      <c r="O124">
        <f t="shared" si="113"/>
        <v>64.61</v>
      </c>
      <c r="P124">
        <f t="shared" si="114"/>
        <v>55.48</v>
      </c>
      <c r="Q124">
        <f t="shared" si="115"/>
        <v>4.3</v>
      </c>
      <c r="R124">
        <f t="shared" si="116"/>
        <v>3.75</v>
      </c>
      <c r="S124">
        <f t="shared" si="117"/>
        <v>4.83</v>
      </c>
      <c r="T124">
        <f t="shared" si="118"/>
        <v>0</v>
      </c>
      <c r="U124">
        <f t="shared" si="119"/>
        <v>1.84E-2</v>
      </c>
      <c r="V124">
        <f t="shared" si="120"/>
        <v>8.4000000000000012E-3</v>
      </c>
      <c r="W124">
        <f t="shared" si="121"/>
        <v>0</v>
      </c>
      <c r="X124">
        <f t="shared" si="122"/>
        <v>9.52</v>
      </c>
      <c r="Y124">
        <f t="shared" si="123"/>
        <v>5.49</v>
      </c>
      <c r="AA124">
        <v>34132744</v>
      </c>
      <c r="AB124">
        <f t="shared" si="124"/>
        <v>293.84550000000002</v>
      </c>
      <c r="AC124">
        <f t="shared" si="125"/>
        <v>279.63</v>
      </c>
      <c r="AD124">
        <f>ROUND(((((ET124*1.25))-((EU124*1.25)))+AE124),6)</f>
        <v>9.65</v>
      </c>
      <c r="AE124">
        <f>ROUND(((EU124*1.25)),6)</f>
        <v>3.55</v>
      </c>
      <c r="AF124">
        <f>ROUND(((EV124*1.15)),6)</f>
        <v>4.5655000000000001</v>
      </c>
      <c r="AG124">
        <f t="shared" si="126"/>
        <v>0</v>
      </c>
      <c r="AH124">
        <f>((EW124*1.15))</f>
        <v>0.57499999999999996</v>
      </c>
      <c r="AI124">
        <f>((EX124*1.25))</f>
        <v>0.26250000000000001</v>
      </c>
      <c r="AJ124">
        <f t="shared" si="127"/>
        <v>0</v>
      </c>
      <c r="AK124">
        <v>291.32</v>
      </c>
      <c r="AL124">
        <v>279.63</v>
      </c>
      <c r="AM124">
        <v>7.72</v>
      </c>
      <c r="AN124">
        <v>2.84</v>
      </c>
      <c r="AO124">
        <v>3.97</v>
      </c>
      <c r="AP124">
        <v>0</v>
      </c>
      <c r="AQ124">
        <v>0.5</v>
      </c>
      <c r="AR124">
        <v>0.21</v>
      </c>
      <c r="AS124">
        <v>0</v>
      </c>
      <c r="AT124">
        <v>111</v>
      </c>
      <c r="AU124">
        <v>64</v>
      </c>
      <c r="AV124">
        <v>1</v>
      </c>
      <c r="AW124">
        <v>1</v>
      </c>
      <c r="AZ124">
        <v>1</v>
      </c>
      <c r="BA124">
        <v>33.049999999999997</v>
      </c>
      <c r="BB124">
        <v>13.93</v>
      </c>
      <c r="BC124">
        <v>6.2</v>
      </c>
      <c r="BD124" t="s">
        <v>3</v>
      </c>
      <c r="BE124" t="s">
        <v>3</v>
      </c>
      <c r="BF124" t="s">
        <v>3</v>
      </c>
      <c r="BG124" t="s">
        <v>3</v>
      </c>
      <c r="BH124">
        <v>0</v>
      </c>
      <c r="BI124">
        <v>1</v>
      </c>
      <c r="BJ124" t="s">
        <v>159</v>
      </c>
      <c r="BM124">
        <v>11001</v>
      </c>
      <c r="BN124">
        <v>0</v>
      </c>
      <c r="BO124" t="s">
        <v>156</v>
      </c>
      <c r="BP124">
        <v>1</v>
      </c>
      <c r="BQ124">
        <v>2</v>
      </c>
      <c r="BR124">
        <v>0</v>
      </c>
      <c r="BS124">
        <v>33.049999999999997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3</v>
      </c>
      <c r="BZ124">
        <v>123</v>
      </c>
      <c r="CA124">
        <v>75</v>
      </c>
      <c r="CB124" t="s">
        <v>3</v>
      </c>
      <c r="CE124">
        <v>0</v>
      </c>
      <c r="CF124">
        <v>0</v>
      </c>
      <c r="CG124">
        <v>0</v>
      </c>
      <c r="CM124">
        <v>0</v>
      </c>
      <c r="CN124" t="s">
        <v>608</v>
      </c>
      <c r="CO124">
        <v>0</v>
      </c>
      <c r="CP124">
        <f t="shared" si="128"/>
        <v>64.61</v>
      </c>
      <c r="CQ124">
        <f t="shared" si="129"/>
        <v>1733.7060000000001</v>
      </c>
      <c r="CR124">
        <f t="shared" si="130"/>
        <v>134.42449999999999</v>
      </c>
      <c r="CS124">
        <f t="shared" si="131"/>
        <v>117.32749999999999</v>
      </c>
      <c r="CT124">
        <f t="shared" si="132"/>
        <v>150.88977499999999</v>
      </c>
      <c r="CU124">
        <f t="shared" si="133"/>
        <v>0</v>
      </c>
      <c r="CV124">
        <f t="shared" si="134"/>
        <v>0.57499999999999996</v>
      </c>
      <c r="CW124">
        <f t="shared" si="135"/>
        <v>0.26250000000000001</v>
      </c>
      <c r="CX124">
        <f t="shared" si="136"/>
        <v>0</v>
      </c>
      <c r="CY124">
        <f t="shared" si="137"/>
        <v>9.5237999999999996</v>
      </c>
      <c r="CZ124">
        <f t="shared" si="138"/>
        <v>5.4912000000000001</v>
      </c>
      <c r="DC124" t="s">
        <v>3</v>
      </c>
      <c r="DD124" t="s">
        <v>3</v>
      </c>
      <c r="DE124" t="s">
        <v>100</v>
      </c>
      <c r="DF124" t="s">
        <v>100</v>
      </c>
      <c r="DG124" t="s">
        <v>101</v>
      </c>
      <c r="DH124" t="s">
        <v>3</v>
      </c>
      <c r="DI124" t="s">
        <v>101</v>
      </c>
      <c r="DJ124" t="s">
        <v>100</v>
      </c>
      <c r="DK124" t="s">
        <v>3</v>
      </c>
      <c r="DL124" t="s">
        <v>3</v>
      </c>
      <c r="DM124" t="s">
        <v>3</v>
      </c>
      <c r="DN124">
        <v>0</v>
      </c>
      <c r="DO124">
        <v>0</v>
      </c>
      <c r="DP124">
        <v>1</v>
      </c>
      <c r="DQ124">
        <v>1</v>
      </c>
      <c r="DU124">
        <v>1013</v>
      </c>
      <c r="DV124" t="s">
        <v>158</v>
      </c>
      <c r="DW124" t="s">
        <v>158</v>
      </c>
      <c r="DX124">
        <v>1</v>
      </c>
      <c r="DZ124" t="s">
        <v>3</v>
      </c>
      <c r="EA124" t="s">
        <v>3</v>
      </c>
      <c r="EB124" t="s">
        <v>3</v>
      </c>
      <c r="EC124" t="s">
        <v>3</v>
      </c>
      <c r="EE124">
        <v>36260427</v>
      </c>
      <c r="EF124">
        <v>2</v>
      </c>
      <c r="EG124" t="s">
        <v>102</v>
      </c>
      <c r="EH124">
        <v>0</v>
      </c>
      <c r="EI124" t="s">
        <v>3</v>
      </c>
      <c r="EJ124">
        <v>1</v>
      </c>
      <c r="EK124">
        <v>11001</v>
      </c>
      <c r="EL124" t="s">
        <v>39</v>
      </c>
      <c r="EM124" t="s">
        <v>160</v>
      </c>
      <c r="EO124" t="s">
        <v>105</v>
      </c>
      <c r="EQ124">
        <v>0</v>
      </c>
      <c r="ER124">
        <v>291.32</v>
      </c>
      <c r="ES124">
        <v>279.63</v>
      </c>
      <c r="ET124">
        <v>7.72</v>
      </c>
      <c r="EU124">
        <v>2.84</v>
      </c>
      <c r="EV124">
        <v>3.97</v>
      </c>
      <c r="EW124">
        <v>0.5</v>
      </c>
      <c r="EX124">
        <v>0.21</v>
      </c>
      <c r="EY124">
        <v>0</v>
      </c>
      <c r="FQ124">
        <v>0</v>
      </c>
      <c r="FR124">
        <f t="shared" si="139"/>
        <v>0</v>
      </c>
      <c r="FS124">
        <v>0</v>
      </c>
      <c r="FT124" t="s">
        <v>106</v>
      </c>
      <c r="FU124" t="s">
        <v>107</v>
      </c>
      <c r="FX124">
        <v>110.7</v>
      </c>
      <c r="FY124">
        <v>63.75</v>
      </c>
      <c r="GA124" t="s">
        <v>3</v>
      </c>
      <c r="GD124">
        <v>1</v>
      </c>
      <c r="GF124">
        <v>-187078821</v>
      </c>
      <c r="GG124">
        <v>2</v>
      </c>
      <c r="GH124">
        <v>1</v>
      </c>
      <c r="GI124">
        <v>2</v>
      </c>
      <c r="GJ124">
        <v>0</v>
      </c>
      <c r="GK124">
        <v>0</v>
      </c>
      <c r="GL124">
        <f t="shared" si="140"/>
        <v>0</v>
      </c>
      <c r="GM124">
        <f t="shared" si="141"/>
        <v>79.62</v>
      </c>
      <c r="GN124">
        <f t="shared" si="142"/>
        <v>79.62</v>
      </c>
      <c r="GO124">
        <f t="shared" si="143"/>
        <v>0</v>
      </c>
      <c r="GP124">
        <f t="shared" si="144"/>
        <v>0</v>
      </c>
      <c r="GR124">
        <v>0</v>
      </c>
      <c r="GS124">
        <v>3</v>
      </c>
      <c r="GT124">
        <v>0</v>
      </c>
      <c r="GU124" t="s">
        <v>3</v>
      </c>
      <c r="GV124">
        <f t="shared" si="145"/>
        <v>0</v>
      </c>
      <c r="GW124">
        <v>1</v>
      </c>
      <c r="GX124">
        <f t="shared" si="146"/>
        <v>0</v>
      </c>
      <c r="HA124">
        <v>0</v>
      </c>
      <c r="HB124">
        <v>0</v>
      </c>
      <c r="HC124">
        <f t="shared" si="147"/>
        <v>0</v>
      </c>
      <c r="HE124" t="s">
        <v>3</v>
      </c>
      <c r="HF124" t="s">
        <v>3</v>
      </c>
      <c r="HM124" t="s">
        <v>3</v>
      </c>
      <c r="IK124">
        <v>0</v>
      </c>
    </row>
    <row r="125" spans="1:245">
      <c r="A125">
        <v>17</v>
      </c>
      <c r="B125">
        <v>1</v>
      </c>
      <c r="C125">
        <f>ROW(SmtRes!A136)</f>
        <v>136</v>
      </c>
      <c r="D125">
        <f>ROW(EtalonRes!A138)</f>
        <v>138</v>
      </c>
      <c r="E125" t="s">
        <v>34</v>
      </c>
      <c r="F125" t="s">
        <v>198</v>
      </c>
      <c r="G125" t="s">
        <v>199</v>
      </c>
      <c r="H125" t="s">
        <v>200</v>
      </c>
      <c r="I125">
        <f>ROUND(3.2/100,9)</f>
        <v>3.2000000000000001E-2</v>
      </c>
      <c r="J125">
        <v>0</v>
      </c>
      <c r="K125">
        <f>ROUND(3.2/100,9)</f>
        <v>3.2000000000000001E-2</v>
      </c>
      <c r="O125">
        <f t="shared" si="113"/>
        <v>2236.7800000000002</v>
      </c>
      <c r="P125">
        <f t="shared" si="114"/>
        <v>1335.84</v>
      </c>
      <c r="Q125">
        <f t="shared" si="115"/>
        <v>86.36</v>
      </c>
      <c r="R125">
        <f t="shared" si="116"/>
        <v>60.8</v>
      </c>
      <c r="S125">
        <f t="shared" si="117"/>
        <v>814.58</v>
      </c>
      <c r="T125">
        <f t="shared" si="118"/>
        <v>0</v>
      </c>
      <c r="U125">
        <f t="shared" si="119"/>
        <v>2.8199839999999994</v>
      </c>
      <c r="V125">
        <f t="shared" si="120"/>
        <v>0.16879999999999998</v>
      </c>
      <c r="W125">
        <f t="shared" si="121"/>
        <v>0</v>
      </c>
      <c r="X125">
        <f t="shared" si="122"/>
        <v>971.67</v>
      </c>
      <c r="Y125">
        <f t="shared" si="123"/>
        <v>560.24</v>
      </c>
      <c r="AA125">
        <v>34132744</v>
      </c>
      <c r="AB125">
        <f t="shared" si="124"/>
        <v>10010.475</v>
      </c>
      <c r="AC125">
        <f t="shared" si="125"/>
        <v>9055.2999999999993</v>
      </c>
      <c r="AD125">
        <f>ROUND(((((ET125*1.25))-((EU125*1.25)))+AE125),6)</f>
        <v>184.96250000000001</v>
      </c>
      <c r="AE125">
        <f>ROUND(((EU125*1.25)),6)</f>
        <v>57.487499999999997</v>
      </c>
      <c r="AF125">
        <f>ROUND(((EV125*1.15)),6)</f>
        <v>770.21249999999998</v>
      </c>
      <c r="AG125">
        <f t="shared" si="126"/>
        <v>0</v>
      </c>
      <c r="AH125">
        <f>((EW125*1.15))</f>
        <v>88.124499999999983</v>
      </c>
      <c r="AI125">
        <f>((EX125*1.25))</f>
        <v>5.2749999999999995</v>
      </c>
      <c r="AJ125">
        <f t="shared" si="127"/>
        <v>0</v>
      </c>
      <c r="AK125">
        <v>9873.02</v>
      </c>
      <c r="AL125">
        <v>9055.2999999999993</v>
      </c>
      <c r="AM125">
        <v>147.97</v>
      </c>
      <c r="AN125">
        <v>45.99</v>
      </c>
      <c r="AO125">
        <v>669.75</v>
      </c>
      <c r="AP125">
        <v>0</v>
      </c>
      <c r="AQ125">
        <v>76.63</v>
      </c>
      <c r="AR125">
        <v>4.22</v>
      </c>
      <c r="AS125">
        <v>0</v>
      </c>
      <c r="AT125">
        <v>111</v>
      </c>
      <c r="AU125">
        <v>64</v>
      </c>
      <c r="AV125">
        <v>1</v>
      </c>
      <c r="AW125">
        <v>1</v>
      </c>
      <c r="AZ125">
        <v>1</v>
      </c>
      <c r="BA125">
        <v>33.049999999999997</v>
      </c>
      <c r="BB125">
        <v>14.59</v>
      </c>
      <c r="BC125">
        <v>4.6100000000000003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1</v>
      </c>
      <c r="BJ125" t="s">
        <v>201</v>
      </c>
      <c r="BM125">
        <v>11001</v>
      </c>
      <c r="BN125">
        <v>0</v>
      </c>
      <c r="BO125" t="s">
        <v>198</v>
      </c>
      <c r="BP125">
        <v>1</v>
      </c>
      <c r="BQ125">
        <v>2</v>
      </c>
      <c r="BR125">
        <v>0</v>
      </c>
      <c r="BS125">
        <v>33.049999999999997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123</v>
      </c>
      <c r="CA125">
        <v>75</v>
      </c>
      <c r="CB125" t="s">
        <v>3</v>
      </c>
      <c r="CE125">
        <v>0</v>
      </c>
      <c r="CF125">
        <v>0</v>
      </c>
      <c r="CG125">
        <v>0</v>
      </c>
      <c r="CM125">
        <v>0</v>
      </c>
      <c r="CN125" t="s">
        <v>608</v>
      </c>
      <c r="CO125">
        <v>0</v>
      </c>
      <c r="CP125">
        <f t="shared" si="128"/>
        <v>2236.7799999999997</v>
      </c>
      <c r="CQ125">
        <f t="shared" si="129"/>
        <v>41744.932999999997</v>
      </c>
      <c r="CR125">
        <f t="shared" si="130"/>
        <v>2698.602875</v>
      </c>
      <c r="CS125">
        <f t="shared" si="131"/>
        <v>1899.9618749999997</v>
      </c>
      <c r="CT125">
        <f t="shared" si="132"/>
        <v>25455.523124999996</v>
      </c>
      <c r="CU125">
        <f t="shared" si="133"/>
        <v>0</v>
      </c>
      <c r="CV125">
        <f t="shared" si="134"/>
        <v>88.124499999999983</v>
      </c>
      <c r="CW125">
        <f t="shared" si="135"/>
        <v>5.2749999999999995</v>
      </c>
      <c r="CX125">
        <f t="shared" si="136"/>
        <v>0</v>
      </c>
      <c r="CY125">
        <f t="shared" si="137"/>
        <v>971.67179999999996</v>
      </c>
      <c r="CZ125">
        <f t="shared" si="138"/>
        <v>560.2432</v>
      </c>
      <c r="DC125" t="s">
        <v>3</v>
      </c>
      <c r="DD125" t="s">
        <v>3</v>
      </c>
      <c r="DE125" t="s">
        <v>100</v>
      </c>
      <c r="DF125" t="s">
        <v>100</v>
      </c>
      <c r="DG125" t="s">
        <v>101</v>
      </c>
      <c r="DH125" t="s">
        <v>3</v>
      </c>
      <c r="DI125" t="s">
        <v>101</v>
      </c>
      <c r="DJ125" t="s">
        <v>100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1005</v>
      </c>
      <c r="DV125" t="s">
        <v>200</v>
      </c>
      <c r="DW125" t="s">
        <v>200</v>
      </c>
      <c r="DX125">
        <v>100</v>
      </c>
      <c r="DZ125" t="s">
        <v>3</v>
      </c>
      <c r="EA125" t="s">
        <v>3</v>
      </c>
      <c r="EB125" t="s">
        <v>3</v>
      </c>
      <c r="EC125" t="s">
        <v>3</v>
      </c>
      <c r="EE125">
        <v>36260427</v>
      </c>
      <c r="EF125">
        <v>2</v>
      </c>
      <c r="EG125" t="s">
        <v>102</v>
      </c>
      <c r="EH125">
        <v>0</v>
      </c>
      <c r="EI125" t="s">
        <v>3</v>
      </c>
      <c r="EJ125">
        <v>1</v>
      </c>
      <c r="EK125">
        <v>11001</v>
      </c>
      <c r="EL125" t="s">
        <v>39</v>
      </c>
      <c r="EM125" t="s">
        <v>160</v>
      </c>
      <c r="EO125" t="s">
        <v>105</v>
      </c>
      <c r="EQ125">
        <v>0</v>
      </c>
      <c r="ER125">
        <v>9873.02</v>
      </c>
      <c r="ES125">
        <v>9055.2999999999993</v>
      </c>
      <c r="ET125">
        <v>147.97</v>
      </c>
      <c r="EU125">
        <v>45.99</v>
      </c>
      <c r="EV125">
        <v>669.75</v>
      </c>
      <c r="EW125">
        <v>76.63</v>
      </c>
      <c r="EX125">
        <v>4.22</v>
      </c>
      <c r="EY125">
        <v>0</v>
      </c>
      <c r="FQ125">
        <v>0</v>
      </c>
      <c r="FR125">
        <f t="shared" si="139"/>
        <v>0</v>
      </c>
      <c r="FS125">
        <v>0</v>
      </c>
      <c r="FT125" t="s">
        <v>106</v>
      </c>
      <c r="FU125" t="s">
        <v>107</v>
      </c>
      <c r="FX125">
        <v>110.7</v>
      </c>
      <c r="FY125">
        <v>63.75</v>
      </c>
      <c r="GA125" t="s">
        <v>3</v>
      </c>
      <c r="GD125">
        <v>1</v>
      </c>
      <c r="GF125">
        <v>-1945414664</v>
      </c>
      <c r="GG125">
        <v>2</v>
      </c>
      <c r="GH125">
        <v>1</v>
      </c>
      <c r="GI125">
        <v>2</v>
      </c>
      <c r="GJ125">
        <v>0</v>
      </c>
      <c r="GK125">
        <v>0</v>
      </c>
      <c r="GL125">
        <f t="shared" si="140"/>
        <v>0</v>
      </c>
      <c r="GM125">
        <f t="shared" si="141"/>
        <v>3768.69</v>
      </c>
      <c r="GN125">
        <f t="shared" si="142"/>
        <v>3768.69</v>
      </c>
      <c r="GO125">
        <f t="shared" si="143"/>
        <v>0</v>
      </c>
      <c r="GP125">
        <f t="shared" si="144"/>
        <v>0</v>
      </c>
      <c r="GR125">
        <v>0</v>
      </c>
      <c r="GS125">
        <v>3</v>
      </c>
      <c r="GT125">
        <v>0</v>
      </c>
      <c r="GU125" t="s">
        <v>3</v>
      </c>
      <c r="GV125">
        <f t="shared" si="145"/>
        <v>0</v>
      </c>
      <c r="GW125">
        <v>1</v>
      </c>
      <c r="GX125">
        <f t="shared" si="146"/>
        <v>0</v>
      </c>
      <c r="HA125">
        <v>0</v>
      </c>
      <c r="HB125">
        <v>0</v>
      </c>
      <c r="HC125">
        <f t="shared" si="147"/>
        <v>0</v>
      </c>
      <c r="HE125" t="s">
        <v>3</v>
      </c>
      <c r="HF125" t="s">
        <v>3</v>
      </c>
      <c r="HM125" t="s">
        <v>3</v>
      </c>
      <c r="IK125">
        <v>0</v>
      </c>
    </row>
    <row r="126" spans="1:245">
      <c r="A126">
        <v>17</v>
      </c>
      <c r="B126">
        <v>1</v>
      </c>
      <c r="C126">
        <f>ROW(SmtRes!A138)</f>
        <v>138</v>
      </c>
      <c r="D126">
        <f>ROW(EtalonRes!A140)</f>
        <v>140</v>
      </c>
      <c r="E126" t="s">
        <v>132</v>
      </c>
      <c r="F126" t="s">
        <v>16</v>
      </c>
      <c r="G126" t="s">
        <v>17</v>
      </c>
      <c r="H126" t="s">
        <v>18</v>
      </c>
      <c r="I126">
        <f>ROUND(3.9/100,9)</f>
        <v>3.9E-2</v>
      </c>
      <c r="J126">
        <v>0</v>
      </c>
      <c r="K126">
        <f>ROUND(3.9/100,9)</f>
        <v>3.9E-2</v>
      </c>
      <c r="O126">
        <f t="shared" si="113"/>
        <v>371.29</v>
      </c>
      <c r="P126">
        <f t="shared" si="114"/>
        <v>0</v>
      </c>
      <c r="Q126">
        <f t="shared" si="115"/>
        <v>0</v>
      </c>
      <c r="R126">
        <f t="shared" si="116"/>
        <v>0</v>
      </c>
      <c r="S126">
        <f t="shared" si="117"/>
        <v>371.29</v>
      </c>
      <c r="T126">
        <f t="shared" si="118"/>
        <v>0</v>
      </c>
      <c r="U126">
        <f t="shared" si="119"/>
        <v>1.41492</v>
      </c>
      <c r="V126">
        <f t="shared" si="120"/>
        <v>0</v>
      </c>
      <c r="W126">
        <f t="shared" si="121"/>
        <v>0</v>
      </c>
      <c r="X126">
        <f t="shared" si="122"/>
        <v>304.45999999999998</v>
      </c>
      <c r="Y126">
        <f t="shared" si="123"/>
        <v>230.2</v>
      </c>
      <c r="AA126">
        <v>34132744</v>
      </c>
      <c r="AB126">
        <f t="shared" si="124"/>
        <v>288.06</v>
      </c>
      <c r="AC126">
        <f t="shared" si="125"/>
        <v>0</v>
      </c>
      <c r="AD126">
        <f>ROUND((((ET126)-(EU126))+AE126),6)</f>
        <v>0</v>
      </c>
      <c r="AE126">
        <f>ROUND((EU126),6)</f>
        <v>0</v>
      </c>
      <c r="AF126">
        <f>ROUND((EV126),6)</f>
        <v>288.06</v>
      </c>
      <c r="AG126">
        <f t="shared" si="126"/>
        <v>0</v>
      </c>
      <c r="AH126">
        <f>(EW126)</f>
        <v>36.28</v>
      </c>
      <c r="AI126">
        <f>(EX126)</f>
        <v>0</v>
      </c>
      <c r="AJ126">
        <f t="shared" si="127"/>
        <v>0</v>
      </c>
      <c r="AK126">
        <v>288.06</v>
      </c>
      <c r="AL126">
        <v>0</v>
      </c>
      <c r="AM126">
        <v>0</v>
      </c>
      <c r="AN126">
        <v>0</v>
      </c>
      <c r="AO126">
        <v>288.06</v>
      </c>
      <c r="AP126">
        <v>0</v>
      </c>
      <c r="AQ126">
        <v>36.28</v>
      </c>
      <c r="AR126">
        <v>0</v>
      </c>
      <c r="AS126">
        <v>0</v>
      </c>
      <c r="AT126">
        <v>82</v>
      </c>
      <c r="AU126">
        <v>62</v>
      </c>
      <c r="AV126">
        <v>1</v>
      </c>
      <c r="AW126">
        <v>1</v>
      </c>
      <c r="AZ126">
        <v>1</v>
      </c>
      <c r="BA126">
        <v>33.049999999999997</v>
      </c>
      <c r="BB126">
        <v>1</v>
      </c>
      <c r="BC126">
        <v>1</v>
      </c>
      <c r="BD126" t="s">
        <v>3</v>
      </c>
      <c r="BE126" t="s">
        <v>3</v>
      </c>
      <c r="BF126" t="s">
        <v>3</v>
      </c>
      <c r="BG126" t="s">
        <v>3</v>
      </c>
      <c r="BH126">
        <v>0</v>
      </c>
      <c r="BI126">
        <v>1</v>
      </c>
      <c r="BJ126" t="s">
        <v>19</v>
      </c>
      <c r="BM126">
        <v>56001</v>
      </c>
      <c r="BN126">
        <v>0</v>
      </c>
      <c r="BO126" t="s">
        <v>16</v>
      </c>
      <c r="BP126">
        <v>1</v>
      </c>
      <c r="BQ126">
        <v>6</v>
      </c>
      <c r="BR126">
        <v>0</v>
      </c>
      <c r="BS126">
        <v>33.049999999999997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82</v>
      </c>
      <c r="CA126">
        <v>62</v>
      </c>
      <c r="CB126" t="s">
        <v>3</v>
      </c>
      <c r="CE126">
        <v>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>
        <f t="shared" si="128"/>
        <v>371.29</v>
      </c>
      <c r="CQ126">
        <f t="shared" si="129"/>
        <v>0</v>
      </c>
      <c r="CR126">
        <f t="shared" si="130"/>
        <v>0</v>
      </c>
      <c r="CS126">
        <f t="shared" si="131"/>
        <v>0</v>
      </c>
      <c r="CT126">
        <f t="shared" si="132"/>
        <v>9520.3829999999998</v>
      </c>
      <c r="CU126">
        <f t="shared" si="133"/>
        <v>0</v>
      </c>
      <c r="CV126">
        <f t="shared" si="134"/>
        <v>36.28</v>
      </c>
      <c r="CW126">
        <f t="shared" si="135"/>
        <v>0</v>
      </c>
      <c r="CX126">
        <f t="shared" si="136"/>
        <v>0</v>
      </c>
      <c r="CY126">
        <f t="shared" si="137"/>
        <v>304.45780000000002</v>
      </c>
      <c r="CZ126">
        <f t="shared" si="138"/>
        <v>230.19979999999998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1013</v>
      </c>
      <c r="DV126" t="s">
        <v>18</v>
      </c>
      <c r="DW126" t="s">
        <v>18</v>
      </c>
      <c r="DX126">
        <v>1</v>
      </c>
      <c r="DZ126" t="s">
        <v>3</v>
      </c>
      <c r="EA126" t="s">
        <v>3</v>
      </c>
      <c r="EB126" t="s">
        <v>3</v>
      </c>
      <c r="EC126" t="s">
        <v>3</v>
      </c>
      <c r="EE126">
        <v>36260504</v>
      </c>
      <c r="EF126">
        <v>6</v>
      </c>
      <c r="EG126" t="s">
        <v>20</v>
      </c>
      <c r="EH126">
        <v>0</v>
      </c>
      <c r="EI126" t="s">
        <v>3</v>
      </c>
      <c r="EJ126">
        <v>1</v>
      </c>
      <c r="EK126">
        <v>56001</v>
      </c>
      <c r="EL126" t="s">
        <v>21</v>
      </c>
      <c r="EM126" t="s">
        <v>22</v>
      </c>
      <c r="EO126" t="s">
        <v>3</v>
      </c>
      <c r="EQ126">
        <v>0</v>
      </c>
      <c r="ER126">
        <v>288.06</v>
      </c>
      <c r="ES126">
        <v>0</v>
      </c>
      <c r="ET126">
        <v>0</v>
      </c>
      <c r="EU126">
        <v>0</v>
      </c>
      <c r="EV126">
        <v>288.06</v>
      </c>
      <c r="EW126">
        <v>36.28</v>
      </c>
      <c r="EX126">
        <v>0</v>
      </c>
      <c r="EY126">
        <v>0</v>
      </c>
      <c r="FQ126">
        <v>0</v>
      </c>
      <c r="FR126">
        <f t="shared" si="139"/>
        <v>0</v>
      </c>
      <c r="FS126">
        <v>0</v>
      </c>
      <c r="FX126">
        <v>82</v>
      </c>
      <c r="FY126">
        <v>62</v>
      </c>
      <c r="GA126" t="s">
        <v>3</v>
      </c>
      <c r="GD126">
        <v>1</v>
      </c>
      <c r="GF126">
        <v>30344308</v>
      </c>
      <c r="GG126">
        <v>2</v>
      </c>
      <c r="GH126">
        <v>1</v>
      </c>
      <c r="GI126">
        <v>2</v>
      </c>
      <c r="GJ126">
        <v>0</v>
      </c>
      <c r="GK126">
        <v>0</v>
      </c>
      <c r="GL126">
        <f t="shared" si="140"/>
        <v>0</v>
      </c>
      <c r="GM126">
        <f t="shared" si="141"/>
        <v>905.95</v>
      </c>
      <c r="GN126">
        <f t="shared" si="142"/>
        <v>905.95</v>
      </c>
      <c r="GO126">
        <f t="shared" si="143"/>
        <v>0</v>
      </c>
      <c r="GP126">
        <f t="shared" si="144"/>
        <v>0</v>
      </c>
      <c r="GR126">
        <v>0</v>
      </c>
      <c r="GS126">
        <v>3</v>
      </c>
      <c r="GT126">
        <v>0</v>
      </c>
      <c r="GU126" t="s">
        <v>3</v>
      </c>
      <c r="GV126">
        <f t="shared" si="145"/>
        <v>0</v>
      </c>
      <c r="GW126">
        <v>1</v>
      </c>
      <c r="GX126">
        <f t="shared" si="146"/>
        <v>0</v>
      </c>
      <c r="HA126">
        <v>0</v>
      </c>
      <c r="HB126">
        <v>0</v>
      </c>
      <c r="HC126">
        <f t="shared" si="147"/>
        <v>0</v>
      </c>
      <c r="HE126" t="s">
        <v>3</v>
      </c>
      <c r="HF126" t="s">
        <v>3</v>
      </c>
      <c r="HM126" t="s">
        <v>3</v>
      </c>
      <c r="IK126">
        <v>0</v>
      </c>
    </row>
    <row r="127" spans="1:245">
      <c r="A127">
        <v>18</v>
      </c>
      <c r="B127">
        <v>1</v>
      </c>
      <c r="C127">
        <v>138</v>
      </c>
      <c r="E127" t="s">
        <v>137</v>
      </c>
      <c r="F127" t="s">
        <v>24</v>
      </c>
      <c r="G127" t="s">
        <v>25</v>
      </c>
      <c r="H127" t="s">
        <v>26</v>
      </c>
      <c r="I127">
        <f>I126*J127</f>
        <v>4.6019999999999998E-2</v>
      </c>
      <c r="J127">
        <v>1.18</v>
      </c>
      <c r="K127">
        <v>1.18</v>
      </c>
      <c r="O127">
        <f t="shared" si="113"/>
        <v>0</v>
      </c>
      <c r="P127">
        <f t="shared" si="114"/>
        <v>0</v>
      </c>
      <c r="Q127">
        <f t="shared" si="115"/>
        <v>0</v>
      </c>
      <c r="R127">
        <f t="shared" si="116"/>
        <v>0</v>
      </c>
      <c r="S127">
        <f t="shared" si="117"/>
        <v>0</v>
      </c>
      <c r="T127">
        <f t="shared" si="118"/>
        <v>0</v>
      </c>
      <c r="U127">
        <f t="shared" si="119"/>
        <v>0</v>
      </c>
      <c r="V127">
        <f t="shared" si="120"/>
        <v>0</v>
      </c>
      <c r="W127">
        <f t="shared" si="121"/>
        <v>0</v>
      </c>
      <c r="X127">
        <f t="shared" si="122"/>
        <v>0</v>
      </c>
      <c r="Y127">
        <f t="shared" si="123"/>
        <v>0</v>
      </c>
      <c r="AA127">
        <v>34132744</v>
      </c>
      <c r="AB127">
        <f t="shared" si="124"/>
        <v>0</v>
      </c>
      <c r="AC127">
        <f t="shared" si="125"/>
        <v>0</v>
      </c>
      <c r="AD127">
        <f>ROUND((((ET127)-(EU127))+AE127),6)</f>
        <v>0</v>
      </c>
      <c r="AE127">
        <f>ROUND((EU127),6)</f>
        <v>0</v>
      </c>
      <c r="AF127">
        <f>ROUND((EV127),6)</f>
        <v>0</v>
      </c>
      <c r="AG127">
        <f t="shared" si="126"/>
        <v>0</v>
      </c>
      <c r="AH127">
        <f>(EW127)</f>
        <v>0</v>
      </c>
      <c r="AI127">
        <f>(EX127)</f>
        <v>0</v>
      </c>
      <c r="AJ127">
        <f t="shared" si="127"/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</v>
      </c>
      <c r="AU127">
        <v>62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1</v>
      </c>
      <c r="BJ127" t="s">
        <v>27</v>
      </c>
      <c r="BM127">
        <v>56001</v>
      </c>
      <c r="BN127">
        <v>0</v>
      </c>
      <c r="BO127" t="s">
        <v>3</v>
      </c>
      <c r="BP127">
        <v>0</v>
      </c>
      <c r="BQ127">
        <v>6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82</v>
      </c>
      <c r="CA127">
        <v>62</v>
      </c>
      <c r="CB127" t="s">
        <v>3</v>
      </c>
      <c r="CE127">
        <v>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28"/>
        <v>0</v>
      </c>
      <c r="CQ127">
        <f t="shared" si="129"/>
        <v>0</v>
      </c>
      <c r="CR127">
        <f t="shared" si="130"/>
        <v>0</v>
      </c>
      <c r="CS127">
        <f t="shared" si="131"/>
        <v>0</v>
      </c>
      <c r="CT127">
        <f t="shared" si="132"/>
        <v>0</v>
      </c>
      <c r="CU127">
        <f t="shared" si="133"/>
        <v>0</v>
      </c>
      <c r="CV127">
        <f t="shared" si="134"/>
        <v>0</v>
      </c>
      <c r="CW127">
        <f t="shared" si="135"/>
        <v>0</v>
      </c>
      <c r="CX127">
        <f t="shared" si="136"/>
        <v>0</v>
      </c>
      <c r="CY127">
        <f t="shared" si="137"/>
        <v>0</v>
      </c>
      <c r="CZ127">
        <f t="shared" si="138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1009</v>
      </c>
      <c r="DV127" t="s">
        <v>26</v>
      </c>
      <c r="DW127" t="s">
        <v>26</v>
      </c>
      <c r="DX127">
        <v>1000</v>
      </c>
      <c r="DZ127" t="s">
        <v>3</v>
      </c>
      <c r="EA127" t="s">
        <v>3</v>
      </c>
      <c r="EB127" t="s">
        <v>3</v>
      </c>
      <c r="EC127" t="s">
        <v>3</v>
      </c>
      <c r="EE127">
        <v>36260504</v>
      </c>
      <c r="EF127">
        <v>6</v>
      </c>
      <c r="EG127" t="s">
        <v>20</v>
      </c>
      <c r="EH127">
        <v>0</v>
      </c>
      <c r="EI127" t="s">
        <v>3</v>
      </c>
      <c r="EJ127">
        <v>1</v>
      </c>
      <c r="EK127">
        <v>56001</v>
      </c>
      <c r="EL127" t="s">
        <v>21</v>
      </c>
      <c r="EM127" t="s">
        <v>22</v>
      </c>
      <c r="EO127" t="s">
        <v>3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f t="shared" si="139"/>
        <v>0</v>
      </c>
      <c r="FS127">
        <v>0</v>
      </c>
      <c r="FX127">
        <v>82</v>
      </c>
      <c r="FY127">
        <v>62</v>
      </c>
      <c r="GA127" t="s">
        <v>3</v>
      </c>
      <c r="GD127">
        <v>1</v>
      </c>
      <c r="GF127">
        <v>-304821490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si="140"/>
        <v>0</v>
      </c>
      <c r="GM127">
        <f t="shared" si="141"/>
        <v>0</v>
      </c>
      <c r="GN127">
        <f t="shared" si="142"/>
        <v>0</v>
      </c>
      <c r="GO127">
        <f t="shared" si="143"/>
        <v>0</v>
      </c>
      <c r="GP127">
        <f t="shared" si="144"/>
        <v>0</v>
      </c>
      <c r="GR127">
        <v>0</v>
      </c>
      <c r="GS127">
        <v>3</v>
      </c>
      <c r="GT127">
        <v>0</v>
      </c>
      <c r="GU127" t="s">
        <v>3</v>
      </c>
      <c r="GV127">
        <f t="shared" si="145"/>
        <v>0</v>
      </c>
      <c r="GW127">
        <v>1</v>
      </c>
      <c r="GX127">
        <f t="shared" si="146"/>
        <v>0</v>
      </c>
      <c r="HA127">
        <v>0</v>
      </c>
      <c r="HB127">
        <v>0</v>
      </c>
      <c r="HC127">
        <f t="shared" si="147"/>
        <v>0</v>
      </c>
      <c r="HE127" t="s">
        <v>3</v>
      </c>
      <c r="HF127" t="s">
        <v>3</v>
      </c>
      <c r="HM127" t="s">
        <v>3</v>
      </c>
      <c r="IK127">
        <v>0</v>
      </c>
    </row>
    <row r="128" spans="1:245">
      <c r="A128">
        <v>17</v>
      </c>
      <c r="B128">
        <v>1</v>
      </c>
      <c r="C128">
        <f>ROW(SmtRes!A147)</f>
        <v>147</v>
      </c>
      <c r="D128">
        <f>ROW(EtalonRes!A150)</f>
        <v>150</v>
      </c>
      <c r="E128" t="s">
        <v>142</v>
      </c>
      <c r="F128" t="s">
        <v>121</v>
      </c>
      <c r="G128" t="s">
        <v>122</v>
      </c>
      <c r="H128" t="s">
        <v>123</v>
      </c>
      <c r="I128">
        <v>2.1</v>
      </c>
      <c r="J128">
        <v>0</v>
      </c>
      <c r="K128">
        <v>2.1</v>
      </c>
      <c r="O128">
        <f t="shared" si="113"/>
        <v>2730.33</v>
      </c>
      <c r="P128">
        <f t="shared" si="114"/>
        <v>328.83</v>
      </c>
      <c r="Q128">
        <f t="shared" si="115"/>
        <v>501.09</v>
      </c>
      <c r="R128">
        <f t="shared" si="116"/>
        <v>0</v>
      </c>
      <c r="S128">
        <f t="shared" si="117"/>
        <v>1900.41</v>
      </c>
      <c r="T128">
        <f t="shared" si="118"/>
        <v>0</v>
      </c>
      <c r="U128">
        <f t="shared" si="119"/>
        <v>5.7959999999999994</v>
      </c>
      <c r="V128">
        <f t="shared" si="120"/>
        <v>0</v>
      </c>
      <c r="W128">
        <f t="shared" si="121"/>
        <v>0</v>
      </c>
      <c r="X128">
        <f t="shared" si="122"/>
        <v>1539.33</v>
      </c>
      <c r="Y128">
        <f t="shared" si="123"/>
        <v>1368.3</v>
      </c>
      <c r="AA128">
        <v>34132744</v>
      </c>
      <c r="AB128">
        <f t="shared" si="124"/>
        <v>76.888999999999996</v>
      </c>
      <c r="AC128">
        <f t="shared" si="125"/>
        <v>25.67</v>
      </c>
      <c r="AD128">
        <f>ROUND(((((ET128*1.25))-((EU128*1.25)))+AE128),6)</f>
        <v>23.837499999999999</v>
      </c>
      <c r="AE128">
        <f>ROUND(((EU128*1.25)),6)</f>
        <v>0</v>
      </c>
      <c r="AF128">
        <f>ROUND(((EV128*1.15)),6)</f>
        <v>27.381499999999999</v>
      </c>
      <c r="AG128">
        <f t="shared" si="126"/>
        <v>0</v>
      </c>
      <c r="AH128">
        <f>((EW128*1.15))</f>
        <v>2.76</v>
      </c>
      <c r="AI128">
        <f>((EX128*1.25))</f>
        <v>0</v>
      </c>
      <c r="AJ128">
        <f t="shared" si="127"/>
        <v>0</v>
      </c>
      <c r="AK128">
        <v>68.55</v>
      </c>
      <c r="AL128">
        <v>25.67</v>
      </c>
      <c r="AM128">
        <v>19.07</v>
      </c>
      <c r="AN128">
        <v>0</v>
      </c>
      <c r="AO128">
        <v>23.81</v>
      </c>
      <c r="AP128">
        <v>0</v>
      </c>
      <c r="AQ128">
        <v>2.4</v>
      </c>
      <c r="AR128">
        <v>0</v>
      </c>
      <c r="AS128">
        <v>0</v>
      </c>
      <c r="AT128">
        <v>81</v>
      </c>
      <c r="AU128">
        <v>72</v>
      </c>
      <c r="AV128">
        <v>1</v>
      </c>
      <c r="AW128">
        <v>1</v>
      </c>
      <c r="AZ128">
        <v>1</v>
      </c>
      <c r="BA128">
        <v>33.049999999999997</v>
      </c>
      <c r="BB128">
        <v>10.01</v>
      </c>
      <c r="BC128">
        <v>6.1</v>
      </c>
      <c r="BD128" t="s">
        <v>3</v>
      </c>
      <c r="BE128" t="s">
        <v>3</v>
      </c>
      <c r="BF128" t="s">
        <v>3</v>
      </c>
      <c r="BG128" t="s">
        <v>3</v>
      </c>
      <c r="BH128">
        <v>0</v>
      </c>
      <c r="BI128">
        <v>1</v>
      </c>
      <c r="BJ128" t="s">
        <v>124</v>
      </c>
      <c r="BM128">
        <v>9001</v>
      </c>
      <c r="BN128">
        <v>0</v>
      </c>
      <c r="BO128" t="s">
        <v>121</v>
      </c>
      <c r="BP128">
        <v>1</v>
      </c>
      <c r="BQ128">
        <v>2</v>
      </c>
      <c r="BR128">
        <v>0</v>
      </c>
      <c r="BS128">
        <v>33.049999999999997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90</v>
      </c>
      <c r="CA128">
        <v>85</v>
      </c>
      <c r="CB128" t="s">
        <v>3</v>
      </c>
      <c r="CE128">
        <v>0</v>
      </c>
      <c r="CF128">
        <v>0</v>
      </c>
      <c r="CG128">
        <v>0</v>
      </c>
      <c r="CM128">
        <v>0</v>
      </c>
      <c r="CN128" t="s">
        <v>608</v>
      </c>
      <c r="CO128">
        <v>0</v>
      </c>
      <c r="CP128">
        <f t="shared" si="128"/>
        <v>2730.33</v>
      </c>
      <c r="CQ128">
        <f t="shared" si="129"/>
        <v>156.58699999999999</v>
      </c>
      <c r="CR128">
        <f t="shared" si="130"/>
        <v>238.61337499999999</v>
      </c>
      <c r="CS128">
        <f t="shared" si="131"/>
        <v>0</v>
      </c>
      <c r="CT128">
        <f t="shared" si="132"/>
        <v>904.95857499999988</v>
      </c>
      <c r="CU128">
        <f t="shared" si="133"/>
        <v>0</v>
      </c>
      <c r="CV128">
        <f t="shared" si="134"/>
        <v>2.76</v>
      </c>
      <c r="CW128">
        <f t="shared" si="135"/>
        <v>0</v>
      </c>
      <c r="CX128">
        <f t="shared" si="136"/>
        <v>0</v>
      </c>
      <c r="CY128">
        <f t="shared" si="137"/>
        <v>1539.3321000000003</v>
      </c>
      <c r="CZ128">
        <f t="shared" si="138"/>
        <v>1368.2952000000002</v>
      </c>
      <c r="DC128" t="s">
        <v>3</v>
      </c>
      <c r="DD128" t="s">
        <v>3</v>
      </c>
      <c r="DE128" t="s">
        <v>100</v>
      </c>
      <c r="DF128" t="s">
        <v>100</v>
      </c>
      <c r="DG128" t="s">
        <v>101</v>
      </c>
      <c r="DH128" t="s">
        <v>3</v>
      </c>
      <c r="DI128" t="s">
        <v>101</v>
      </c>
      <c r="DJ128" t="s">
        <v>100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1013</v>
      </c>
      <c r="DV128" t="s">
        <v>123</v>
      </c>
      <c r="DW128" t="s">
        <v>123</v>
      </c>
      <c r="DX128">
        <v>1</v>
      </c>
      <c r="DZ128" t="s">
        <v>3</v>
      </c>
      <c r="EA128" t="s">
        <v>3</v>
      </c>
      <c r="EB128" t="s">
        <v>3</v>
      </c>
      <c r="EC128" t="s">
        <v>3</v>
      </c>
      <c r="EE128">
        <v>36260425</v>
      </c>
      <c r="EF128">
        <v>2</v>
      </c>
      <c r="EG128" t="s">
        <v>102</v>
      </c>
      <c r="EH128">
        <v>0</v>
      </c>
      <c r="EI128" t="s">
        <v>3</v>
      </c>
      <c r="EJ128">
        <v>1</v>
      </c>
      <c r="EK128">
        <v>9001</v>
      </c>
      <c r="EL128" t="s">
        <v>113</v>
      </c>
      <c r="EM128" t="s">
        <v>114</v>
      </c>
      <c r="EO128" t="s">
        <v>105</v>
      </c>
      <c r="EQ128">
        <v>0</v>
      </c>
      <c r="ER128">
        <v>68.55</v>
      </c>
      <c r="ES128">
        <v>25.67</v>
      </c>
      <c r="ET128">
        <v>19.07</v>
      </c>
      <c r="EU128">
        <v>0</v>
      </c>
      <c r="EV128">
        <v>23.81</v>
      </c>
      <c r="EW128">
        <v>2.4</v>
      </c>
      <c r="EX128">
        <v>0</v>
      </c>
      <c r="EY128">
        <v>0</v>
      </c>
      <c r="FQ128">
        <v>0</v>
      </c>
      <c r="FR128">
        <f t="shared" si="139"/>
        <v>0</v>
      </c>
      <c r="FS128">
        <v>0</v>
      </c>
      <c r="FT128" t="s">
        <v>106</v>
      </c>
      <c r="FU128" t="s">
        <v>107</v>
      </c>
      <c r="FX128">
        <v>81</v>
      </c>
      <c r="FY128">
        <v>72.25</v>
      </c>
      <c r="GA128" t="s">
        <v>3</v>
      </c>
      <c r="GD128">
        <v>1</v>
      </c>
      <c r="GF128">
        <v>467939286</v>
      </c>
      <c r="GG128">
        <v>2</v>
      </c>
      <c r="GH128">
        <v>1</v>
      </c>
      <c r="GI128">
        <v>2</v>
      </c>
      <c r="GJ128">
        <v>0</v>
      </c>
      <c r="GK128">
        <v>0</v>
      </c>
      <c r="GL128">
        <f t="shared" si="140"/>
        <v>0</v>
      </c>
      <c r="GM128">
        <f t="shared" si="141"/>
        <v>5637.96</v>
      </c>
      <c r="GN128">
        <f t="shared" si="142"/>
        <v>5637.96</v>
      </c>
      <c r="GO128">
        <f t="shared" si="143"/>
        <v>0</v>
      </c>
      <c r="GP128">
        <f t="shared" si="144"/>
        <v>0</v>
      </c>
      <c r="GR128">
        <v>0</v>
      </c>
      <c r="GS128">
        <v>3</v>
      </c>
      <c r="GT128">
        <v>0</v>
      </c>
      <c r="GU128" t="s">
        <v>3</v>
      </c>
      <c r="GV128">
        <f t="shared" si="145"/>
        <v>0</v>
      </c>
      <c r="GW128">
        <v>1</v>
      </c>
      <c r="GX128">
        <f t="shared" si="146"/>
        <v>0</v>
      </c>
      <c r="HA128">
        <v>0</v>
      </c>
      <c r="HB128">
        <v>0</v>
      </c>
      <c r="HC128">
        <f t="shared" si="147"/>
        <v>0</v>
      </c>
      <c r="HE128" t="s">
        <v>3</v>
      </c>
      <c r="HF128" t="s">
        <v>3</v>
      </c>
      <c r="HM128" t="s">
        <v>3</v>
      </c>
      <c r="IK128">
        <v>0</v>
      </c>
    </row>
    <row r="129" spans="1:245">
      <c r="A129">
        <v>18</v>
      </c>
      <c r="B129">
        <v>1</v>
      </c>
      <c r="C129">
        <v>146</v>
      </c>
      <c r="E129" t="s">
        <v>202</v>
      </c>
      <c r="F129" t="s">
        <v>203</v>
      </c>
      <c r="G129" t="s">
        <v>204</v>
      </c>
      <c r="H129" t="s">
        <v>117</v>
      </c>
      <c r="I129">
        <f>I128*J129</f>
        <v>1</v>
      </c>
      <c r="J129">
        <v>0.47619047619047616</v>
      </c>
      <c r="K129">
        <v>0.47619</v>
      </c>
      <c r="O129">
        <f t="shared" si="113"/>
        <v>10938.3</v>
      </c>
      <c r="P129">
        <f t="shared" si="114"/>
        <v>10938.3</v>
      </c>
      <c r="Q129">
        <f t="shared" si="115"/>
        <v>0</v>
      </c>
      <c r="R129">
        <f t="shared" si="116"/>
        <v>0</v>
      </c>
      <c r="S129">
        <f t="shared" si="117"/>
        <v>0</v>
      </c>
      <c r="T129">
        <f t="shared" si="118"/>
        <v>0</v>
      </c>
      <c r="U129">
        <f t="shared" si="119"/>
        <v>0</v>
      </c>
      <c r="V129">
        <f t="shared" si="120"/>
        <v>0</v>
      </c>
      <c r="W129">
        <f t="shared" si="121"/>
        <v>126.18</v>
      </c>
      <c r="X129">
        <f t="shared" si="122"/>
        <v>0</v>
      </c>
      <c r="Y129">
        <f t="shared" si="123"/>
        <v>0</v>
      </c>
      <c r="AA129">
        <v>34132744</v>
      </c>
      <c r="AB129">
        <f t="shared" si="124"/>
        <v>2755.24</v>
      </c>
      <c r="AC129">
        <f t="shared" si="125"/>
        <v>2755.24</v>
      </c>
      <c r="AD129">
        <f>ROUND((((ET129)-(EU129))+AE129),6)</f>
        <v>0</v>
      </c>
      <c r="AE129">
        <f>ROUND((EU129),6)</f>
        <v>0</v>
      </c>
      <c r="AF129">
        <f>ROUND((EV129),6)</f>
        <v>0</v>
      </c>
      <c r="AG129">
        <f t="shared" si="126"/>
        <v>0</v>
      </c>
      <c r="AH129">
        <f>(EW129)</f>
        <v>0</v>
      </c>
      <c r="AI129">
        <f>(EX129)</f>
        <v>0</v>
      </c>
      <c r="AJ129">
        <f t="shared" si="127"/>
        <v>126.18</v>
      </c>
      <c r="AK129">
        <v>2755.24</v>
      </c>
      <c r="AL129">
        <v>2755.24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126.18</v>
      </c>
      <c r="AT129">
        <v>81</v>
      </c>
      <c r="AU129">
        <v>72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3.97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1</v>
      </c>
      <c r="BJ129" t="s">
        <v>205</v>
      </c>
      <c r="BM129">
        <v>9001</v>
      </c>
      <c r="BN129">
        <v>0</v>
      </c>
      <c r="BO129" t="s">
        <v>203</v>
      </c>
      <c r="BP129">
        <v>1</v>
      </c>
      <c r="BQ129">
        <v>2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90</v>
      </c>
      <c r="CA129">
        <v>85</v>
      </c>
      <c r="CB129" t="s">
        <v>3</v>
      </c>
      <c r="CE129">
        <v>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28"/>
        <v>10938.3</v>
      </c>
      <c r="CQ129">
        <f t="shared" si="129"/>
        <v>10938.302799999999</v>
      </c>
      <c r="CR129">
        <f t="shared" si="130"/>
        <v>0</v>
      </c>
      <c r="CS129">
        <f t="shared" si="131"/>
        <v>0</v>
      </c>
      <c r="CT129">
        <f t="shared" si="132"/>
        <v>0</v>
      </c>
      <c r="CU129">
        <f t="shared" si="133"/>
        <v>0</v>
      </c>
      <c r="CV129">
        <f t="shared" si="134"/>
        <v>0</v>
      </c>
      <c r="CW129">
        <f t="shared" si="135"/>
        <v>0</v>
      </c>
      <c r="CX129">
        <f t="shared" si="136"/>
        <v>126.18</v>
      </c>
      <c r="CY129">
        <f t="shared" si="137"/>
        <v>0</v>
      </c>
      <c r="CZ129">
        <f t="shared" si="138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1010</v>
      </c>
      <c r="DV129" t="s">
        <v>117</v>
      </c>
      <c r="DW129" t="s">
        <v>117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36260425</v>
      </c>
      <c r="EF129">
        <v>2</v>
      </c>
      <c r="EG129" t="s">
        <v>102</v>
      </c>
      <c r="EH129">
        <v>0</v>
      </c>
      <c r="EI129" t="s">
        <v>3</v>
      </c>
      <c r="EJ129">
        <v>1</v>
      </c>
      <c r="EK129">
        <v>9001</v>
      </c>
      <c r="EL129" t="s">
        <v>113</v>
      </c>
      <c r="EM129" t="s">
        <v>114</v>
      </c>
      <c r="EO129" t="s">
        <v>3</v>
      </c>
      <c r="EQ129">
        <v>0</v>
      </c>
      <c r="ER129">
        <v>2755.24</v>
      </c>
      <c r="ES129">
        <v>2755.24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39"/>
        <v>0</v>
      </c>
      <c r="FS129">
        <v>0</v>
      </c>
      <c r="FT129" t="s">
        <v>106</v>
      </c>
      <c r="FU129" t="s">
        <v>107</v>
      </c>
      <c r="FX129">
        <v>81</v>
      </c>
      <c r="FY129">
        <v>72.25</v>
      </c>
      <c r="GA129" t="s">
        <v>3</v>
      </c>
      <c r="GD129">
        <v>1</v>
      </c>
      <c r="GF129">
        <v>594303638</v>
      </c>
      <c r="GG129">
        <v>2</v>
      </c>
      <c r="GH129">
        <v>1</v>
      </c>
      <c r="GI129">
        <v>2</v>
      </c>
      <c r="GJ129">
        <v>0</v>
      </c>
      <c r="GK129">
        <v>0</v>
      </c>
      <c r="GL129">
        <f t="shared" si="140"/>
        <v>0</v>
      </c>
      <c r="GM129">
        <f t="shared" si="141"/>
        <v>10938.3</v>
      </c>
      <c r="GN129">
        <f t="shared" si="142"/>
        <v>10938.3</v>
      </c>
      <c r="GO129">
        <f t="shared" si="143"/>
        <v>0</v>
      </c>
      <c r="GP129">
        <f t="shared" si="144"/>
        <v>0</v>
      </c>
      <c r="GR129">
        <v>0</v>
      </c>
      <c r="GS129">
        <v>3</v>
      </c>
      <c r="GT129">
        <v>0</v>
      </c>
      <c r="GU129" t="s">
        <v>3</v>
      </c>
      <c r="GV129">
        <f t="shared" si="145"/>
        <v>0</v>
      </c>
      <c r="GW129">
        <v>1</v>
      </c>
      <c r="GX129">
        <f t="shared" si="146"/>
        <v>0</v>
      </c>
      <c r="HA129">
        <v>0</v>
      </c>
      <c r="HB129">
        <v>0</v>
      </c>
      <c r="HC129">
        <f t="shared" si="147"/>
        <v>0</v>
      </c>
      <c r="HE129" t="s">
        <v>3</v>
      </c>
      <c r="HF129" t="s">
        <v>3</v>
      </c>
      <c r="HM129" t="s">
        <v>3</v>
      </c>
      <c r="IK129">
        <v>0</v>
      </c>
    </row>
    <row r="130" spans="1:245">
      <c r="A130">
        <v>17</v>
      </c>
      <c r="B130">
        <v>1</v>
      </c>
      <c r="C130">
        <f>ROW(SmtRes!A164)</f>
        <v>164</v>
      </c>
      <c r="D130">
        <f>ROW(EtalonRes!A167)</f>
        <v>167</v>
      </c>
      <c r="E130" t="s">
        <v>150</v>
      </c>
      <c r="F130" t="s">
        <v>133</v>
      </c>
      <c r="G130" t="s">
        <v>134</v>
      </c>
      <c r="H130" t="s">
        <v>135</v>
      </c>
      <c r="I130">
        <f>ROUND(1.8/100,9)</f>
        <v>1.7999999999999999E-2</v>
      </c>
      <c r="J130">
        <v>0</v>
      </c>
      <c r="K130">
        <f>ROUND(1.8/100,9)</f>
        <v>1.7999999999999999E-2</v>
      </c>
      <c r="O130">
        <f t="shared" si="113"/>
        <v>3028.7</v>
      </c>
      <c r="P130">
        <f t="shared" si="114"/>
        <v>2082.34</v>
      </c>
      <c r="Q130">
        <f t="shared" si="115"/>
        <v>291.44</v>
      </c>
      <c r="R130">
        <f t="shared" si="116"/>
        <v>113.95</v>
      </c>
      <c r="S130">
        <f t="shared" si="117"/>
        <v>654.91999999999996</v>
      </c>
      <c r="T130">
        <f t="shared" si="118"/>
        <v>0</v>
      </c>
      <c r="U130">
        <f t="shared" si="119"/>
        <v>2.1585959999999997</v>
      </c>
      <c r="V130">
        <f t="shared" si="120"/>
        <v>0.25537499999999996</v>
      </c>
      <c r="W130">
        <f t="shared" si="121"/>
        <v>0</v>
      </c>
      <c r="X130">
        <f t="shared" si="122"/>
        <v>815</v>
      </c>
      <c r="Y130">
        <f t="shared" si="123"/>
        <v>415.19</v>
      </c>
      <c r="AA130">
        <v>34132744</v>
      </c>
      <c r="AB130">
        <f t="shared" si="124"/>
        <v>26034.538499999999</v>
      </c>
      <c r="AC130">
        <f t="shared" si="125"/>
        <v>23370.78</v>
      </c>
      <c r="AD130">
        <f>ROUND(((((ET130*1.25))-((EU130*1.25)))+AE130),6)</f>
        <v>1562.875</v>
      </c>
      <c r="AE130">
        <f>ROUND(((EU130*1.25)),6)</f>
        <v>191.53749999999999</v>
      </c>
      <c r="AF130">
        <f>ROUND(((EV130*1.15)),6)</f>
        <v>1100.8834999999999</v>
      </c>
      <c r="AG130">
        <f t="shared" si="126"/>
        <v>0</v>
      </c>
      <c r="AH130">
        <f>((EW130*1.15))</f>
        <v>119.922</v>
      </c>
      <c r="AI130">
        <f>((EX130*1.25))</f>
        <v>14.1875</v>
      </c>
      <c r="AJ130">
        <f t="shared" si="127"/>
        <v>0</v>
      </c>
      <c r="AK130">
        <v>25578.37</v>
      </c>
      <c r="AL130">
        <v>23370.78</v>
      </c>
      <c r="AM130">
        <v>1250.3</v>
      </c>
      <c r="AN130">
        <v>153.22999999999999</v>
      </c>
      <c r="AO130">
        <v>957.29</v>
      </c>
      <c r="AP130">
        <v>0</v>
      </c>
      <c r="AQ130">
        <v>104.28</v>
      </c>
      <c r="AR130">
        <v>11.35</v>
      </c>
      <c r="AS130">
        <v>0</v>
      </c>
      <c r="AT130">
        <v>106</v>
      </c>
      <c r="AU130">
        <v>54</v>
      </c>
      <c r="AV130">
        <v>1</v>
      </c>
      <c r="AW130">
        <v>1</v>
      </c>
      <c r="AZ130">
        <v>1</v>
      </c>
      <c r="BA130">
        <v>33.049999999999997</v>
      </c>
      <c r="BB130">
        <v>10.36</v>
      </c>
      <c r="BC130">
        <v>4.95</v>
      </c>
      <c r="BD130" t="s">
        <v>3</v>
      </c>
      <c r="BE130" t="s">
        <v>3</v>
      </c>
      <c r="BF130" t="s">
        <v>3</v>
      </c>
      <c r="BG130" t="s">
        <v>3</v>
      </c>
      <c r="BH130">
        <v>0</v>
      </c>
      <c r="BI130">
        <v>1</v>
      </c>
      <c r="BJ130" t="s">
        <v>136</v>
      </c>
      <c r="BM130">
        <v>10001</v>
      </c>
      <c r="BN130">
        <v>0</v>
      </c>
      <c r="BO130" t="s">
        <v>133</v>
      </c>
      <c r="BP130">
        <v>1</v>
      </c>
      <c r="BQ130">
        <v>2</v>
      </c>
      <c r="BR130">
        <v>0</v>
      </c>
      <c r="BS130">
        <v>33.049999999999997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118</v>
      </c>
      <c r="CA130">
        <v>63</v>
      </c>
      <c r="CB130" t="s">
        <v>3</v>
      </c>
      <c r="CE130">
        <v>0</v>
      </c>
      <c r="CF130">
        <v>0</v>
      </c>
      <c r="CG130">
        <v>0</v>
      </c>
      <c r="CM130">
        <v>0</v>
      </c>
      <c r="CN130" t="s">
        <v>608</v>
      </c>
      <c r="CO130">
        <v>0</v>
      </c>
      <c r="CP130">
        <f t="shared" si="128"/>
        <v>3028.7000000000003</v>
      </c>
      <c r="CQ130">
        <f t="shared" si="129"/>
        <v>115685.361</v>
      </c>
      <c r="CR130">
        <f t="shared" si="130"/>
        <v>16191.384999999998</v>
      </c>
      <c r="CS130">
        <f t="shared" si="131"/>
        <v>6330.314374999999</v>
      </c>
      <c r="CT130">
        <f t="shared" si="132"/>
        <v>36384.199674999996</v>
      </c>
      <c r="CU130">
        <f t="shared" si="133"/>
        <v>0</v>
      </c>
      <c r="CV130">
        <f t="shared" si="134"/>
        <v>119.922</v>
      </c>
      <c r="CW130">
        <f t="shared" si="135"/>
        <v>14.1875</v>
      </c>
      <c r="CX130">
        <f t="shared" si="136"/>
        <v>0</v>
      </c>
      <c r="CY130">
        <f t="shared" si="137"/>
        <v>815.00220000000002</v>
      </c>
      <c r="CZ130">
        <f t="shared" si="138"/>
        <v>415.18980000000005</v>
      </c>
      <c r="DC130" t="s">
        <v>3</v>
      </c>
      <c r="DD130" t="s">
        <v>3</v>
      </c>
      <c r="DE130" t="s">
        <v>100</v>
      </c>
      <c r="DF130" t="s">
        <v>100</v>
      </c>
      <c r="DG130" t="s">
        <v>101</v>
      </c>
      <c r="DH130" t="s">
        <v>3</v>
      </c>
      <c r="DI130" t="s">
        <v>101</v>
      </c>
      <c r="DJ130" t="s">
        <v>100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1013</v>
      </c>
      <c r="DV130" t="s">
        <v>135</v>
      </c>
      <c r="DW130" t="s">
        <v>135</v>
      </c>
      <c r="DX130">
        <v>1</v>
      </c>
      <c r="DZ130" t="s">
        <v>3</v>
      </c>
      <c r="EA130" t="s">
        <v>3</v>
      </c>
      <c r="EB130" t="s">
        <v>3</v>
      </c>
      <c r="EC130" t="s">
        <v>3</v>
      </c>
      <c r="EE130">
        <v>36260426</v>
      </c>
      <c r="EF130">
        <v>2</v>
      </c>
      <c r="EG130" t="s">
        <v>102</v>
      </c>
      <c r="EH130">
        <v>0</v>
      </c>
      <c r="EI130" t="s">
        <v>3</v>
      </c>
      <c r="EJ130">
        <v>1</v>
      </c>
      <c r="EK130">
        <v>10001</v>
      </c>
      <c r="EL130" t="s">
        <v>103</v>
      </c>
      <c r="EM130" t="s">
        <v>104</v>
      </c>
      <c r="EO130" t="s">
        <v>105</v>
      </c>
      <c r="EQ130">
        <v>0</v>
      </c>
      <c r="ER130">
        <v>25578.37</v>
      </c>
      <c r="ES130">
        <v>23370.78</v>
      </c>
      <c r="ET130">
        <v>1250.3</v>
      </c>
      <c r="EU130">
        <v>153.22999999999999</v>
      </c>
      <c r="EV130">
        <v>957.29</v>
      </c>
      <c r="EW130">
        <v>104.28</v>
      </c>
      <c r="EX130">
        <v>11.35</v>
      </c>
      <c r="EY130">
        <v>0</v>
      </c>
      <c r="FQ130">
        <v>0</v>
      </c>
      <c r="FR130">
        <f t="shared" si="139"/>
        <v>0</v>
      </c>
      <c r="FS130">
        <v>0</v>
      </c>
      <c r="FT130" t="s">
        <v>106</v>
      </c>
      <c r="FU130" t="s">
        <v>107</v>
      </c>
      <c r="FX130">
        <v>106.2</v>
      </c>
      <c r="FY130">
        <v>53.55</v>
      </c>
      <c r="GA130" t="s">
        <v>3</v>
      </c>
      <c r="GD130">
        <v>1</v>
      </c>
      <c r="GF130">
        <v>-1768343030</v>
      </c>
      <c r="GG130">
        <v>2</v>
      </c>
      <c r="GH130">
        <v>1</v>
      </c>
      <c r="GI130">
        <v>2</v>
      </c>
      <c r="GJ130">
        <v>0</v>
      </c>
      <c r="GK130">
        <v>0</v>
      </c>
      <c r="GL130">
        <f t="shared" si="140"/>
        <v>0</v>
      </c>
      <c r="GM130">
        <f t="shared" si="141"/>
        <v>4258.8900000000003</v>
      </c>
      <c r="GN130">
        <f t="shared" si="142"/>
        <v>4258.8900000000003</v>
      </c>
      <c r="GO130">
        <f t="shared" si="143"/>
        <v>0</v>
      </c>
      <c r="GP130">
        <f t="shared" si="144"/>
        <v>0</v>
      </c>
      <c r="GR130">
        <v>0</v>
      </c>
      <c r="GS130">
        <v>3</v>
      </c>
      <c r="GT130">
        <v>0</v>
      </c>
      <c r="GU130" t="s">
        <v>3</v>
      </c>
      <c r="GV130">
        <f t="shared" si="145"/>
        <v>0</v>
      </c>
      <c r="GW130">
        <v>1</v>
      </c>
      <c r="GX130">
        <f t="shared" si="146"/>
        <v>0</v>
      </c>
      <c r="HA130">
        <v>0</v>
      </c>
      <c r="HB130">
        <v>0</v>
      </c>
      <c r="HC130">
        <f t="shared" si="147"/>
        <v>0</v>
      </c>
      <c r="HE130" t="s">
        <v>3</v>
      </c>
      <c r="HF130" t="s">
        <v>3</v>
      </c>
      <c r="HM130" t="s">
        <v>3</v>
      </c>
      <c r="IK130">
        <v>0</v>
      </c>
    </row>
    <row r="131" spans="1:245">
      <c r="A131">
        <v>18</v>
      </c>
      <c r="B131">
        <v>1</v>
      </c>
      <c r="C131">
        <v>162</v>
      </c>
      <c r="E131" t="s">
        <v>206</v>
      </c>
      <c r="F131" t="s">
        <v>138</v>
      </c>
      <c r="G131" t="s">
        <v>139</v>
      </c>
      <c r="H131" t="s">
        <v>140</v>
      </c>
      <c r="I131">
        <f>I130*J131</f>
        <v>1.8</v>
      </c>
      <c r="J131">
        <v>100.00000000000001</v>
      </c>
      <c r="K131">
        <v>100</v>
      </c>
      <c r="O131">
        <f t="shared" si="113"/>
        <v>9497.0400000000009</v>
      </c>
      <c r="P131">
        <f t="shared" si="114"/>
        <v>9497.0400000000009</v>
      </c>
      <c r="Q131">
        <f t="shared" si="115"/>
        <v>0</v>
      </c>
      <c r="R131">
        <f t="shared" si="116"/>
        <v>0</v>
      </c>
      <c r="S131">
        <f t="shared" si="117"/>
        <v>0</v>
      </c>
      <c r="T131">
        <f t="shared" si="118"/>
        <v>0</v>
      </c>
      <c r="U131">
        <f t="shared" si="119"/>
        <v>0</v>
      </c>
      <c r="V131">
        <f t="shared" si="120"/>
        <v>0</v>
      </c>
      <c r="W131">
        <f t="shared" si="121"/>
        <v>302.02</v>
      </c>
      <c r="X131">
        <f t="shared" si="122"/>
        <v>0</v>
      </c>
      <c r="Y131">
        <f t="shared" si="123"/>
        <v>0</v>
      </c>
      <c r="AA131">
        <v>34132744</v>
      </c>
      <c r="AB131">
        <f t="shared" si="124"/>
        <v>3663.98</v>
      </c>
      <c r="AC131">
        <f t="shared" si="125"/>
        <v>3663.98</v>
      </c>
      <c r="AD131">
        <f>ROUND((((ET131)-(EU131))+AE131),6)</f>
        <v>0</v>
      </c>
      <c r="AE131">
        <f t="shared" ref="AE131:AF133" si="148">ROUND((EU131),6)</f>
        <v>0</v>
      </c>
      <c r="AF131">
        <f t="shared" si="148"/>
        <v>0</v>
      </c>
      <c r="AG131">
        <f t="shared" si="126"/>
        <v>0</v>
      </c>
      <c r="AH131">
        <f t="shared" ref="AH131:AI133" si="149">(EW131)</f>
        <v>0</v>
      </c>
      <c r="AI131">
        <f t="shared" si="149"/>
        <v>0</v>
      </c>
      <c r="AJ131">
        <f t="shared" si="127"/>
        <v>167.79</v>
      </c>
      <c r="AK131">
        <v>3663.98</v>
      </c>
      <c r="AL131">
        <v>3663.98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167.79</v>
      </c>
      <c r="AT131">
        <v>106</v>
      </c>
      <c r="AU131">
        <v>54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1.44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141</v>
      </c>
      <c r="BM131">
        <v>10001</v>
      </c>
      <c r="BN131">
        <v>0</v>
      </c>
      <c r="BO131" t="s">
        <v>138</v>
      </c>
      <c r="BP131">
        <v>1</v>
      </c>
      <c r="BQ131">
        <v>2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118</v>
      </c>
      <c r="CA131">
        <v>63</v>
      </c>
      <c r="CB131" t="s">
        <v>3</v>
      </c>
      <c r="CE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28"/>
        <v>9497.0400000000009</v>
      </c>
      <c r="CQ131">
        <f t="shared" si="129"/>
        <v>5276.1311999999998</v>
      </c>
      <c r="CR131">
        <f t="shared" si="130"/>
        <v>0</v>
      </c>
      <c r="CS131">
        <f t="shared" si="131"/>
        <v>0</v>
      </c>
      <c r="CT131">
        <f t="shared" si="132"/>
        <v>0</v>
      </c>
      <c r="CU131">
        <f t="shared" si="133"/>
        <v>0</v>
      </c>
      <c r="CV131">
        <f t="shared" si="134"/>
        <v>0</v>
      </c>
      <c r="CW131">
        <f t="shared" si="135"/>
        <v>0</v>
      </c>
      <c r="CX131">
        <f t="shared" si="136"/>
        <v>167.79</v>
      </c>
      <c r="CY131">
        <f t="shared" si="137"/>
        <v>0</v>
      </c>
      <c r="CZ131">
        <f t="shared" si="138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1005</v>
      </c>
      <c r="DV131" t="s">
        <v>140</v>
      </c>
      <c r="DW131" t="s">
        <v>140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36260426</v>
      </c>
      <c r="EF131">
        <v>2</v>
      </c>
      <c r="EG131" t="s">
        <v>102</v>
      </c>
      <c r="EH131">
        <v>0</v>
      </c>
      <c r="EI131" t="s">
        <v>3</v>
      </c>
      <c r="EJ131">
        <v>1</v>
      </c>
      <c r="EK131">
        <v>10001</v>
      </c>
      <c r="EL131" t="s">
        <v>103</v>
      </c>
      <c r="EM131" t="s">
        <v>104</v>
      </c>
      <c r="EO131" t="s">
        <v>3</v>
      </c>
      <c r="EQ131">
        <v>0</v>
      </c>
      <c r="ER131">
        <v>3663.98</v>
      </c>
      <c r="ES131">
        <v>3663.98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f t="shared" si="139"/>
        <v>0</v>
      </c>
      <c r="FS131">
        <v>0</v>
      </c>
      <c r="FT131" t="s">
        <v>106</v>
      </c>
      <c r="FU131" t="s">
        <v>107</v>
      </c>
      <c r="FX131">
        <v>106.2</v>
      </c>
      <c r="FY131">
        <v>53.55</v>
      </c>
      <c r="GA131" t="s">
        <v>3</v>
      </c>
      <c r="GD131">
        <v>1</v>
      </c>
      <c r="GF131">
        <v>2094041149</v>
      </c>
      <c r="GG131">
        <v>2</v>
      </c>
      <c r="GH131">
        <v>1</v>
      </c>
      <c r="GI131">
        <v>2</v>
      </c>
      <c r="GJ131">
        <v>0</v>
      </c>
      <c r="GK131">
        <v>0</v>
      </c>
      <c r="GL131">
        <f t="shared" si="140"/>
        <v>0</v>
      </c>
      <c r="GM131">
        <f t="shared" si="141"/>
        <v>9497.0400000000009</v>
      </c>
      <c r="GN131">
        <f t="shared" si="142"/>
        <v>9497.0400000000009</v>
      </c>
      <c r="GO131">
        <f t="shared" si="143"/>
        <v>0</v>
      </c>
      <c r="GP131">
        <f t="shared" si="144"/>
        <v>0</v>
      </c>
      <c r="GR131">
        <v>0</v>
      </c>
      <c r="GS131">
        <v>3</v>
      </c>
      <c r="GT131">
        <v>0</v>
      </c>
      <c r="GU131" t="s">
        <v>3</v>
      </c>
      <c r="GV131">
        <f t="shared" si="145"/>
        <v>0</v>
      </c>
      <c r="GW131">
        <v>1</v>
      </c>
      <c r="GX131">
        <f t="shared" si="146"/>
        <v>0</v>
      </c>
      <c r="HA131">
        <v>0</v>
      </c>
      <c r="HB131">
        <v>0</v>
      </c>
      <c r="HC131">
        <f t="shared" si="147"/>
        <v>0</v>
      </c>
      <c r="HE131" t="s">
        <v>3</v>
      </c>
      <c r="HF131" t="s">
        <v>3</v>
      </c>
      <c r="HM131" t="s">
        <v>3</v>
      </c>
      <c r="IK131">
        <v>0</v>
      </c>
    </row>
    <row r="132" spans="1:245">
      <c r="A132">
        <v>17</v>
      </c>
      <c r="B132">
        <v>1</v>
      </c>
      <c r="C132">
        <f>ROW(SmtRes!A169)</f>
        <v>169</v>
      </c>
      <c r="D132">
        <f>ROW(EtalonRes!A172)</f>
        <v>172</v>
      </c>
      <c r="E132" t="s">
        <v>207</v>
      </c>
      <c r="F132" t="s">
        <v>208</v>
      </c>
      <c r="G132" t="s">
        <v>209</v>
      </c>
      <c r="H132" t="s">
        <v>210</v>
      </c>
      <c r="I132">
        <f>ROUND(7/100,9)</f>
        <v>7.0000000000000007E-2</v>
      </c>
      <c r="J132">
        <v>0</v>
      </c>
      <c r="K132">
        <f>ROUND(7/100,9)</f>
        <v>7.0000000000000007E-2</v>
      </c>
      <c r="O132">
        <f t="shared" si="113"/>
        <v>909.02</v>
      </c>
      <c r="P132">
        <f t="shared" si="114"/>
        <v>37.35</v>
      </c>
      <c r="Q132">
        <f t="shared" si="115"/>
        <v>2.81</v>
      </c>
      <c r="R132">
        <f t="shared" si="116"/>
        <v>0</v>
      </c>
      <c r="S132">
        <f t="shared" si="117"/>
        <v>868.86</v>
      </c>
      <c r="T132">
        <f t="shared" si="118"/>
        <v>0</v>
      </c>
      <c r="U132">
        <f t="shared" si="119"/>
        <v>3.3109999999999999</v>
      </c>
      <c r="V132">
        <f t="shared" si="120"/>
        <v>0</v>
      </c>
      <c r="W132">
        <f t="shared" si="121"/>
        <v>0</v>
      </c>
      <c r="X132">
        <f t="shared" si="122"/>
        <v>660.33</v>
      </c>
      <c r="Y132">
        <f t="shared" si="123"/>
        <v>521.32000000000005</v>
      </c>
      <c r="AA132">
        <v>34132744</v>
      </c>
      <c r="AB132">
        <f t="shared" si="124"/>
        <v>428.59</v>
      </c>
      <c r="AC132">
        <f t="shared" si="125"/>
        <v>47.39</v>
      </c>
      <c r="AD132">
        <f>ROUND((((ET132)-(EU132))+AE132),6)</f>
        <v>5.64</v>
      </c>
      <c r="AE132">
        <f t="shared" si="148"/>
        <v>0</v>
      </c>
      <c r="AF132">
        <f t="shared" si="148"/>
        <v>375.56</v>
      </c>
      <c r="AG132">
        <f t="shared" si="126"/>
        <v>0</v>
      </c>
      <c r="AH132">
        <f t="shared" si="149"/>
        <v>47.3</v>
      </c>
      <c r="AI132">
        <f t="shared" si="149"/>
        <v>0</v>
      </c>
      <c r="AJ132">
        <f t="shared" si="127"/>
        <v>0</v>
      </c>
      <c r="AK132">
        <v>428.59</v>
      </c>
      <c r="AL132">
        <v>47.39</v>
      </c>
      <c r="AM132">
        <v>5.64</v>
      </c>
      <c r="AN132">
        <v>0</v>
      </c>
      <c r="AO132">
        <v>375.56</v>
      </c>
      <c r="AP132">
        <v>0</v>
      </c>
      <c r="AQ132">
        <v>47.3</v>
      </c>
      <c r="AR132">
        <v>0</v>
      </c>
      <c r="AS132">
        <v>0</v>
      </c>
      <c r="AT132">
        <v>76</v>
      </c>
      <c r="AU132">
        <v>60</v>
      </c>
      <c r="AV132">
        <v>1</v>
      </c>
      <c r="AW132">
        <v>1</v>
      </c>
      <c r="AZ132">
        <v>1</v>
      </c>
      <c r="BA132">
        <v>33.049999999999997</v>
      </c>
      <c r="BB132">
        <v>7.12</v>
      </c>
      <c r="BC132">
        <v>11.26</v>
      </c>
      <c r="BD132" t="s">
        <v>3</v>
      </c>
      <c r="BE132" t="s">
        <v>3</v>
      </c>
      <c r="BF132" t="s">
        <v>3</v>
      </c>
      <c r="BG132" t="s">
        <v>3</v>
      </c>
      <c r="BH132">
        <v>0</v>
      </c>
      <c r="BI132">
        <v>1</v>
      </c>
      <c r="BJ132" t="s">
        <v>211</v>
      </c>
      <c r="BM132">
        <v>59001</v>
      </c>
      <c r="BN132">
        <v>0</v>
      </c>
      <c r="BO132" t="s">
        <v>208</v>
      </c>
      <c r="BP132">
        <v>1</v>
      </c>
      <c r="BQ132">
        <v>6</v>
      </c>
      <c r="BR132">
        <v>0</v>
      </c>
      <c r="BS132">
        <v>33.049999999999997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</v>
      </c>
      <c r="BZ132">
        <v>76</v>
      </c>
      <c r="CA132">
        <v>60</v>
      </c>
      <c r="CB132" t="s">
        <v>3</v>
      </c>
      <c r="CE132">
        <v>0</v>
      </c>
      <c r="CF132">
        <v>0</v>
      </c>
      <c r="CG132">
        <v>0</v>
      </c>
      <c r="CM132">
        <v>0</v>
      </c>
      <c r="CN132" t="s">
        <v>3</v>
      </c>
      <c r="CO132">
        <v>0</v>
      </c>
      <c r="CP132">
        <f t="shared" si="128"/>
        <v>909.02</v>
      </c>
      <c r="CQ132">
        <f t="shared" si="129"/>
        <v>533.6114</v>
      </c>
      <c r="CR132">
        <f t="shared" si="130"/>
        <v>40.156799999999997</v>
      </c>
      <c r="CS132">
        <f t="shared" si="131"/>
        <v>0</v>
      </c>
      <c r="CT132">
        <f t="shared" si="132"/>
        <v>12412.258</v>
      </c>
      <c r="CU132">
        <f t="shared" si="133"/>
        <v>0</v>
      </c>
      <c r="CV132">
        <f t="shared" si="134"/>
        <v>47.3</v>
      </c>
      <c r="CW132">
        <f t="shared" si="135"/>
        <v>0</v>
      </c>
      <c r="CX132">
        <f t="shared" si="136"/>
        <v>0</v>
      </c>
      <c r="CY132">
        <f t="shared" si="137"/>
        <v>660.33360000000005</v>
      </c>
      <c r="CZ132">
        <f t="shared" si="138"/>
        <v>521.31600000000003</v>
      </c>
      <c r="DC132" t="s">
        <v>3</v>
      </c>
      <c r="DD132" t="s">
        <v>3</v>
      </c>
      <c r="DE132" t="s">
        <v>3</v>
      </c>
      <c r="DF132" t="s">
        <v>3</v>
      </c>
      <c r="DG132" t="s">
        <v>3</v>
      </c>
      <c r="DH132" t="s">
        <v>3</v>
      </c>
      <c r="DI132" t="s">
        <v>3</v>
      </c>
      <c r="DJ132" t="s">
        <v>3</v>
      </c>
      <c r="DK132" t="s">
        <v>3</v>
      </c>
      <c r="DL132" t="s">
        <v>3</v>
      </c>
      <c r="DM132" t="s">
        <v>3</v>
      </c>
      <c r="DN132">
        <v>0</v>
      </c>
      <c r="DO132">
        <v>0</v>
      </c>
      <c r="DP132">
        <v>1</v>
      </c>
      <c r="DQ132">
        <v>1</v>
      </c>
      <c r="DU132">
        <v>1013</v>
      </c>
      <c r="DV132" t="s">
        <v>210</v>
      </c>
      <c r="DW132" t="s">
        <v>210</v>
      </c>
      <c r="DX132">
        <v>1</v>
      </c>
      <c r="DZ132" t="s">
        <v>3</v>
      </c>
      <c r="EA132" t="s">
        <v>3</v>
      </c>
      <c r="EB132" t="s">
        <v>3</v>
      </c>
      <c r="EC132" t="s">
        <v>3</v>
      </c>
      <c r="EE132">
        <v>36260507</v>
      </c>
      <c r="EF132">
        <v>6</v>
      </c>
      <c r="EG132" t="s">
        <v>20</v>
      </c>
      <c r="EH132">
        <v>0</v>
      </c>
      <c r="EI132" t="s">
        <v>3</v>
      </c>
      <c r="EJ132">
        <v>1</v>
      </c>
      <c r="EK132">
        <v>59001</v>
      </c>
      <c r="EL132" t="s">
        <v>212</v>
      </c>
      <c r="EM132" t="s">
        <v>213</v>
      </c>
      <c r="EO132" t="s">
        <v>3</v>
      </c>
      <c r="EQ132">
        <v>0</v>
      </c>
      <c r="ER132">
        <v>428.59</v>
      </c>
      <c r="ES132">
        <v>47.39</v>
      </c>
      <c r="ET132">
        <v>5.64</v>
      </c>
      <c r="EU132">
        <v>0</v>
      </c>
      <c r="EV132">
        <v>375.56</v>
      </c>
      <c r="EW132">
        <v>47.3</v>
      </c>
      <c r="EX132">
        <v>0</v>
      </c>
      <c r="EY132">
        <v>0</v>
      </c>
      <c r="FQ132">
        <v>0</v>
      </c>
      <c r="FR132">
        <f t="shared" si="139"/>
        <v>0</v>
      </c>
      <c r="FS132">
        <v>0</v>
      </c>
      <c r="FX132">
        <v>76</v>
      </c>
      <c r="FY132">
        <v>60</v>
      </c>
      <c r="GA132" t="s">
        <v>3</v>
      </c>
      <c r="GD132">
        <v>1</v>
      </c>
      <c r="GF132">
        <v>1651621324</v>
      </c>
      <c r="GG132">
        <v>2</v>
      </c>
      <c r="GH132">
        <v>1</v>
      </c>
      <c r="GI132">
        <v>2</v>
      </c>
      <c r="GJ132">
        <v>0</v>
      </c>
      <c r="GK132">
        <v>0</v>
      </c>
      <c r="GL132">
        <f t="shared" si="140"/>
        <v>0</v>
      </c>
      <c r="GM132">
        <f t="shared" si="141"/>
        <v>2090.67</v>
      </c>
      <c r="GN132">
        <f t="shared" si="142"/>
        <v>2090.67</v>
      </c>
      <c r="GO132">
        <f t="shared" si="143"/>
        <v>0</v>
      </c>
      <c r="GP132">
        <f t="shared" si="144"/>
        <v>0</v>
      </c>
      <c r="GR132">
        <v>0</v>
      </c>
      <c r="GS132">
        <v>3</v>
      </c>
      <c r="GT132">
        <v>0</v>
      </c>
      <c r="GU132" t="s">
        <v>3</v>
      </c>
      <c r="GV132">
        <f t="shared" si="145"/>
        <v>0</v>
      </c>
      <c r="GW132">
        <v>1</v>
      </c>
      <c r="GX132">
        <f t="shared" si="146"/>
        <v>0</v>
      </c>
      <c r="HA132">
        <v>0</v>
      </c>
      <c r="HB132">
        <v>0</v>
      </c>
      <c r="HC132">
        <f t="shared" si="147"/>
        <v>0</v>
      </c>
      <c r="HE132" t="s">
        <v>3</v>
      </c>
      <c r="HF132" t="s">
        <v>3</v>
      </c>
      <c r="HM132" t="s">
        <v>3</v>
      </c>
      <c r="IK132">
        <v>0</v>
      </c>
    </row>
    <row r="133" spans="1:245">
      <c r="A133">
        <v>18</v>
      </c>
      <c r="B133">
        <v>1</v>
      </c>
      <c r="C133">
        <v>169</v>
      </c>
      <c r="E133" t="s">
        <v>214</v>
      </c>
      <c r="F133" t="s">
        <v>24</v>
      </c>
      <c r="G133" t="s">
        <v>25</v>
      </c>
      <c r="H133" t="s">
        <v>26</v>
      </c>
      <c r="I133">
        <f>I132*J133</f>
        <v>0.17499999999999999</v>
      </c>
      <c r="J133">
        <v>2.4999999999999996</v>
      </c>
      <c r="K133">
        <v>2.5</v>
      </c>
      <c r="O133">
        <f t="shared" si="113"/>
        <v>0</v>
      </c>
      <c r="P133">
        <f t="shared" si="114"/>
        <v>0</v>
      </c>
      <c r="Q133">
        <f t="shared" si="115"/>
        <v>0</v>
      </c>
      <c r="R133">
        <f t="shared" si="116"/>
        <v>0</v>
      </c>
      <c r="S133">
        <f t="shared" si="117"/>
        <v>0</v>
      </c>
      <c r="T133">
        <f t="shared" si="118"/>
        <v>0</v>
      </c>
      <c r="U133">
        <f t="shared" si="119"/>
        <v>0</v>
      </c>
      <c r="V133">
        <f t="shared" si="120"/>
        <v>0</v>
      </c>
      <c r="W133">
        <f t="shared" si="121"/>
        <v>0</v>
      </c>
      <c r="X133">
        <f t="shared" si="122"/>
        <v>0</v>
      </c>
      <c r="Y133">
        <f t="shared" si="123"/>
        <v>0</v>
      </c>
      <c r="AA133">
        <v>34132744</v>
      </c>
      <c r="AB133">
        <f t="shared" si="124"/>
        <v>0</v>
      </c>
      <c r="AC133">
        <f t="shared" si="125"/>
        <v>0</v>
      </c>
      <c r="AD133">
        <f>ROUND((((ET133)-(EU133))+AE133),6)</f>
        <v>0</v>
      </c>
      <c r="AE133">
        <f t="shared" si="148"/>
        <v>0</v>
      </c>
      <c r="AF133">
        <f t="shared" si="148"/>
        <v>0</v>
      </c>
      <c r="AG133">
        <f t="shared" si="126"/>
        <v>0</v>
      </c>
      <c r="AH133">
        <f t="shared" si="149"/>
        <v>0</v>
      </c>
      <c r="AI133">
        <f t="shared" si="149"/>
        <v>0</v>
      </c>
      <c r="AJ133">
        <f t="shared" si="127"/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76</v>
      </c>
      <c r="AU133">
        <v>60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1</v>
      </c>
      <c r="BJ133" t="s">
        <v>27</v>
      </c>
      <c r="BM133">
        <v>59001</v>
      </c>
      <c r="BN133">
        <v>0</v>
      </c>
      <c r="BO133" t="s">
        <v>3</v>
      </c>
      <c r="BP133">
        <v>0</v>
      </c>
      <c r="BQ133">
        <v>6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76</v>
      </c>
      <c r="CA133">
        <v>60</v>
      </c>
      <c r="CB133" t="s">
        <v>3</v>
      </c>
      <c r="CE133">
        <v>0</v>
      </c>
      <c r="CF133">
        <v>0</v>
      </c>
      <c r="CG133">
        <v>0</v>
      </c>
      <c r="CM133">
        <v>0</v>
      </c>
      <c r="CN133" t="s">
        <v>3</v>
      </c>
      <c r="CO133">
        <v>0</v>
      </c>
      <c r="CP133">
        <f t="shared" si="128"/>
        <v>0</v>
      </c>
      <c r="CQ133">
        <f t="shared" si="129"/>
        <v>0</v>
      </c>
      <c r="CR133">
        <f t="shared" si="130"/>
        <v>0</v>
      </c>
      <c r="CS133">
        <f t="shared" si="131"/>
        <v>0</v>
      </c>
      <c r="CT133">
        <f t="shared" si="132"/>
        <v>0</v>
      </c>
      <c r="CU133">
        <f t="shared" si="133"/>
        <v>0</v>
      </c>
      <c r="CV133">
        <f t="shared" si="134"/>
        <v>0</v>
      </c>
      <c r="CW133">
        <f t="shared" si="135"/>
        <v>0</v>
      </c>
      <c r="CX133">
        <f t="shared" si="136"/>
        <v>0</v>
      </c>
      <c r="CY133">
        <f t="shared" si="137"/>
        <v>0</v>
      </c>
      <c r="CZ133">
        <f t="shared" si="138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1009</v>
      </c>
      <c r="DV133" t="s">
        <v>26</v>
      </c>
      <c r="DW133" t="s">
        <v>26</v>
      </c>
      <c r="DX133">
        <v>1000</v>
      </c>
      <c r="DZ133" t="s">
        <v>3</v>
      </c>
      <c r="EA133" t="s">
        <v>3</v>
      </c>
      <c r="EB133" t="s">
        <v>3</v>
      </c>
      <c r="EC133" t="s">
        <v>3</v>
      </c>
      <c r="EE133">
        <v>36260507</v>
      </c>
      <c r="EF133">
        <v>6</v>
      </c>
      <c r="EG133" t="s">
        <v>20</v>
      </c>
      <c r="EH133">
        <v>0</v>
      </c>
      <c r="EI133" t="s">
        <v>3</v>
      </c>
      <c r="EJ133">
        <v>1</v>
      </c>
      <c r="EK133">
        <v>59001</v>
      </c>
      <c r="EL133" t="s">
        <v>212</v>
      </c>
      <c r="EM133" t="s">
        <v>213</v>
      </c>
      <c r="EO133" t="s">
        <v>3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FQ133">
        <v>0</v>
      </c>
      <c r="FR133">
        <f t="shared" si="139"/>
        <v>0</v>
      </c>
      <c r="FS133">
        <v>0</v>
      </c>
      <c r="FX133">
        <v>76</v>
      </c>
      <c r="FY133">
        <v>60</v>
      </c>
      <c r="GA133" t="s">
        <v>3</v>
      </c>
      <c r="GD133">
        <v>1</v>
      </c>
      <c r="GF133">
        <v>-304821490</v>
      </c>
      <c r="GG133">
        <v>2</v>
      </c>
      <c r="GH133">
        <v>1</v>
      </c>
      <c r="GI133">
        <v>-2</v>
      </c>
      <c r="GJ133">
        <v>0</v>
      </c>
      <c r="GK133">
        <v>0</v>
      </c>
      <c r="GL133">
        <f t="shared" si="140"/>
        <v>0</v>
      </c>
      <c r="GM133">
        <f t="shared" si="141"/>
        <v>0</v>
      </c>
      <c r="GN133">
        <f t="shared" si="142"/>
        <v>0</v>
      </c>
      <c r="GO133">
        <f t="shared" si="143"/>
        <v>0</v>
      </c>
      <c r="GP133">
        <f t="shared" si="144"/>
        <v>0</v>
      </c>
      <c r="GR133">
        <v>0</v>
      </c>
      <c r="GS133">
        <v>3</v>
      </c>
      <c r="GT133">
        <v>0</v>
      </c>
      <c r="GU133" t="s">
        <v>3</v>
      </c>
      <c r="GV133">
        <f t="shared" si="145"/>
        <v>0</v>
      </c>
      <c r="GW133">
        <v>1</v>
      </c>
      <c r="GX133">
        <f t="shared" si="146"/>
        <v>0</v>
      </c>
      <c r="HA133">
        <v>0</v>
      </c>
      <c r="HB133">
        <v>0</v>
      </c>
      <c r="HC133">
        <f t="shared" si="147"/>
        <v>0</v>
      </c>
      <c r="HE133" t="s">
        <v>3</v>
      </c>
      <c r="HF133" t="s">
        <v>3</v>
      </c>
      <c r="HM133" t="s">
        <v>3</v>
      </c>
      <c r="IK133">
        <v>0</v>
      </c>
    </row>
    <row r="134" spans="1:245">
      <c r="A134">
        <v>17</v>
      </c>
      <c r="B134">
        <v>1</v>
      </c>
      <c r="C134">
        <f>ROW(SmtRes!A174)</f>
        <v>174</v>
      </c>
      <c r="D134">
        <f>ROW(EtalonRes!A177)</f>
        <v>177</v>
      </c>
      <c r="E134" t="s">
        <v>155</v>
      </c>
      <c r="F134" t="s">
        <v>215</v>
      </c>
      <c r="G134" t="s">
        <v>216</v>
      </c>
      <c r="H134" t="s">
        <v>217</v>
      </c>
      <c r="I134">
        <f>ROUND(7/100,9)</f>
        <v>7.0000000000000007E-2</v>
      </c>
      <c r="J134">
        <v>0</v>
      </c>
      <c r="K134">
        <f>ROUND(7/100,9)</f>
        <v>7.0000000000000007E-2</v>
      </c>
      <c r="O134">
        <f t="shared" si="113"/>
        <v>809.98</v>
      </c>
      <c r="P134">
        <f t="shared" si="114"/>
        <v>29.13</v>
      </c>
      <c r="Q134">
        <f t="shared" si="115"/>
        <v>102.44</v>
      </c>
      <c r="R134">
        <f t="shared" si="116"/>
        <v>18.36</v>
      </c>
      <c r="S134">
        <f t="shared" si="117"/>
        <v>678.41</v>
      </c>
      <c r="T134">
        <f t="shared" si="118"/>
        <v>0</v>
      </c>
      <c r="U134">
        <f t="shared" si="119"/>
        <v>2.3167900000000001</v>
      </c>
      <c r="V134">
        <f t="shared" si="120"/>
        <v>4.1124999999999995E-2</v>
      </c>
      <c r="W134">
        <f t="shared" si="121"/>
        <v>0</v>
      </c>
      <c r="X134">
        <f t="shared" si="122"/>
        <v>738.58</v>
      </c>
      <c r="Y134">
        <f t="shared" si="123"/>
        <v>376.26</v>
      </c>
      <c r="AA134">
        <v>34132744</v>
      </c>
      <c r="AB134">
        <f t="shared" si="124"/>
        <v>526.58349999999996</v>
      </c>
      <c r="AC134">
        <f t="shared" si="125"/>
        <v>91.27</v>
      </c>
      <c r="AD134">
        <f>ROUND(((((ET134*1.25))-((EU134*1.25)))+AE134),6)</f>
        <v>142.07499999999999</v>
      </c>
      <c r="AE134">
        <f>ROUND(((EU134*1.25)),6)</f>
        <v>7.9375</v>
      </c>
      <c r="AF134">
        <f>ROUND(((EV134*1.15)),6)</f>
        <v>293.23849999999999</v>
      </c>
      <c r="AG134">
        <f t="shared" si="126"/>
        <v>0</v>
      </c>
      <c r="AH134">
        <f>((EW134*1.15))</f>
        <v>33.097000000000001</v>
      </c>
      <c r="AI134">
        <f>((EX134*1.25))</f>
        <v>0.58749999999999991</v>
      </c>
      <c r="AJ134">
        <f t="shared" si="127"/>
        <v>0</v>
      </c>
      <c r="AK134">
        <v>459.92</v>
      </c>
      <c r="AL134">
        <v>91.27</v>
      </c>
      <c r="AM134">
        <v>113.66</v>
      </c>
      <c r="AN134">
        <v>6.35</v>
      </c>
      <c r="AO134">
        <v>254.99</v>
      </c>
      <c r="AP134">
        <v>0</v>
      </c>
      <c r="AQ134">
        <v>28.78</v>
      </c>
      <c r="AR134">
        <v>0.47</v>
      </c>
      <c r="AS134">
        <v>0</v>
      </c>
      <c r="AT134">
        <v>106</v>
      </c>
      <c r="AU134">
        <v>54</v>
      </c>
      <c r="AV134">
        <v>1</v>
      </c>
      <c r="AW134">
        <v>1</v>
      </c>
      <c r="AZ134">
        <v>1</v>
      </c>
      <c r="BA134">
        <v>33.049999999999997</v>
      </c>
      <c r="BB134">
        <v>10.3</v>
      </c>
      <c r="BC134">
        <v>4.5599999999999996</v>
      </c>
      <c r="BD134" t="s">
        <v>3</v>
      </c>
      <c r="BE134" t="s">
        <v>3</v>
      </c>
      <c r="BF134" t="s">
        <v>3</v>
      </c>
      <c r="BG134" t="s">
        <v>3</v>
      </c>
      <c r="BH134">
        <v>0</v>
      </c>
      <c r="BI134">
        <v>1</v>
      </c>
      <c r="BJ134" t="s">
        <v>218</v>
      </c>
      <c r="BM134">
        <v>10001</v>
      </c>
      <c r="BN134">
        <v>0</v>
      </c>
      <c r="BO134" t="s">
        <v>215</v>
      </c>
      <c r="BP134">
        <v>1</v>
      </c>
      <c r="BQ134">
        <v>2</v>
      </c>
      <c r="BR134">
        <v>0</v>
      </c>
      <c r="BS134">
        <v>33.049999999999997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</v>
      </c>
      <c r="BZ134">
        <v>118</v>
      </c>
      <c r="CA134">
        <v>63</v>
      </c>
      <c r="CB134" t="s">
        <v>3</v>
      </c>
      <c r="CE134">
        <v>0</v>
      </c>
      <c r="CF134">
        <v>0</v>
      </c>
      <c r="CG134">
        <v>0</v>
      </c>
      <c r="CM134">
        <v>0</v>
      </c>
      <c r="CN134" t="s">
        <v>608</v>
      </c>
      <c r="CO134">
        <v>0</v>
      </c>
      <c r="CP134">
        <f t="shared" si="128"/>
        <v>809.98</v>
      </c>
      <c r="CQ134">
        <f t="shared" si="129"/>
        <v>416.19119999999992</v>
      </c>
      <c r="CR134">
        <f t="shared" si="130"/>
        <v>1463.3724999999999</v>
      </c>
      <c r="CS134">
        <f t="shared" si="131"/>
        <v>262.33437499999997</v>
      </c>
      <c r="CT134">
        <f t="shared" si="132"/>
        <v>9691.5324249999994</v>
      </c>
      <c r="CU134">
        <f t="shared" si="133"/>
        <v>0</v>
      </c>
      <c r="CV134">
        <f t="shared" si="134"/>
        <v>33.097000000000001</v>
      </c>
      <c r="CW134">
        <f t="shared" si="135"/>
        <v>0.58749999999999991</v>
      </c>
      <c r="CX134">
        <f t="shared" si="136"/>
        <v>0</v>
      </c>
      <c r="CY134">
        <f t="shared" si="137"/>
        <v>738.57619999999997</v>
      </c>
      <c r="CZ134">
        <f t="shared" si="138"/>
        <v>376.25580000000002</v>
      </c>
      <c r="DC134" t="s">
        <v>3</v>
      </c>
      <c r="DD134" t="s">
        <v>3</v>
      </c>
      <c r="DE134" t="s">
        <v>100</v>
      </c>
      <c r="DF134" t="s">
        <v>100</v>
      </c>
      <c r="DG134" t="s">
        <v>101</v>
      </c>
      <c r="DH134" t="s">
        <v>3</v>
      </c>
      <c r="DI134" t="s">
        <v>101</v>
      </c>
      <c r="DJ134" t="s">
        <v>100</v>
      </c>
      <c r="DK134" t="s">
        <v>3</v>
      </c>
      <c r="DL134" t="s">
        <v>3</v>
      </c>
      <c r="DM134" t="s">
        <v>3</v>
      </c>
      <c r="DN134">
        <v>0</v>
      </c>
      <c r="DO134">
        <v>0</v>
      </c>
      <c r="DP134">
        <v>1</v>
      </c>
      <c r="DQ134">
        <v>1</v>
      </c>
      <c r="DU134">
        <v>1013</v>
      </c>
      <c r="DV134" t="s">
        <v>217</v>
      </c>
      <c r="DW134" t="s">
        <v>217</v>
      </c>
      <c r="DX134">
        <v>1</v>
      </c>
      <c r="DZ134" t="s">
        <v>3</v>
      </c>
      <c r="EA134" t="s">
        <v>3</v>
      </c>
      <c r="EB134" t="s">
        <v>3</v>
      </c>
      <c r="EC134" t="s">
        <v>3</v>
      </c>
      <c r="EE134">
        <v>36260426</v>
      </c>
      <c r="EF134">
        <v>2</v>
      </c>
      <c r="EG134" t="s">
        <v>102</v>
      </c>
      <c r="EH134">
        <v>0</v>
      </c>
      <c r="EI134" t="s">
        <v>3</v>
      </c>
      <c r="EJ134">
        <v>1</v>
      </c>
      <c r="EK134">
        <v>10001</v>
      </c>
      <c r="EL134" t="s">
        <v>103</v>
      </c>
      <c r="EM134" t="s">
        <v>104</v>
      </c>
      <c r="EO134" t="s">
        <v>105</v>
      </c>
      <c r="EQ134">
        <v>0</v>
      </c>
      <c r="ER134">
        <v>459.92</v>
      </c>
      <c r="ES134">
        <v>91.27</v>
      </c>
      <c r="ET134">
        <v>113.66</v>
      </c>
      <c r="EU134">
        <v>6.35</v>
      </c>
      <c r="EV134">
        <v>254.99</v>
      </c>
      <c r="EW134">
        <v>28.78</v>
      </c>
      <c r="EX134">
        <v>0.47</v>
      </c>
      <c r="EY134">
        <v>0</v>
      </c>
      <c r="FQ134">
        <v>0</v>
      </c>
      <c r="FR134">
        <f t="shared" si="139"/>
        <v>0</v>
      </c>
      <c r="FS134">
        <v>0</v>
      </c>
      <c r="FT134" t="s">
        <v>106</v>
      </c>
      <c r="FU134" t="s">
        <v>107</v>
      </c>
      <c r="FX134">
        <v>106.2</v>
      </c>
      <c r="FY134">
        <v>53.55</v>
      </c>
      <c r="GA134" t="s">
        <v>3</v>
      </c>
      <c r="GD134">
        <v>1</v>
      </c>
      <c r="GF134">
        <v>1399061588</v>
      </c>
      <c r="GG134">
        <v>2</v>
      </c>
      <c r="GH134">
        <v>1</v>
      </c>
      <c r="GI134">
        <v>2</v>
      </c>
      <c r="GJ134">
        <v>0</v>
      </c>
      <c r="GK134">
        <v>0</v>
      </c>
      <c r="GL134">
        <f t="shared" si="140"/>
        <v>0</v>
      </c>
      <c r="GM134">
        <f t="shared" si="141"/>
        <v>1924.82</v>
      </c>
      <c r="GN134">
        <f t="shared" si="142"/>
        <v>1924.82</v>
      </c>
      <c r="GO134">
        <f t="shared" si="143"/>
        <v>0</v>
      </c>
      <c r="GP134">
        <f t="shared" si="144"/>
        <v>0</v>
      </c>
      <c r="GR134">
        <v>0</v>
      </c>
      <c r="GS134">
        <v>3</v>
      </c>
      <c r="GT134">
        <v>0</v>
      </c>
      <c r="GU134" t="s">
        <v>3</v>
      </c>
      <c r="GV134">
        <f t="shared" si="145"/>
        <v>0</v>
      </c>
      <c r="GW134">
        <v>1</v>
      </c>
      <c r="GX134">
        <f t="shared" si="146"/>
        <v>0</v>
      </c>
      <c r="HA134">
        <v>0</v>
      </c>
      <c r="HB134">
        <v>0</v>
      </c>
      <c r="HC134">
        <f t="shared" si="147"/>
        <v>0</v>
      </c>
      <c r="HE134" t="s">
        <v>3</v>
      </c>
      <c r="HF134" t="s">
        <v>3</v>
      </c>
      <c r="HM134" t="s">
        <v>3</v>
      </c>
      <c r="IK134">
        <v>0</v>
      </c>
    </row>
    <row r="135" spans="1:245">
      <c r="A135">
        <v>17</v>
      </c>
      <c r="B135">
        <v>1</v>
      </c>
      <c r="E135" t="s">
        <v>219</v>
      </c>
      <c r="F135" t="s">
        <v>220</v>
      </c>
      <c r="G135" t="s">
        <v>221</v>
      </c>
      <c r="H135" t="s">
        <v>26</v>
      </c>
      <c r="I135">
        <v>7.0000000000000007E-2</v>
      </c>
      <c r="J135">
        <v>0</v>
      </c>
      <c r="K135">
        <v>7.0000000000000007E-2</v>
      </c>
      <c r="O135">
        <f t="shared" si="113"/>
        <v>5315.6</v>
      </c>
      <c r="P135">
        <f t="shared" si="114"/>
        <v>5315.6</v>
      </c>
      <c r="Q135">
        <f t="shared" si="115"/>
        <v>0</v>
      </c>
      <c r="R135">
        <f t="shared" si="116"/>
        <v>0</v>
      </c>
      <c r="S135">
        <f t="shared" si="117"/>
        <v>0</v>
      </c>
      <c r="T135">
        <f t="shared" si="118"/>
        <v>0</v>
      </c>
      <c r="U135">
        <f t="shared" si="119"/>
        <v>0</v>
      </c>
      <c r="V135">
        <f t="shared" si="120"/>
        <v>0</v>
      </c>
      <c r="W135">
        <f t="shared" si="121"/>
        <v>24.57</v>
      </c>
      <c r="X135">
        <f t="shared" si="122"/>
        <v>0</v>
      </c>
      <c r="Y135">
        <f t="shared" si="123"/>
        <v>0</v>
      </c>
      <c r="AA135">
        <v>34132744</v>
      </c>
      <c r="AB135">
        <f t="shared" si="124"/>
        <v>7571</v>
      </c>
      <c r="AC135">
        <f t="shared" si="125"/>
        <v>7571</v>
      </c>
      <c r="AD135">
        <f>ROUND((((ET135)-(EU135))+AE135),6)</f>
        <v>0</v>
      </c>
      <c r="AE135">
        <f>ROUND((EU135),6)</f>
        <v>0</v>
      </c>
      <c r="AF135">
        <f>ROUND((EV135),6)</f>
        <v>0</v>
      </c>
      <c r="AG135">
        <f t="shared" si="126"/>
        <v>0</v>
      </c>
      <c r="AH135">
        <f>(EW135)</f>
        <v>0</v>
      </c>
      <c r="AI135">
        <f>(EX135)</f>
        <v>0</v>
      </c>
      <c r="AJ135">
        <f t="shared" si="127"/>
        <v>351.02</v>
      </c>
      <c r="AK135">
        <v>7571</v>
      </c>
      <c r="AL135">
        <v>7571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351.02</v>
      </c>
      <c r="AT135">
        <v>0</v>
      </c>
      <c r="AU135">
        <v>0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10.029999999999999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222</v>
      </c>
      <c r="BM135">
        <v>500001</v>
      </c>
      <c r="BN135">
        <v>0</v>
      </c>
      <c r="BO135" t="s">
        <v>220</v>
      </c>
      <c r="BP135">
        <v>1</v>
      </c>
      <c r="BQ135">
        <v>8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0</v>
      </c>
      <c r="CA135">
        <v>0</v>
      </c>
      <c r="CB135" t="s">
        <v>3</v>
      </c>
      <c r="CE135">
        <v>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>
        <f t="shared" si="128"/>
        <v>5315.6</v>
      </c>
      <c r="CQ135">
        <f t="shared" si="129"/>
        <v>75937.12999999999</v>
      </c>
      <c r="CR135">
        <f t="shared" si="130"/>
        <v>0</v>
      </c>
      <c r="CS135">
        <f t="shared" si="131"/>
        <v>0</v>
      </c>
      <c r="CT135">
        <f t="shared" si="132"/>
        <v>0</v>
      </c>
      <c r="CU135">
        <f t="shared" si="133"/>
        <v>0</v>
      </c>
      <c r="CV135">
        <f t="shared" si="134"/>
        <v>0</v>
      </c>
      <c r="CW135">
        <f t="shared" si="135"/>
        <v>0</v>
      </c>
      <c r="CX135">
        <f t="shared" si="136"/>
        <v>351.02</v>
      </c>
      <c r="CY135">
        <f t="shared" si="137"/>
        <v>0</v>
      </c>
      <c r="CZ135">
        <f t="shared" si="138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1009</v>
      </c>
      <c r="DV135" t="s">
        <v>26</v>
      </c>
      <c r="DW135" t="s">
        <v>26</v>
      </c>
      <c r="DX135">
        <v>1000</v>
      </c>
      <c r="DZ135" t="s">
        <v>3</v>
      </c>
      <c r="EA135" t="s">
        <v>3</v>
      </c>
      <c r="EB135" t="s">
        <v>3</v>
      </c>
      <c r="EC135" t="s">
        <v>3</v>
      </c>
      <c r="EE135">
        <v>36260359</v>
      </c>
      <c r="EF135">
        <v>8</v>
      </c>
      <c r="EG135" t="s">
        <v>223</v>
      </c>
      <c r="EH135">
        <v>0</v>
      </c>
      <c r="EI135" t="s">
        <v>3</v>
      </c>
      <c r="EJ135">
        <v>1</v>
      </c>
      <c r="EK135">
        <v>500001</v>
      </c>
      <c r="EL135" t="s">
        <v>224</v>
      </c>
      <c r="EM135" t="s">
        <v>225</v>
      </c>
      <c r="EO135" t="s">
        <v>3</v>
      </c>
      <c r="EQ135">
        <v>0</v>
      </c>
      <c r="ER135">
        <v>7571</v>
      </c>
      <c r="ES135">
        <v>7571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FQ135">
        <v>0</v>
      </c>
      <c r="FR135">
        <f t="shared" si="139"/>
        <v>0</v>
      </c>
      <c r="FS135">
        <v>0</v>
      </c>
      <c r="FX135">
        <v>0</v>
      </c>
      <c r="FY135">
        <v>0</v>
      </c>
      <c r="GA135" t="s">
        <v>3</v>
      </c>
      <c r="GD135">
        <v>1</v>
      </c>
      <c r="GF135">
        <v>-576901361</v>
      </c>
      <c r="GG135">
        <v>2</v>
      </c>
      <c r="GH135">
        <v>1</v>
      </c>
      <c r="GI135">
        <v>2</v>
      </c>
      <c r="GJ135">
        <v>0</v>
      </c>
      <c r="GK135">
        <v>0</v>
      </c>
      <c r="GL135">
        <f t="shared" si="140"/>
        <v>0</v>
      </c>
      <c r="GM135">
        <f t="shared" si="141"/>
        <v>5315.6</v>
      </c>
      <c r="GN135">
        <f t="shared" si="142"/>
        <v>5315.6</v>
      </c>
      <c r="GO135">
        <f t="shared" si="143"/>
        <v>0</v>
      </c>
      <c r="GP135">
        <f t="shared" si="144"/>
        <v>0</v>
      </c>
      <c r="GR135">
        <v>0</v>
      </c>
      <c r="GS135">
        <v>3</v>
      </c>
      <c r="GT135">
        <v>0</v>
      </c>
      <c r="GU135" t="s">
        <v>3</v>
      </c>
      <c r="GV135">
        <f t="shared" si="145"/>
        <v>0</v>
      </c>
      <c r="GW135">
        <v>1</v>
      </c>
      <c r="GX135">
        <f t="shared" si="146"/>
        <v>0</v>
      </c>
      <c r="HA135">
        <v>0</v>
      </c>
      <c r="HB135">
        <v>0</v>
      </c>
      <c r="HC135">
        <f t="shared" si="147"/>
        <v>0</v>
      </c>
      <c r="HE135" t="s">
        <v>3</v>
      </c>
      <c r="HF135" t="s">
        <v>3</v>
      </c>
      <c r="HM135" t="s">
        <v>3</v>
      </c>
      <c r="IK135">
        <v>0</v>
      </c>
    </row>
    <row r="136" spans="1:245">
      <c r="A136">
        <v>17</v>
      </c>
      <c r="B136">
        <v>1</v>
      </c>
      <c r="C136">
        <f>ROW(SmtRes!A183)</f>
        <v>183</v>
      </c>
      <c r="D136">
        <f>ROW(EtalonRes!A186)</f>
        <v>186</v>
      </c>
      <c r="E136" t="s">
        <v>161</v>
      </c>
      <c r="F136" t="s">
        <v>226</v>
      </c>
      <c r="G136" t="s">
        <v>227</v>
      </c>
      <c r="H136" t="s">
        <v>228</v>
      </c>
      <c r="I136">
        <f>ROUND(3.2/100,9)</f>
        <v>3.2000000000000001E-2</v>
      </c>
      <c r="J136">
        <v>0</v>
      </c>
      <c r="K136">
        <f>ROUND(3.2/100,9)</f>
        <v>3.2000000000000001E-2</v>
      </c>
      <c r="O136">
        <f t="shared" si="113"/>
        <v>1073.76</v>
      </c>
      <c r="P136">
        <f t="shared" si="114"/>
        <v>124.78</v>
      </c>
      <c r="Q136">
        <f t="shared" si="115"/>
        <v>8.81</v>
      </c>
      <c r="R136">
        <f t="shared" si="116"/>
        <v>4.1500000000000004</v>
      </c>
      <c r="S136">
        <f t="shared" si="117"/>
        <v>940.17</v>
      </c>
      <c r="T136">
        <f t="shared" si="118"/>
        <v>0</v>
      </c>
      <c r="U136">
        <f t="shared" si="119"/>
        <v>3.2924800000000003</v>
      </c>
      <c r="V136">
        <f t="shared" si="120"/>
        <v>9.2800000000000001E-3</v>
      </c>
      <c r="W136">
        <f t="shared" si="121"/>
        <v>0</v>
      </c>
      <c r="X136">
        <f t="shared" si="122"/>
        <v>717.68</v>
      </c>
      <c r="Y136">
        <f t="shared" si="123"/>
        <v>566.59</v>
      </c>
      <c r="AA136">
        <v>34132744</v>
      </c>
      <c r="AB136">
        <f t="shared" si="124"/>
        <v>1459.54</v>
      </c>
      <c r="AC136">
        <f t="shared" si="125"/>
        <v>548.42999999999995</v>
      </c>
      <c r="AD136">
        <f>ROUND((((ET136)-(EU136))+AE136),6)</f>
        <v>22.14</v>
      </c>
      <c r="AE136">
        <f>ROUND((EU136),6)</f>
        <v>3.92</v>
      </c>
      <c r="AF136">
        <f>ROUND((EV136),6)</f>
        <v>888.97</v>
      </c>
      <c r="AG136">
        <f t="shared" si="126"/>
        <v>0</v>
      </c>
      <c r="AH136">
        <f>(EW136)</f>
        <v>102.89</v>
      </c>
      <c r="AI136">
        <f>(EX136)</f>
        <v>0.28999999999999998</v>
      </c>
      <c r="AJ136">
        <f t="shared" si="127"/>
        <v>0</v>
      </c>
      <c r="AK136">
        <v>1459.54</v>
      </c>
      <c r="AL136">
        <v>548.42999999999995</v>
      </c>
      <c r="AM136">
        <v>22.14</v>
      </c>
      <c r="AN136">
        <v>3.92</v>
      </c>
      <c r="AO136">
        <v>888.97</v>
      </c>
      <c r="AP136">
        <v>0</v>
      </c>
      <c r="AQ136">
        <v>102.89</v>
      </c>
      <c r="AR136">
        <v>0.28999999999999998</v>
      </c>
      <c r="AS136">
        <v>0</v>
      </c>
      <c r="AT136">
        <v>76</v>
      </c>
      <c r="AU136">
        <v>60</v>
      </c>
      <c r="AV136">
        <v>1</v>
      </c>
      <c r="AW136">
        <v>1</v>
      </c>
      <c r="AZ136">
        <v>1</v>
      </c>
      <c r="BA136">
        <v>33.049999999999997</v>
      </c>
      <c r="BB136">
        <v>12.43</v>
      </c>
      <c r="BC136">
        <v>7.11</v>
      </c>
      <c r="BD136" t="s">
        <v>3</v>
      </c>
      <c r="BE136" t="s">
        <v>3</v>
      </c>
      <c r="BF136" t="s">
        <v>3</v>
      </c>
      <c r="BG136" t="s">
        <v>3</v>
      </c>
      <c r="BH136">
        <v>0</v>
      </c>
      <c r="BI136">
        <v>1</v>
      </c>
      <c r="BJ136" t="s">
        <v>229</v>
      </c>
      <c r="BM136">
        <v>59001</v>
      </c>
      <c r="BN136">
        <v>0</v>
      </c>
      <c r="BO136" t="s">
        <v>226</v>
      </c>
      <c r="BP136">
        <v>1</v>
      </c>
      <c r="BQ136">
        <v>6</v>
      </c>
      <c r="BR136">
        <v>0</v>
      </c>
      <c r="BS136">
        <v>33.049999999999997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</v>
      </c>
      <c r="BZ136">
        <v>76</v>
      </c>
      <c r="CA136">
        <v>60</v>
      </c>
      <c r="CB136" t="s">
        <v>3</v>
      </c>
      <c r="CE136">
        <v>0</v>
      </c>
      <c r="CF136">
        <v>0</v>
      </c>
      <c r="CG136">
        <v>0</v>
      </c>
      <c r="CM136">
        <v>0</v>
      </c>
      <c r="CN136" t="s">
        <v>3</v>
      </c>
      <c r="CO136">
        <v>0</v>
      </c>
      <c r="CP136">
        <f t="shared" si="128"/>
        <v>1073.76</v>
      </c>
      <c r="CQ136">
        <f t="shared" si="129"/>
        <v>3899.3372999999997</v>
      </c>
      <c r="CR136">
        <f t="shared" si="130"/>
        <v>275.2002</v>
      </c>
      <c r="CS136">
        <f t="shared" si="131"/>
        <v>129.55599999999998</v>
      </c>
      <c r="CT136">
        <f t="shared" si="132"/>
        <v>29380.458499999997</v>
      </c>
      <c r="CU136">
        <f t="shared" si="133"/>
        <v>0</v>
      </c>
      <c r="CV136">
        <f t="shared" si="134"/>
        <v>102.89</v>
      </c>
      <c r="CW136">
        <f t="shared" si="135"/>
        <v>0.28999999999999998</v>
      </c>
      <c r="CX136">
        <f t="shared" si="136"/>
        <v>0</v>
      </c>
      <c r="CY136">
        <f t="shared" si="137"/>
        <v>717.68319999999994</v>
      </c>
      <c r="CZ136">
        <f t="shared" si="138"/>
        <v>566.59199999999998</v>
      </c>
      <c r="DC136" t="s">
        <v>3</v>
      </c>
      <c r="DD136" t="s">
        <v>3</v>
      </c>
      <c r="DE136" t="s">
        <v>3</v>
      </c>
      <c r="DF136" t="s">
        <v>3</v>
      </c>
      <c r="DG136" t="s">
        <v>3</v>
      </c>
      <c r="DH136" t="s">
        <v>3</v>
      </c>
      <c r="DI136" t="s">
        <v>3</v>
      </c>
      <c r="DJ136" t="s">
        <v>3</v>
      </c>
      <c r="DK136" t="s">
        <v>3</v>
      </c>
      <c r="DL136" t="s">
        <v>3</v>
      </c>
      <c r="DM136" t="s">
        <v>3</v>
      </c>
      <c r="DN136">
        <v>0</v>
      </c>
      <c r="DO136">
        <v>0</v>
      </c>
      <c r="DP136">
        <v>1</v>
      </c>
      <c r="DQ136">
        <v>1</v>
      </c>
      <c r="DU136">
        <v>1013</v>
      </c>
      <c r="DV136" t="s">
        <v>228</v>
      </c>
      <c r="DW136" t="s">
        <v>228</v>
      </c>
      <c r="DX136">
        <v>1</v>
      </c>
      <c r="DZ136" t="s">
        <v>3</v>
      </c>
      <c r="EA136" t="s">
        <v>3</v>
      </c>
      <c r="EB136" t="s">
        <v>3</v>
      </c>
      <c r="EC136" t="s">
        <v>3</v>
      </c>
      <c r="EE136">
        <v>36260507</v>
      </c>
      <c r="EF136">
        <v>6</v>
      </c>
      <c r="EG136" t="s">
        <v>20</v>
      </c>
      <c r="EH136">
        <v>0</v>
      </c>
      <c r="EI136" t="s">
        <v>3</v>
      </c>
      <c r="EJ136">
        <v>1</v>
      </c>
      <c r="EK136">
        <v>59001</v>
      </c>
      <c r="EL136" t="s">
        <v>212</v>
      </c>
      <c r="EM136" t="s">
        <v>213</v>
      </c>
      <c r="EO136" t="s">
        <v>3</v>
      </c>
      <c r="EQ136">
        <v>0</v>
      </c>
      <c r="ER136">
        <v>1459.54</v>
      </c>
      <c r="ES136">
        <v>548.42999999999995</v>
      </c>
      <c r="ET136">
        <v>22.14</v>
      </c>
      <c r="EU136">
        <v>3.92</v>
      </c>
      <c r="EV136">
        <v>888.97</v>
      </c>
      <c r="EW136">
        <v>102.89</v>
      </c>
      <c r="EX136">
        <v>0.28999999999999998</v>
      </c>
      <c r="EY136">
        <v>0</v>
      </c>
      <c r="FQ136">
        <v>0</v>
      </c>
      <c r="FR136">
        <f t="shared" si="139"/>
        <v>0</v>
      </c>
      <c r="FS136">
        <v>0</v>
      </c>
      <c r="FX136">
        <v>76</v>
      </c>
      <c r="FY136">
        <v>60</v>
      </c>
      <c r="GA136" t="s">
        <v>3</v>
      </c>
      <c r="GD136">
        <v>1</v>
      </c>
      <c r="GF136">
        <v>-290437953</v>
      </c>
      <c r="GG136">
        <v>2</v>
      </c>
      <c r="GH136">
        <v>1</v>
      </c>
      <c r="GI136">
        <v>2</v>
      </c>
      <c r="GJ136">
        <v>0</v>
      </c>
      <c r="GK136">
        <v>0</v>
      </c>
      <c r="GL136">
        <f t="shared" si="140"/>
        <v>0</v>
      </c>
      <c r="GM136">
        <f t="shared" si="141"/>
        <v>2358.0300000000002</v>
      </c>
      <c r="GN136">
        <f t="shared" si="142"/>
        <v>2358.0300000000002</v>
      </c>
      <c r="GO136">
        <f t="shared" si="143"/>
        <v>0</v>
      </c>
      <c r="GP136">
        <f t="shared" si="144"/>
        <v>0</v>
      </c>
      <c r="GR136">
        <v>0</v>
      </c>
      <c r="GS136">
        <v>3</v>
      </c>
      <c r="GT136">
        <v>0</v>
      </c>
      <c r="GU136" t="s">
        <v>3</v>
      </c>
      <c r="GV136">
        <f t="shared" si="145"/>
        <v>0</v>
      </c>
      <c r="GW136">
        <v>1</v>
      </c>
      <c r="GX136">
        <f t="shared" si="146"/>
        <v>0</v>
      </c>
      <c r="HA136">
        <v>0</v>
      </c>
      <c r="HB136">
        <v>0</v>
      </c>
      <c r="HC136">
        <f t="shared" si="147"/>
        <v>0</v>
      </c>
      <c r="HE136" t="s">
        <v>3</v>
      </c>
      <c r="HF136" t="s">
        <v>3</v>
      </c>
      <c r="HM136" t="s">
        <v>3</v>
      </c>
      <c r="IK136">
        <v>0</v>
      </c>
    </row>
    <row r="137" spans="1:245">
      <c r="A137">
        <v>17</v>
      </c>
      <c r="B137">
        <v>1</v>
      </c>
      <c r="C137">
        <f>ROW(SmtRes!A194)</f>
        <v>194</v>
      </c>
      <c r="D137">
        <f>ROW(EtalonRes!A198)</f>
        <v>198</v>
      </c>
      <c r="E137" t="s">
        <v>165</v>
      </c>
      <c r="F137" t="s">
        <v>230</v>
      </c>
      <c r="G137" t="s">
        <v>231</v>
      </c>
      <c r="H137" t="s">
        <v>232</v>
      </c>
      <c r="I137">
        <f>ROUND(3.2/100,9)</f>
        <v>3.2000000000000001E-2</v>
      </c>
      <c r="J137">
        <v>0</v>
      </c>
      <c r="K137">
        <f>ROUND(3.2/100,9)</f>
        <v>3.2000000000000001E-2</v>
      </c>
      <c r="O137">
        <f t="shared" si="113"/>
        <v>6333.2</v>
      </c>
      <c r="P137">
        <f t="shared" si="114"/>
        <v>2064.83</v>
      </c>
      <c r="Q137">
        <f t="shared" si="115"/>
        <v>46.07</v>
      </c>
      <c r="R137">
        <f t="shared" si="116"/>
        <v>30.52</v>
      </c>
      <c r="S137">
        <f t="shared" si="117"/>
        <v>4222.3</v>
      </c>
      <c r="T137">
        <f t="shared" si="118"/>
        <v>0</v>
      </c>
      <c r="U137">
        <f t="shared" si="119"/>
        <v>13.916656</v>
      </c>
      <c r="V137">
        <f t="shared" si="120"/>
        <v>8.6400000000000005E-2</v>
      </c>
      <c r="W137">
        <f t="shared" si="121"/>
        <v>0</v>
      </c>
      <c r="X137">
        <f t="shared" si="122"/>
        <v>4040.18</v>
      </c>
      <c r="Y137">
        <f t="shared" si="123"/>
        <v>1998.83</v>
      </c>
      <c r="AA137">
        <v>34132744</v>
      </c>
      <c r="AB137">
        <f t="shared" si="124"/>
        <v>21761.9575</v>
      </c>
      <c r="AC137">
        <f t="shared" si="125"/>
        <v>17678.38</v>
      </c>
      <c r="AD137">
        <f>ROUND(((((ET137*1.25))-((EU137*1.25)))+AE137),6)</f>
        <v>91.237499999999997</v>
      </c>
      <c r="AE137">
        <f>ROUND(((EU137*1.25)),6)</f>
        <v>28.862500000000001</v>
      </c>
      <c r="AF137">
        <f>ROUND(((EV137*1.15)),6)</f>
        <v>3992.34</v>
      </c>
      <c r="AG137">
        <f t="shared" si="126"/>
        <v>0</v>
      </c>
      <c r="AH137">
        <f>((EW137*1.15))</f>
        <v>434.89549999999997</v>
      </c>
      <c r="AI137">
        <f>((EX137*1.25))</f>
        <v>2.7</v>
      </c>
      <c r="AJ137">
        <f t="shared" si="127"/>
        <v>0</v>
      </c>
      <c r="AK137">
        <v>21222.97</v>
      </c>
      <c r="AL137">
        <v>17678.38</v>
      </c>
      <c r="AM137">
        <v>72.989999999999995</v>
      </c>
      <c r="AN137">
        <v>23.09</v>
      </c>
      <c r="AO137">
        <v>3471.6</v>
      </c>
      <c r="AP137">
        <v>0</v>
      </c>
      <c r="AQ137">
        <v>378.17</v>
      </c>
      <c r="AR137">
        <v>2.16</v>
      </c>
      <c r="AS137">
        <v>0</v>
      </c>
      <c r="AT137">
        <v>95</v>
      </c>
      <c r="AU137">
        <v>47</v>
      </c>
      <c r="AV137">
        <v>1</v>
      </c>
      <c r="AW137">
        <v>1</v>
      </c>
      <c r="AZ137">
        <v>1</v>
      </c>
      <c r="BA137">
        <v>33.049999999999997</v>
      </c>
      <c r="BB137">
        <v>15.78</v>
      </c>
      <c r="BC137">
        <v>3.65</v>
      </c>
      <c r="BD137" t="s">
        <v>3</v>
      </c>
      <c r="BE137" t="s">
        <v>3</v>
      </c>
      <c r="BF137" t="s">
        <v>3</v>
      </c>
      <c r="BG137" t="s">
        <v>3</v>
      </c>
      <c r="BH137">
        <v>0</v>
      </c>
      <c r="BI137">
        <v>1</v>
      </c>
      <c r="BJ137" t="s">
        <v>233</v>
      </c>
      <c r="BM137">
        <v>15001</v>
      </c>
      <c r="BN137">
        <v>0</v>
      </c>
      <c r="BO137" t="s">
        <v>230</v>
      </c>
      <c r="BP137">
        <v>1</v>
      </c>
      <c r="BQ137">
        <v>2</v>
      </c>
      <c r="BR137">
        <v>0</v>
      </c>
      <c r="BS137">
        <v>33.049999999999997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105</v>
      </c>
      <c r="CA137">
        <v>55</v>
      </c>
      <c r="CB137" t="s">
        <v>3</v>
      </c>
      <c r="CE137">
        <v>0</v>
      </c>
      <c r="CF137">
        <v>0</v>
      </c>
      <c r="CG137">
        <v>0</v>
      </c>
      <c r="CM137">
        <v>0</v>
      </c>
      <c r="CN137" t="s">
        <v>608</v>
      </c>
      <c r="CO137">
        <v>0</v>
      </c>
      <c r="CP137">
        <f t="shared" si="128"/>
        <v>6333.2000000000007</v>
      </c>
      <c r="CQ137">
        <f t="shared" si="129"/>
        <v>64526.087</v>
      </c>
      <c r="CR137">
        <f t="shared" si="130"/>
        <v>1439.7277499999998</v>
      </c>
      <c r="CS137">
        <f t="shared" si="131"/>
        <v>953.90562499999999</v>
      </c>
      <c r="CT137">
        <f t="shared" si="132"/>
        <v>131946.837</v>
      </c>
      <c r="CU137">
        <f t="shared" si="133"/>
        <v>0</v>
      </c>
      <c r="CV137">
        <f t="shared" si="134"/>
        <v>434.89549999999997</v>
      </c>
      <c r="CW137">
        <f t="shared" si="135"/>
        <v>2.7</v>
      </c>
      <c r="CX137">
        <f t="shared" si="136"/>
        <v>0</v>
      </c>
      <c r="CY137">
        <f t="shared" si="137"/>
        <v>4040.179000000001</v>
      </c>
      <c r="CZ137">
        <f t="shared" si="138"/>
        <v>1998.8254000000004</v>
      </c>
      <c r="DC137" t="s">
        <v>3</v>
      </c>
      <c r="DD137" t="s">
        <v>3</v>
      </c>
      <c r="DE137" t="s">
        <v>100</v>
      </c>
      <c r="DF137" t="s">
        <v>100</v>
      </c>
      <c r="DG137" t="s">
        <v>101</v>
      </c>
      <c r="DH137" t="s">
        <v>3</v>
      </c>
      <c r="DI137" t="s">
        <v>101</v>
      </c>
      <c r="DJ137" t="s">
        <v>100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1013</v>
      </c>
      <c r="DV137" t="s">
        <v>232</v>
      </c>
      <c r="DW137" t="s">
        <v>232</v>
      </c>
      <c r="DX137">
        <v>1</v>
      </c>
      <c r="DZ137" t="s">
        <v>3</v>
      </c>
      <c r="EA137" t="s">
        <v>3</v>
      </c>
      <c r="EB137" t="s">
        <v>3</v>
      </c>
      <c r="EC137" t="s">
        <v>3</v>
      </c>
      <c r="EE137">
        <v>36260452</v>
      </c>
      <c r="EF137">
        <v>2</v>
      </c>
      <c r="EG137" t="s">
        <v>102</v>
      </c>
      <c r="EH137">
        <v>0</v>
      </c>
      <c r="EI137" t="s">
        <v>3</v>
      </c>
      <c r="EJ137">
        <v>1</v>
      </c>
      <c r="EK137">
        <v>15001</v>
      </c>
      <c r="EL137" t="s">
        <v>148</v>
      </c>
      <c r="EM137" t="s">
        <v>149</v>
      </c>
      <c r="EO137" t="s">
        <v>105</v>
      </c>
      <c r="EQ137">
        <v>0</v>
      </c>
      <c r="ER137">
        <v>21222.97</v>
      </c>
      <c r="ES137">
        <v>17678.38</v>
      </c>
      <c r="ET137">
        <v>72.989999999999995</v>
      </c>
      <c r="EU137">
        <v>23.09</v>
      </c>
      <c r="EV137">
        <v>3471.6</v>
      </c>
      <c r="EW137">
        <v>378.17</v>
      </c>
      <c r="EX137">
        <v>2.16</v>
      </c>
      <c r="EY137">
        <v>0</v>
      </c>
      <c r="FQ137">
        <v>0</v>
      </c>
      <c r="FR137">
        <f t="shared" si="139"/>
        <v>0</v>
      </c>
      <c r="FS137">
        <v>0</v>
      </c>
      <c r="FT137" t="s">
        <v>106</v>
      </c>
      <c r="FU137" t="s">
        <v>107</v>
      </c>
      <c r="FX137">
        <v>94.5</v>
      </c>
      <c r="FY137">
        <v>46.75</v>
      </c>
      <c r="GA137" t="s">
        <v>3</v>
      </c>
      <c r="GD137">
        <v>1</v>
      </c>
      <c r="GF137">
        <v>-2091390819</v>
      </c>
      <c r="GG137">
        <v>2</v>
      </c>
      <c r="GH137">
        <v>1</v>
      </c>
      <c r="GI137">
        <v>2</v>
      </c>
      <c r="GJ137">
        <v>0</v>
      </c>
      <c r="GK137">
        <v>0</v>
      </c>
      <c r="GL137">
        <f t="shared" si="140"/>
        <v>0</v>
      </c>
      <c r="GM137">
        <f t="shared" si="141"/>
        <v>12372.21</v>
      </c>
      <c r="GN137">
        <f t="shared" si="142"/>
        <v>12372.21</v>
      </c>
      <c r="GO137">
        <f t="shared" si="143"/>
        <v>0</v>
      </c>
      <c r="GP137">
        <f t="shared" si="144"/>
        <v>0</v>
      </c>
      <c r="GR137">
        <v>0</v>
      </c>
      <c r="GS137">
        <v>3</v>
      </c>
      <c r="GT137">
        <v>0</v>
      </c>
      <c r="GU137" t="s">
        <v>3</v>
      </c>
      <c r="GV137">
        <f t="shared" si="145"/>
        <v>0</v>
      </c>
      <c r="GW137">
        <v>1</v>
      </c>
      <c r="GX137">
        <f t="shared" si="146"/>
        <v>0</v>
      </c>
      <c r="HA137">
        <v>0</v>
      </c>
      <c r="HB137">
        <v>0</v>
      </c>
      <c r="HC137">
        <f t="shared" si="147"/>
        <v>0</v>
      </c>
      <c r="HE137" t="s">
        <v>3</v>
      </c>
      <c r="HF137" t="s">
        <v>3</v>
      </c>
      <c r="HM137" t="s">
        <v>3</v>
      </c>
      <c r="IK137">
        <v>0</v>
      </c>
    </row>
    <row r="138" spans="1:245">
      <c r="A138">
        <v>17</v>
      </c>
      <c r="B138">
        <v>1</v>
      </c>
      <c r="C138">
        <f>ROW(SmtRes!A217)</f>
        <v>217</v>
      </c>
      <c r="D138">
        <f>ROW(EtalonRes!A223)</f>
        <v>223</v>
      </c>
      <c r="E138" t="s">
        <v>172</v>
      </c>
      <c r="F138" t="s">
        <v>108</v>
      </c>
      <c r="G138" t="s">
        <v>109</v>
      </c>
      <c r="H138" t="s">
        <v>37</v>
      </c>
      <c r="I138">
        <f>ROUND(1.5/100,9)</f>
        <v>1.4999999999999999E-2</v>
      </c>
      <c r="J138">
        <v>0</v>
      </c>
      <c r="K138">
        <f>ROUND(1.5/100,9)</f>
        <v>1.4999999999999999E-2</v>
      </c>
      <c r="O138">
        <f t="shared" si="113"/>
        <v>272.7</v>
      </c>
      <c r="P138">
        <f t="shared" si="114"/>
        <v>23.16</v>
      </c>
      <c r="Q138">
        <f t="shared" si="115"/>
        <v>72.650000000000006</v>
      </c>
      <c r="R138">
        <f t="shared" si="116"/>
        <v>23.19</v>
      </c>
      <c r="S138">
        <f t="shared" si="117"/>
        <v>176.89</v>
      </c>
      <c r="T138">
        <f t="shared" si="118"/>
        <v>0</v>
      </c>
      <c r="U138">
        <f t="shared" si="119"/>
        <v>0.61237499999999989</v>
      </c>
      <c r="V138">
        <f t="shared" si="120"/>
        <v>4.8937499999999995E-2</v>
      </c>
      <c r="W138">
        <f t="shared" si="121"/>
        <v>0</v>
      </c>
      <c r="X138">
        <f t="shared" si="122"/>
        <v>162.06</v>
      </c>
      <c r="Y138">
        <f t="shared" si="123"/>
        <v>144.06</v>
      </c>
      <c r="AA138">
        <v>34132744</v>
      </c>
      <c r="AB138">
        <f t="shared" si="124"/>
        <v>1113.2055</v>
      </c>
      <c r="AC138">
        <f t="shared" si="125"/>
        <v>153.97</v>
      </c>
      <c r="AD138">
        <f>ROUND(((((ET138*1.25))-((EU138*1.25)))+AE138),6)</f>
        <v>602.42499999999995</v>
      </c>
      <c r="AE138">
        <f>ROUND(((EU138*1.25)),6)</f>
        <v>46.787500000000001</v>
      </c>
      <c r="AF138">
        <f>ROUND(((EV138*1.15)),6)</f>
        <v>356.81049999999999</v>
      </c>
      <c r="AG138">
        <f t="shared" si="126"/>
        <v>0</v>
      </c>
      <c r="AH138">
        <f>((EW138*1.15))</f>
        <v>40.824999999999996</v>
      </c>
      <c r="AI138">
        <f>((EX138*1.25))</f>
        <v>3.2624999999999997</v>
      </c>
      <c r="AJ138">
        <f t="shared" si="127"/>
        <v>0</v>
      </c>
      <c r="AK138">
        <v>946.18</v>
      </c>
      <c r="AL138">
        <v>153.97</v>
      </c>
      <c r="AM138">
        <v>481.94</v>
      </c>
      <c r="AN138">
        <v>37.43</v>
      </c>
      <c r="AO138">
        <v>310.27</v>
      </c>
      <c r="AP138">
        <v>0</v>
      </c>
      <c r="AQ138">
        <v>35.5</v>
      </c>
      <c r="AR138">
        <v>2.61</v>
      </c>
      <c r="AS138">
        <v>0</v>
      </c>
      <c r="AT138">
        <v>81</v>
      </c>
      <c r="AU138">
        <v>72</v>
      </c>
      <c r="AV138">
        <v>1</v>
      </c>
      <c r="AW138">
        <v>1</v>
      </c>
      <c r="AZ138">
        <v>1</v>
      </c>
      <c r="BA138">
        <v>33.049999999999997</v>
      </c>
      <c r="BB138">
        <v>8.0399999999999991</v>
      </c>
      <c r="BC138">
        <v>10.029999999999999</v>
      </c>
      <c r="BD138" t="s">
        <v>3</v>
      </c>
      <c r="BE138" t="s">
        <v>3</v>
      </c>
      <c r="BF138" t="s">
        <v>3</v>
      </c>
      <c r="BG138" t="s">
        <v>3</v>
      </c>
      <c r="BH138">
        <v>0</v>
      </c>
      <c r="BI138">
        <v>1</v>
      </c>
      <c r="BJ138" t="s">
        <v>110</v>
      </c>
      <c r="BM138">
        <v>9001</v>
      </c>
      <c r="BN138">
        <v>0</v>
      </c>
      <c r="BO138" t="s">
        <v>108</v>
      </c>
      <c r="BP138">
        <v>1</v>
      </c>
      <c r="BQ138">
        <v>2</v>
      </c>
      <c r="BR138">
        <v>0</v>
      </c>
      <c r="BS138">
        <v>33.049999999999997</v>
      </c>
      <c r="BT138">
        <v>1</v>
      </c>
      <c r="BU138">
        <v>1</v>
      </c>
      <c r="BV138">
        <v>1</v>
      </c>
      <c r="BW138">
        <v>1</v>
      </c>
      <c r="BX138">
        <v>1</v>
      </c>
      <c r="BY138" t="s">
        <v>3</v>
      </c>
      <c r="BZ138">
        <v>90</v>
      </c>
      <c r="CA138">
        <v>85</v>
      </c>
      <c r="CB138" t="s">
        <v>3</v>
      </c>
      <c r="CE138">
        <v>0</v>
      </c>
      <c r="CF138">
        <v>0</v>
      </c>
      <c r="CG138">
        <v>0</v>
      </c>
      <c r="CM138">
        <v>0</v>
      </c>
      <c r="CN138" t="s">
        <v>608</v>
      </c>
      <c r="CO138">
        <v>0</v>
      </c>
      <c r="CP138">
        <f t="shared" si="128"/>
        <v>272.7</v>
      </c>
      <c r="CQ138">
        <f t="shared" si="129"/>
        <v>1544.3190999999999</v>
      </c>
      <c r="CR138">
        <f t="shared" si="130"/>
        <v>4843.4969999999994</v>
      </c>
      <c r="CS138">
        <f t="shared" si="131"/>
        <v>1546.326875</v>
      </c>
      <c r="CT138">
        <f t="shared" si="132"/>
        <v>11792.587024999999</v>
      </c>
      <c r="CU138">
        <f t="shared" si="133"/>
        <v>0</v>
      </c>
      <c r="CV138">
        <f t="shared" si="134"/>
        <v>40.824999999999996</v>
      </c>
      <c r="CW138">
        <f t="shared" si="135"/>
        <v>3.2624999999999997</v>
      </c>
      <c r="CX138">
        <f t="shared" si="136"/>
        <v>0</v>
      </c>
      <c r="CY138">
        <f t="shared" si="137"/>
        <v>162.06479999999999</v>
      </c>
      <c r="CZ138">
        <f t="shared" si="138"/>
        <v>144.05759999999998</v>
      </c>
      <c r="DC138" t="s">
        <v>3</v>
      </c>
      <c r="DD138" t="s">
        <v>3</v>
      </c>
      <c r="DE138" t="s">
        <v>100</v>
      </c>
      <c r="DF138" t="s">
        <v>100</v>
      </c>
      <c r="DG138" t="s">
        <v>101</v>
      </c>
      <c r="DH138" t="s">
        <v>3</v>
      </c>
      <c r="DI138" t="s">
        <v>101</v>
      </c>
      <c r="DJ138" t="s">
        <v>100</v>
      </c>
      <c r="DK138" t="s">
        <v>3</v>
      </c>
      <c r="DL138" t="s">
        <v>3</v>
      </c>
      <c r="DM138" t="s">
        <v>3</v>
      </c>
      <c r="DN138">
        <v>0</v>
      </c>
      <c r="DO138">
        <v>0</v>
      </c>
      <c r="DP138">
        <v>1</v>
      </c>
      <c r="DQ138">
        <v>1</v>
      </c>
      <c r="DU138">
        <v>1013</v>
      </c>
      <c r="DV138" t="s">
        <v>37</v>
      </c>
      <c r="DW138" t="s">
        <v>37</v>
      </c>
      <c r="DX138">
        <v>1</v>
      </c>
      <c r="DZ138" t="s">
        <v>3</v>
      </c>
      <c r="EA138" t="s">
        <v>3</v>
      </c>
      <c r="EB138" t="s">
        <v>3</v>
      </c>
      <c r="EC138" t="s">
        <v>3</v>
      </c>
      <c r="EE138">
        <v>36260425</v>
      </c>
      <c r="EF138">
        <v>2</v>
      </c>
      <c r="EG138" t="s">
        <v>102</v>
      </c>
      <c r="EH138">
        <v>0</v>
      </c>
      <c r="EI138" t="s">
        <v>3</v>
      </c>
      <c r="EJ138">
        <v>1</v>
      </c>
      <c r="EK138">
        <v>9001</v>
      </c>
      <c r="EL138" t="s">
        <v>113</v>
      </c>
      <c r="EM138" t="s">
        <v>114</v>
      </c>
      <c r="EO138" t="s">
        <v>105</v>
      </c>
      <c r="EQ138">
        <v>0</v>
      </c>
      <c r="ER138">
        <v>946.18</v>
      </c>
      <c r="ES138">
        <v>153.97</v>
      </c>
      <c r="ET138">
        <v>481.94</v>
      </c>
      <c r="EU138">
        <v>37.43</v>
      </c>
      <c r="EV138">
        <v>310.27</v>
      </c>
      <c r="EW138">
        <v>35.5</v>
      </c>
      <c r="EX138">
        <v>2.61</v>
      </c>
      <c r="EY138">
        <v>0</v>
      </c>
      <c r="FQ138">
        <v>0</v>
      </c>
      <c r="FR138">
        <f t="shared" si="139"/>
        <v>0</v>
      </c>
      <c r="FS138">
        <v>0</v>
      </c>
      <c r="FT138" t="s">
        <v>106</v>
      </c>
      <c r="FU138" t="s">
        <v>107</v>
      </c>
      <c r="FX138">
        <v>81</v>
      </c>
      <c r="FY138">
        <v>72.25</v>
      </c>
      <c r="GA138" t="s">
        <v>3</v>
      </c>
      <c r="GD138">
        <v>1</v>
      </c>
      <c r="GF138">
        <v>-566091124</v>
      </c>
      <c r="GG138">
        <v>2</v>
      </c>
      <c r="GH138">
        <v>1</v>
      </c>
      <c r="GI138">
        <v>2</v>
      </c>
      <c r="GJ138">
        <v>0</v>
      </c>
      <c r="GK138">
        <v>0</v>
      </c>
      <c r="GL138">
        <f t="shared" si="140"/>
        <v>0</v>
      </c>
      <c r="GM138">
        <f t="shared" si="141"/>
        <v>578.82000000000005</v>
      </c>
      <c r="GN138">
        <f t="shared" si="142"/>
        <v>578.82000000000005</v>
      </c>
      <c r="GO138">
        <f t="shared" si="143"/>
        <v>0</v>
      </c>
      <c r="GP138">
        <f t="shared" si="144"/>
        <v>0</v>
      </c>
      <c r="GR138">
        <v>0</v>
      </c>
      <c r="GS138">
        <v>3</v>
      </c>
      <c r="GT138">
        <v>0</v>
      </c>
      <c r="GU138" t="s">
        <v>3</v>
      </c>
      <c r="GV138">
        <f t="shared" si="145"/>
        <v>0</v>
      </c>
      <c r="GW138">
        <v>1</v>
      </c>
      <c r="GX138">
        <f t="shared" si="146"/>
        <v>0</v>
      </c>
      <c r="HA138">
        <v>0</v>
      </c>
      <c r="HB138">
        <v>0</v>
      </c>
      <c r="HC138">
        <f t="shared" si="147"/>
        <v>0</v>
      </c>
      <c r="HE138" t="s">
        <v>3</v>
      </c>
      <c r="HF138" t="s">
        <v>3</v>
      </c>
      <c r="HM138" t="s">
        <v>3</v>
      </c>
      <c r="IK138">
        <v>0</v>
      </c>
    </row>
    <row r="139" spans="1:245">
      <c r="A139">
        <v>17</v>
      </c>
      <c r="B139">
        <v>1</v>
      </c>
      <c r="E139" t="s">
        <v>184</v>
      </c>
      <c r="F139" t="s">
        <v>234</v>
      </c>
      <c r="G139" t="s">
        <v>235</v>
      </c>
      <c r="H139" t="s">
        <v>3</v>
      </c>
      <c r="I139">
        <v>1.5</v>
      </c>
      <c r="J139">
        <v>0</v>
      </c>
      <c r="K139">
        <v>1.5</v>
      </c>
      <c r="O139">
        <f t="shared" si="113"/>
        <v>1025</v>
      </c>
      <c r="P139">
        <f t="shared" si="114"/>
        <v>1025</v>
      </c>
      <c r="Q139">
        <f t="shared" si="115"/>
        <v>0</v>
      </c>
      <c r="R139">
        <f t="shared" si="116"/>
        <v>0</v>
      </c>
      <c r="S139">
        <f t="shared" si="117"/>
        <v>0</v>
      </c>
      <c r="T139">
        <f t="shared" si="118"/>
        <v>0</v>
      </c>
      <c r="U139">
        <f t="shared" si="119"/>
        <v>0</v>
      </c>
      <c r="V139">
        <f t="shared" si="120"/>
        <v>0</v>
      </c>
      <c r="W139">
        <f t="shared" si="121"/>
        <v>0</v>
      </c>
      <c r="X139">
        <f t="shared" si="122"/>
        <v>0</v>
      </c>
      <c r="Y139">
        <f t="shared" si="123"/>
        <v>0</v>
      </c>
      <c r="AA139">
        <v>34132744</v>
      </c>
      <c r="AB139">
        <f t="shared" si="124"/>
        <v>683.33</v>
      </c>
      <c r="AC139">
        <f t="shared" si="125"/>
        <v>683.33</v>
      </c>
      <c r="AD139">
        <f>ROUND((((ET139)-(EU139))+AE139),6)</f>
        <v>0</v>
      </c>
      <c r="AE139">
        <f>ROUND((EU139),6)</f>
        <v>0</v>
      </c>
      <c r="AF139">
        <f>ROUND((EV139),6)</f>
        <v>0</v>
      </c>
      <c r="AG139">
        <f t="shared" si="126"/>
        <v>0</v>
      </c>
      <c r="AH139">
        <f>(EW139)</f>
        <v>0</v>
      </c>
      <c r="AI139">
        <f>(EX139)</f>
        <v>0</v>
      </c>
      <c r="AJ139">
        <f t="shared" si="127"/>
        <v>0</v>
      </c>
      <c r="AK139">
        <v>683.33</v>
      </c>
      <c r="AL139">
        <v>683.33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1</v>
      </c>
      <c r="AW139">
        <v>1</v>
      </c>
      <c r="AZ139">
        <v>1</v>
      </c>
      <c r="BA139">
        <v>1</v>
      </c>
      <c r="BB139">
        <v>1</v>
      </c>
      <c r="BC139">
        <v>1</v>
      </c>
      <c r="BD139" t="s">
        <v>3</v>
      </c>
      <c r="BE139" t="s">
        <v>3</v>
      </c>
      <c r="BF139" t="s">
        <v>3</v>
      </c>
      <c r="BG139" t="s">
        <v>3</v>
      </c>
      <c r="BH139">
        <v>3</v>
      </c>
      <c r="BI139">
        <v>4</v>
      </c>
      <c r="BJ139" t="s">
        <v>3</v>
      </c>
      <c r="BM139">
        <v>0</v>
      </c>
      <c r="BN139">
        <v>0</v>
      </c>
      <c r="BO139" t="s">
        <v>3</v>
      </c>
      <c r="BP139">
        <v>0</v>
      </c>
      <c r="BQ139">
        <v>16</v>
      </c>
      <c r="BR139">
        <v>0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0</v>
      </c>
      <c r="CA139">
        <v>0</v>
      </c>
      <c r="CB139" t="s">
        <v>3</v>
      </c>
      <c r="CE139">
        <v>0</v>
      </c>
      <c r="CF139">
        <v>0</v>
      </c>
      <c r="CG139">
        <v>0</v>
      </c>
      <c r="CM139">
        <v>0</v>
      </c>
      <c r="CN139" t="s">
        <v>608</v>
      </c>
      <c r="CO139">
        <v>0</v>
      </c>
      <c r="CP139">
        <f t="shared" si="128"/>
        <v>1025</v>
      </c>
      <c r="CQ139">
        <f t="shared" si="129"/>
        <v>683.33</v>
      </c>
      <c r="CR139">
        <f t="shared" si="130"/>
        <v>0</v>
      </c>
      <c r="CS139">
        <f t="shared" si="131"/>
        <v>0</v>
      </c>
      <c r="CT139">
        <f t="shared" si="132"/>
        <v>0</v>
      </c>
      <c r="CU139">
        <f t="shared" si="133"/>
        <v>0</v>
      </c>
      <c r="CV139">
        <f t="shared" si="134"/>
        <v>0</v>
      </c>
      <c r="CW139">
        <f t="shared" si="135"/>
        <v>0</v>
      </c>
      <c r="CX139">
        <f t="shared" si="136"/>
        <v>0</v>
      </c>
      <c r="CY139">
        <f t="shared" si="137"/>
        <v>0</v>
      </c>
      <c r="CZ139">
        <f t="shared" si="138"/>
        <v>0</v>
      </c>
      <c r="DC139" t="s">
        <v>3</v>
      </c>
      <c r="DD139" t="s">
        <v>3</v>
      </c>
      <c r="DE139" t="s">
        <v>3</v>
      </c>
      <c r="DF139" t="s">
        <v>3</v>
      </c>
      <c r="DG139" t="s">
        <v>3</v>
      </c>
      <c r="DH139" t="s">
        <v>3</v>
      </c>
      <c r="DI139" t="s">
        <v>3</v>
      </c>
      <c r="DJ139" t="s">
        <v>3</v>
      </c>
      <c r="DK139" t="s">
        <v>3</v>
      </c>
      <c r="DL139" t="s">
        <v>3</v>
      </c>
      <c r="DM139" t="s">
        <v>3</v>
      </c>
      <c r="DN139">
        <v>0</v>
      </c>
      <c r="DO139">
        <v>0</v>
      </c>
      <c r="DP139">
        <v>1</v>
      </c>
      <c r="DQ139">
        <v>1</v>
      </c>
      <c r="DZ139" t="s">
        <v>3</v>
      </c>
      <c r="EA139" t="s">
        <v>3</v>
      </c>
      <c r="EB139" t="s">
        <v>3</v>
      </c>
      <c r="EC139" t="s">
        <v>3</v>
      </c>
      <c r="EE139">
        <v>36260367</v>
      </c>
      <c r="EF139">
        <v>16</v>
      </c>
      <c r="EG139" t="s">
        <v>236</v>
      </c>
      <c r="EH139">
        <v>0</v>
      </c>
      <c r="EI139" t="s">
        <v>3</v>
      </c>
      <c r="EJ139">
        <v>4</v>
      </c>
      <c r="EK139">
        <v>0</v>
      </c>
      <c r="EL139" t="s">
        <v>237</v>
      </c>
      <c r="EM139" t="s">
        <v>238</v>
      </c>
      <c r="EO139" t="s">
        <v>105</v>
      </c>
      <c r="EQ139">
        <v>0</v>
      </c>
      <c r="ER139">
        <v>683.33</v>
      </c>
      <c r="ES139">
        <v>683.33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FQ139">
        <v>0</v>
      </c>
      <c r="FR139">
        <f t="shared" si="139"/>
        <v>0</v>
      </c>
      <c r="FS139">
        <v>0</v>
      </c>
      <c r="FX139">
        <v>0</v>
      </c>
      <c r="FY139">
        <v>0</v>
      </c>
      <c r="GA139" t="s">
        <v>120</v>
      </c>
      <c r="GD139">
        <v>1</v>
      </c>
      <c r="GF139">
        <v>958417040</v>
      </c>
      <c r="GG139">
        <v>2</v>
      </c>
      <c r="GH139">
        <v>0</v>
      </c>
      <c r="GI139">
        <v>-2</v>
      </c>
      <c r="GJ139">
        <v>0</v>
      </c>
      <c r="GK139">
        <v>0</v>
      </c>
      <c r="GL139">
        <f t="shared" si="140"/>
        <v>0</v>
      </c>
      <c r="GM139">
        <f t="shared" si="141"/>
        <v>1025</v>
      </c>
      <c r="GN139">
        <f t="shared" si="142"/>
        <v>0</v>
      </c>
      <c r="GO139">
        <f t="shared" si="143"/>
        <v>0</v>
      </c>
      <c r="GP139">
        <f t="shared" si="144"/>
        <v>1025</v>
      </c>
      <c r="GR139">
        <v>0</v>
      </c>
      <c r="GS139">
        <v>4</v>
      </c>
      <c r="GT139">
        <v>0</v>
      </c>
      <c r="GU139" t="s">
        <v>3</v>
      </c>
      <c r="GV139">
        <f t="shared" si="145"/>
        <v>0</v>
      </c>
      <c r="GW139">
        <v>1</v>
      </c>
      <c r="GX139">
        <f t="shared" si="146"/>
        <v>0</v>
      </c>
      <c r="HA139">
        <v>0</v>
      </c>
      <c r="HB139">
        <v>0</v>
      </c>
      <c r="HC139">
        <f t="shared" si="147"/>
        <v>0</v>
      </c>
      <c r="HE139" t="s">
        <v>3</v>
      </c>
      <c r="HF139" t="s">
        <v>3</v>
      </c>
      <c r="HM139" t="s">
        <v>3</v>
      </c>
      <c r="IK139">
        <v>0</v>
      </c>
    </row>
    <row r="141" spans="1:245">
      <c r="A141" s="2">
        <v>51</v>
      </c>
      <c r="B141" s="2">
        <f>B118</f>
        <v>1</v>
      </c>
      <c r="C141" s="2">
        <f>A118</f>
        <v>4</v>
      </c>
      <c r="D141" s="2">
        <f>ROW(A118)</f>
        <v>118</v>
      </c>
      <c r="E141" s="2"/>
      <c r="F141" s="2" t="str">
        <f>IF(F118&lt;&gt;"",F118,"")</f>
        <v>Новый раздел</v>
      </c>
      <c r="G141" s="2" t="str">
        <f>IF(G118&lt;&gt;"",G118,"")</f>
        <v>Крыльцо ОВП с торца</v>
      </c>
      <c r="H141" s="2">
        <v>0</v>
      </c>
      <c r="I141" s="2"/>
      <c r="J141" s="2"/>
      <c r="K141" s="2"/>
      <c r="L141" s="2"/>
      <c r="M141" s="2"/>
      <c r="N141" s="2"/>
      <c r="O141" s="2">
        <f t="shared" ref="O141:T141" si="150">ROUND(AB141,2)</f>
        <v>45258.13</v>
      </c>
      <c r="P141" s="2">
        <f t="shared" si="150"/>
        <v>32857.68</v>
      </c>
      <c r="Q141" s="2">
        <f t="shared" si="150"/>
        <v>1137.47</v>
      </c>
      <c r="R141" s="2">
        <f t="shared" si="150"/>
        <v>275.27999999999997</v>
      </c>
      <c r="S141" s="2">
        <f t="shared" si="150"/>
        <v>11262.98</v>
      </c>
      <c r="T141" s="2">
        <f t="shared" si="150"/>
        <v>0</v>
      </c>
      <c r="U141" s="2">
        <f>AH141</f>
        <v>37.893040999999997</v>
      </c>
      <c r="V141" s="2">
        <f>AI141</f>
        <v>0.66439749999999986</v>
      </c>
      <c r="W141" s="2">
        <f>ROUND(AJ141,2)</f>
        <v>452.77</v>
      </c>
      <c r="X141" s="2">
        <f>ROUND(AK141,2)</f>
        <v>10479.51</v>
      </c>
      <c r="Y141" s="2">
        <f>ROUND(AL141,2)</f>
        <v>6629.08</v>
      </c>
      <c r="Z141" s="2"/>
      <c r="AA141" s="2"/>
      <c r="AB141" s="2">
        <f>ROUND(SUMIF(AA122:AA139,"=34132744",O122:O139),2)</f>
        <v>45258.13</v>
      </c>
      <c r="AC141" s="2">
        <f>ROUND(SUMIF(AA122:AA139,"=34132744",P122:P139),2)</f>
        <v>32857.68</v>
      </c>
      <c r="AD141" s="2">
        <f>ROUND(SUMIF(AA122:AA139,"=34132744",Q122:Q139),2)</f>
        <v>1137.47</v>
      </c>
      <c r="AE141" s="2">
        <f>ROUND(SUMIF(AA122:AA139,"=34132744",R122:R139),2)</f>
        <v>275.27999999999997</v>
      </c>
      <c r="AF141" s="2">
        <f>ROUND(SUMIF(AA122:AA139,"=34132744",S122:S139),2)</f>
        <v>11262.98</v>
      </c>
      <c r="AG141" s="2">
        <f>ROUND(SUMIF(AA122:AA139,"=34132744",T122:T139),2)</f>
        <v>0</v>
      </c>
      <c r="AH141" s="2">
        <f>SUMIF(AA122:AA139,"=34132744",U122:U139)</f>
        <v>37.893040999999997</v>
      </c>
      <c r="AI141" s="2">
        <f>SUMIF(AA122:AA139,"=34132744",V122:V139)</f>
        <v>0.66439749999999986</v>
      </c>
      <c r="AJ141" s="2">
        <f>ROUND(SUMIF(AA122:AA139,"=34132744",W122:W139),2)</f>
        <v>452.77</v>
      </c>
      <c r="AK141" s="2">
        <f>ROUND(SUMIF(AA122:AA139,"=34132744",X122:X139),2)</f>
        <v>10479.51</v>
      </c>
      <c r="AL141" s="2">
        <f>ROUND(SUMIF(AA122:AA139,"=34132744",Y122:Y139),2)</f>
        <v>6629.08</v>
      </c>
      <c r="AM141" s="2"/>
      <c r="AN141" s="2"/>
      <c r="AO141" s="2">
        <f t="shared" ref="AO141:BD141" si="151">ROUND(BX141,2)</f>
        <v>0</v>
      </c>
      <c r="AP141" s="2">
        <f t="shared" si="151"/>
        <v>0</v>
      </c>
      <c r="AQ141" s="2">
        <f t="shared" si="151"/>
        <v>0</v>
      </c>
      <c r="AR141" s="2">
        <f t="shared" si="151"/>
        <v>62366.720000000001</v>
      </c>
      <c r="AS141" s="2">
        <f t="shared" si="151"/>
        <v>61341.72</v>
      </c>
      <c r="AT141" s="2">
        <f t="shared" si="151"/>
        <v>0</v>
      </c>
      <c r="AU141" s="2">
        <f t="shared" si="151"/>
        <v>1025</v>
      </c>
      <c r="AV141" s="2">
        <f t="shared" si="151"/>
        <v>32857.68</v>
      </c>
      <c r="AW141" s="2">
        <f t="shared" si="151"/>
        <v>32857.68</v>
      </c>
      <c r="AX141" s="2">
        <f t="shared" si="151"/>
        <v>0</v>
      </c>
      <c r="AY141" s="2">
        <f t="shared" si="151"/>
        <v>32857.68</v>
      </c>
      <c r="AZ141" s="2">
        <f t="shared" si="151"/>
        <v>0</v>
      </c>
      <c r="BA141" s="2">
        <f t="shared" si="151"/>
        <v>0</v>
      </c>
      <c r="BB141" s="2">
        <f t="shared" si="151"/>
        <v>0</v>
      </c>
      <c r="BC141" s="2">
        <f t="shared" si="151"/>
        <v>0</v>
      </c>
      <c r="BD141" s="2">
        <f t="shared" si="151"/>
        <v>0</v>
      </c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>
        <f>ROUND(SUMIF(AA122:AA139,"=34132744",FQ122:FQ139),2)</f>
        <v>0</v>
      </c>
      <c r="BY141" s="2">
        <f>ROUND(SUMIF(AA122:AA139,"=34132744",FR122:FR139),2)</f>
        <v>0</v>
      </c>
      <c r="BZ141" s="2">
        <f>ROUND(SUMIF(AA122:AA139,"=34132744",GL122:GL139),2)</f>
        <v>0</v>
      </c>
      <c r="CA141" s="2">
        <f>ROUND(SUMIF(AA122:AA139,"=34132744",GM122:GM139),2)</f>
        <v>62366.720000000001</v>
      </c>
      <c r="CB141" s="2">
        <f>ROUND(SUMIF(AA122:AA139,"=34132744",GN122:GN139),2)</f>
        <v>61341.72</v>
      </c>
      <c r="CC141" s="2">
        <f>ROUND(SUMIF(AA122:AA139,"=34132744",GO122:GO139),2)</f>
        <v>0</v>
      </c>
      <c r="CD141" s="2">
        <f>ROUND(SUMIF(AA122:AA139,"=34132744",GP122:GP139),2)</f>
        <v>1025</v>
      </c>
      <c r="CE141" s="2">
        <f>AC141-BX141</f>
        <v>32857.68</v>
      </c>
      <c r="CF141" s="2">
        <f>AC141-BY141</f>
        <v>32857.68</v>
      </c>
      <c r="CG141" s="2">
        <f>BX141-BZ141</f>
        <v>0</v>
      </c>
      <c r="CH141" s="2">
        <f>AC141-BX141-BY141+BZ141</f>
        <v>32857.68</v>
      </c>
      <c r="CI141" s="2">
        <f>BY141-BZ141</f>
        <v>0</v>
      </c>
      <c r="CJ141" s="2">
        <f>ROUND(SUMIF(AA122:AA139,"=34132744",GX122:GX139),2)</f>
        <v>0</v>
      </c>
      <c r="CK141" s="2">
        <f>ROUND(SUMIF(AA122:AA139,"=34132744",GY122:GY139),2)</f>
        <v>0</v>
      </c>
      <c r="CL141" s="2">
        <f>ROUND(SUMIF(AA122:AA139,"=34132744",GZ122:GZ139),2)</f>
        <v>0</v>
      </c>
      <c r="CM141" s="2">
        <f>ROUND(SUMIF(AA122:AA139,"=34132744",HD122:HD139),2)</f>
        <v>0</v>
      </c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>
        <v>0</v>
      </c>
    </row>
    <row r="143" spans="1:245">
      <c r="A143" s="4">
        <v>50</v>
      </c>
      <c r="B143" s="4">
        <v>0</v>
      </c>
      <c r="C143" s="4">
        <v>0</v>
      </c>
      <c r="D143" s="4">
        <v>1</v>
      </c>
      <c r="E143" s="4">
        <v>201</v>
      </c>
      <c r="F143" s="4">
        <f>ROUND(Source!O141,O143)</f>
        <v>45258.13</v>
      </c>
      <c r="G143" s="4" t="s">
        <v>42</v>
      </c>
      <c r="H143" s="4" t="s">
        <v>43</v>
      </c>
      <c r="I143" s="4"/>
      <c r="J143" s="4"/>
      <c r="K143" s="4">
        <v>201</v>
      </c>
      <c r="L143" s="4">
        <v>1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45">
      <c r="A144" s="4">
        <v>50</v>
      </c>
      <c r="B144" s="4">
        <v>0</v>
      </c>
      <c r="C144" s="4">
        <v>0</v>
      </c>
      <c r="D144" s="4">
        <v>1</v>
      </c>
      <c r="E144" s="4">
        <v>202</v>
      </c>
      <c r="F144" s="4">
        <f>ROUND(Source!P141,O144)</f>
        <v>32857.68</v>
      </c>
      <c r="G144" s="4" t="s">
        <v>44</v>
      </c>
      <c r="H144" s="4" t="s">
        <v>45</v>
      </c>
      <c r="I144" s="4"/>
      <c r="J144" s="4"/>
      <c r="K144" s="4">
        <v>202</v>
      </c>
      <c r="L144" s="4">
        <v>2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1</v>
      </c>
      <c r="E145" s="4">
        <v>222</v>
      </c>
      <c r="F145" s="4">
        <f>ROUND(Source!AO141,O145)</f>
        <v>0</v>
      </c>
      <c r="G145" s="4" t="s">
        <v>46</v>
      </c>
      <c r="H145" s="4" t="s">
        <v>47</v>
      </c>
      <c r="I145" s="4"/>
      <c r="J145" s="4"/>
      <c r="K145" s="4">
        <v>222</v>
      </c>
      <c r="L145" s="4">
        <v>3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1</v>
      </c>
      <c r="E146" s="4">
        <v>225</v>
      </c>
      <c r="F146" s="4">
        <f>ROUND(Source!AV141,O146)</f>
        <v>32857.68</v>
      </c>
      <c r="G146" s="4" t="s">
        <v>48</v>
      </c>
      <c r="H146" s="4" t="s">
        <v>49</v>
      </c>
      <c r="I146" s="4"/>
      <c r="J146" s="4"/>
      <c r="K146" s="4">
        <v>225</v>
      </c>
      <c r="L146" s="4">
        <v>4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1</v>
      </c>
      <c r="E147" s="4">
        <v>226</v>
      </c>
      <c r="F147" s="4">
        <f>ROUND(Source!AW141,O147)</f>
        <v>32857.68</v>
      </c>
      <c r="G147" s="4" t="s">
        <v>50</v>
      </c>
      <c r="H147" s="4" t="s">
        <v>51</v>
      </c>
      <c r="I147" s="4"/>
      <c r="J147" s="4"/>
      <c r="K147" s="4">
        <v>226</v>
      </c>
      <c r="L147" s="4">
        <v>5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1</v>
      </c>
      <c r="E148" s="4">
        <v>227</v>
      </c>
      <c r="F148" s="4">
        <f>ROUND(Source!AX141,O148)</f>
        <v>0</v>
      </c>
      <c r="G148" s="4" t="s">
        <v>52</v>
      </c>
      <c r="H148" s="4" t="s">
        <v>53</v>
      </c>
      <c r="I148" s="4"/>
      <c r="J148" s="4"/>
      <c r="K148" s="4">
        <v>227</v>
      </c>
      <c r="L148" s="4">
        <v>6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1</v>
      </c>
      <c r="E149" s="4">
        <v>228</v>
      </c>
      <c r="F149" s="4">
        <f>ROUND(Source!AY141,O149)</f>
        <v>32857.68</v>
      </c>
      <c r="G149" s="4" t="s">
        <v>54</v>
      </c>
      <c r="H149" s="4" t="s">
        <v>55</v>
      </c>
      <c r="I149" s="4"/>
      <c r="J149" s="4"/>
      <c r="K149" s="4">
        <v>228</v>
      </c>
      <c r="L149" s="4">
        <v>7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1</v>
      </c>
      <c r="E150" s="4">
        <v>216</v>
      </c>
      <c r="F150" s="4">
        <f>ROUND(Source!AP141,O150)</f>
        <v>0</v>
      </c>
      <c r="G150" s="4" t="s">
        <v>56</v>
      </c>
      <c r="H150" s="4" t="s">
        <v>57</v>
      </c>
      <c r="I150" s="4"/>
      <c r="J150" s="4"/>
      <c r="K150" s="4">
        <v>216</v>
      </c>
      <c r="L150" s="4">
        <v>8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1</v>
      </c>
      <c r="E151" s="4">
        <v>223</v>
      </c>
      <c r="F151" s="4">
        <f>ROUND(Source!AQ141,O151)</f>
        <v>0</v>
      </c>
      <c r="G151" s="4" t="s">
        <v>58</v>
      </c>
      <c r="H151" s="4" t="s">
        <v>59</v>
      </c>
      <c r="I151" s="4"/>
      <c r="J151" s="4"/>
      <c r="K151" s="4">
        <v>223</v>
      </c>
      <c r="L151" s="4">
        <v>9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1</v>
      </c>
      <c r="E152" s="4">
        <v>229</v>
      </c>
      <c r="F152" s="4">
        <f>ROUND(Source!AZ141,O152)</f>
        <v>0</v>
      </c>
      <c r="G152" s="4" t="s">
        <v>60</v>
      </c>
      <c r="H152" s="4" t="s">
        <v>61</v>
      </c>
      <c r="I152" s="4"/>
      <c r="J152" s="4"/>
      <c r="K152" s="4">
        <v>229</v>
      </c>
      <c r="L152" s="4">
        <v>10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1</v>
      </c>
      <c r="E153" s="4">
        <v>203</v>
      </c>
      <c r="F153" s="4">
        <f>ROUND(Source!Q141,O153)</f>
        <v>1137.47</v>
      </c>
      <c r="G153" s="4" t="s">
        <v>62</v>
      </c>
      <c r="H153" s="4" t="s">
        <v>63</v>
      </c>
      <c r="I153" s="4"/>
      <c r="J153" s="4"/>
      <c r="K153" s="4">
        <v>203</v>
      </c>
      <c r="L153" s="4">
        <v>11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1</v>
      </c>
      <c r="E154" s="4">
        <v>231</v>
      </c>
      <c r="F154" s="4">
        <f>ROUND(Source!BB141,O154)</f>
        <v>0</v>
      </c>
      <c r="G154" s="4" t="s">
        <v>64</v>
      </c>
      <c r="H154" s="4" t="s">
        <v>65</v>
      </c>
      <c r="I154" s="4"/>
      <c r="J154" s="4"/>
      <c r="K154" s="4">
        <v>231</v>
      </c>
      <c r="L154" s="4">
        <v>12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1</v>
      </c>
      <c r="E155" s="4">
        <v>204</v>
      </c>
      <c r="F155" s="4">
        <f>ROUND(Source!R141,O155)</f>
        <v>275.27999999999997</v>
      </c>
      <c r="G155" s="4" t="s">
        <v>66</v>
      </c>
      <c r="H155" s="4" t="s">
        <v>67</v>
      </c>
      <c r="I155" s="4"/>
      <c r="J155" s="4"/>
      <c r="K155" s="4">
        <v>204</v>
      </c>
      <c r="L155" s="4">
        <v>13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1</v>
      </c>
      <c r="E156" s="4">
        <v>205</v>
      </c>
      <c r="F156" s="4">
        <f>ROUND(Source!S141,O156)</f>
        <v>11262.98</v>
      </c>
      <c r="G156" s="4" t="s">
        <v>68</v>
      </c>
      <c r="H156" s="4" t="s">
        <v>69</v>
      </c>
      <c r="I156" s="4"/>
      <c r="J156" s="4"/>
      <c r="K156" s="4">
        <v>205</v>
      </c>
      <c r="L156" s="4">
        <v>14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1</v>
      </c>
      <c r="E157" s="4">
        <v>232</v>
      </c>
      <c r="F157" s="4">
        <f>ROUND(Source!BC141,O157)</f>
        <v>0</v>
      </c>
      <c r="G157" s="4" t="s">
        <v>70</v>
      </c>
      <c r="H157" s="4" t="s">
        <v>71</v>
      </c>
      <c r="I157" s="4"/>
      <c r="J157" s="4"/>
      <c r="K157" s="4">
        <v>232</v>
      </c>
      <c r="L157" s="4">
        <v>15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1</v>
      </c>
      <c r="E158" s="4">
        <v>214</v>
      </c>
      <c r="F158" s="4">
        <f>ROUND(Source!AS141,O158)</f>
        <v>61341.72</v>
      </c>
      <c r="G158" s="4" t="s">
        <v>72</v>
      </c>
      <c r="H158" s="4" t="s">
        <v>73</v>
      </c>
      <c r="I158" s="4"/>
      <c r="J158" s="4"/>
      <c r="K158" s="4">
        <v>214</v>
      </c>
      <c r="L158" s="4">
        <v>16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1</v>
      </c>
      <c r="E159" s="4">
        <v>215</v>
      </c>
      <c r="F159" s="4">
        <f>ROUND(Source!AT141,O159)</f>
        <v>0</v>
      </c>
      <c r="G159" s="4" t="s">
        <v>74</v>
      </c>
      <c r="H159" s="4" t="s">
        <v>75</v>
      </c>
      <c r="I159" s="4"/>
      <c r="J159" s="4"/>
      <c r="K159" s="4">
        <v>215</v>
      </c>
      <c r="L159" s="4">
        <v>17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1</v>
      </c>
      <c r="E160" s="4">
        <v>217</v>
      </c>
      <c r="F160" s="4">
        <f>ROUND(Source!AU141,O160)</f>
        <v>1025</v>
      </c>
      <c r="G160" s="4" t="s">
        <v>76</v>
      </c>
      <c r="H160" s="4" t="s">
        <v>77</v>
      </c>
      <c r="I160" s="4"/>
      <c r="J160" s="4"/>
      <c r="K160" s="4">
        <v>217</v>
      </c>
      <c r="L160" s="4">
        <v>18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06">
      <c r="A161" s="4">
        <v>50</v>
      </c>
      <c r="B161" s="4">
        <v>0</v>
      </c>
      <c r="C161" s="4">
        <v>0</v>
      </c>
      <c r="D161" s="4">
        <v>1</v>
      </c>
      <c r="E161" s="4">
        <v>230</v>
      </c>
      <c r="F161" s="4">
        <f>ROUND(Source!BA141,O161)</f>
        <v>0</v>
      </c>
      <c r="G161" s="4" t="s">
        <v>78</v>
      </c>
      <c r="H161" s="4" t="s">
        <v>79</v>
      </c>
      <c r="I161" s="4"/>
      <c r="J161" s="4"/>
      <c r="K161" s="4">
        <v>230</v>
      </c>
      <c r="L161" s="4">
        <v>19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06">
      <c r="A162" s="4">
        <v>50</v>
      </c>
      <c r="B162" s="4">
        <v>0</v>
      </c>
      <c r="C162" s="4">
        <v>0</v>
      </c>
      <c r="D162" s="4">
        <v>1</v>
      </c>
      <c r="E162" s="4">
        <v>206</v>
      </c>
      <c r="F162" s="4">
        <f>ROUND(Source!T141,O162)</f>
        <v>0</v>
      </c>
      <c r="G162" s="4" t="s">
        <v>80</v>
      </c>
      <c r="H162" s="4" t="s">
        <v>81</v>
      </c>
      <c r="I162" s="4"/>
      <c r="J162" s="4"/>
      <c r="K162" s="4">
        <v>206</v>
      </c>
      <c r="L162" s="4">
        <v>20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06">
      <c r="A163" s="4">
        <v>50</v>
      </c>
      <c r="B163" s="4">
        <v>0</v>
      </c>
      <c r="C163" s="4">
        <v>0</v>
      </c>
      <c r="D163" s="4">
        <v>1</v>
      </c>
      <c r="E163" s="4">
        <v>207</v>
      </c>
      <c r="F163" s="4">
        <f>Source!U141</f>
        <v>37.893040999999997</v>
      </c>
      <c r="G163" s="4" t="s">
        <v>82</v>
      </c>
      <c r="H163" s="4" t="s">
        <v>83</v>
      </c>
      <c r="I163" s="4"/>
      <c r="J163" s="4"/>
      <c r="K163" s="4">
        <v>207</v>
      </c>
      <c r="L163" s="4">
        <v>21</v>
      </c>
      <c r="M163" s="4">
        <v>3</v>
      </c>
      <c r="N163" s="4" t="s">
        <v>3</v>
      </c>
      <c r="O163" s="4">
        <v>-1</v>
      </c>
      <c r="P163" s="4"/>
      <c r="Q163" s="4"/>
      <c r="R163" s="4"/>
      <c r="S163" s="4"/>
      <c r="T163" s="4"/>
      <c r="U163" s="4"/>
      <c r="V163" s="4"/>
      <c r="W163" s="4"/>
    </row>
    <row r="164" spans="1:206">
      <c r="A164" s="4">
        <v>50</v>
      </c>
      <c r="B164" s="4">
        <v>0</v>
      </c>
      <c r="C164" s="4">
        <v>0</v>
      </c>
      <c r="D164" s="4">
        <v>1</v>
      </c>
      <c r="E164" s="4">
        <v>208</v>
      </c>
      <c r="F164" s="4">
        <f>Source!V141</f>
        <v>0.66439749999999986</v>
      </c>
      <c r="G164" s="4" t="s">
        <v>84</v>
      </c>
      <c r="H164" s="4" t="s">
        <v>85</v>
      </c>
      <c r="I164" s="4"/>
      <c r="J164" s="4"/>
      <c r="K164" s="4">
        <v>208</v>
      </c>
      <c r="L164" s="4">
        <v>22</v>
      </c>
      <c r="M164" s="4">
        <v>3</v>
      </c>
      <c r="N164" s="4" t="s">
        <v>3</v>
      </c>
      <c r="O164" s="4">
        <v>-1</v>
      </c>
      <c r="P164" s="4"/>
      <c r="Q164" s="4"/>
      <c r="R164" s="4"/>
      <c r="S164" s="4"/>
      <c r="T164" s="4"/>
      <c r="U164" s="4"/>
      <c r="V164" s="4"/>
      <c r="W164" s="4"/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209</v>
      </c>
      <c r="F165" s="4">
        <f>ROUND(Source!W141,O165)</f>
        <v>452.77</v>
      </c>
      <c r="G165" s="4" t="s">
        <v>86</v>
      </c>
      <c r="H165" s="4" t="s">
        <v>87</v>
      </c>
      <c r="I165" s="4"/>
      <c r="J165" s="4"/>
      <c r="K165" s="4">
        <v>209</v>
      </c>
      <c r="L165" s="4">
        <v>23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233</v>
      </c>
      <c r="F166" s="4">
        <f>ROUND(Source!BD141,O166)</f>
        <v>0</v>
      </c>
      <c r="G166" s="4" t="s">
        <v>88</v>
      </c>
      <c r="H166" s="4" t="s">
        <v>89</v>
      </c>
      <c r="I166" s="4"/>
      <c r="J166" s="4"/>
      <c r="K166" s="4">
        <v>233</v>
      </c>
      <c r="L166" s="4">
        <v>24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06">
      <c r="A167" s="4">
        <v>50</v>
      </c>
      <c r="B167" s="4">
        <v>0</v>
      </c>
      <c r="C167" s="4">
        <v>0</v>
      </c>
      <c r="D167" s="4">
        <v>1</v>
      </c>
      <c r="E167" s="4">
        <v>210</v>
      </c>
      <c r="F167" s="4">
        <f>ROUND(Source!X141,O167)</f>
        <v>10479.51</v>
      </c>
      <c r="G167" s="4" t="s">
        <v>90</v>
      </c>
      <c r="H167" s="4" t="s">
        <v>91</v>
      </c>
      <c r="I167" s="4"/>
      <c r="J167" s="4"/>
      <c r="K167" s="4">
        <v>210</v>
      </c>
      <c r="L167" s="4">
        <v>25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06">
      <c r="A168" s="4">
        <v>50</v>
      </c>
      <c r="B168" s="4">
        <v>0</v>
      </c>
      <c r="C168" s="4">
        <v>0</v>
      </c>
      <c r="D168" s="4">
        <v>1</v>
      </c>
      <c r="E168" s="4">
        <v>211</v>
      </c>
      <c r="F168" s="4">
        <f>ROUND(Source!Y141,O168)</f>
        <v>6629.08</v>
      </c>
      <c r="G168" s="4" t="s">
        <v>92</v>
      </c>
      <c r="H168" s="4" t="s">
        <v>93</v>
      </c>
      <c r="I168" s="4"/>
      <c r="J168" s="4"/>
      <c r="K168" s="4">
        <v>211</v>
      </c>
      <c r="L168" s="4">
        <v>26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06">
      <c r="A169" s="4">
        <v>50</v>
      </c>
      <c r="B169" s="4">
        <v>0</v>
      </c>
      <c r="C169" s="4">
        <v>0</v>
      </c>
      <c r="D169" s="4">
        <v>1</v>
      </c>
      <c r="E169" s="4">
        <v>224</v>
      </c>
      <c r="F169" s="4">
        <f>ROUND(Source!AR141,O169)</f>
        <v>62366.720000000001</v>
      </c>
      <c r="G169" s="4" t="s">
        <v>94</v>
      </c>
      <c r="H169" s="4" t="s">
        <v>95</v>
      </c>
      <c r="I169" s="4"/>
      <c r="J169" s="4"/>
      <c r="K169" s="4">
        <v>224</v>
      </c>
      <c r="L169" s="4">
        <v>27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1" spans="1:206">
      <c r="A171" s="2">
        <v>51</v>
      </c>
      <c r="B171" s="2">
        <f>B20</f>
        <v>1</v>
      </c>
      <c r="C171" s="2">
        <f>A20</f>
        <v>3</v>
      </c>
      <c r="D171" s="2">
        <f>ROW(A20)</f>
        <v>20</v>
      </c>
      <c r="E171" s="2"/>
      <c r="F171" s="2" t="str">
        <f>IF(F20&lt;&gt;"",F20,"")</f>
        <v>Новая локальная смета</v>
      </c>
      <c r="G171" s="2" t="str">
        <f>IF(G20&lt;&gt;"",G20,"")</f>
        <v>Новая локальная смета</v>
      </c>
      <c r="H171" s="2">
        <v>0</v>
      </c>
      <c r="I171" s="2"/>
      <c r="J171" s="2"/>
      <c r="K171" s="2"/>
      <c r="L171" s="2"/>
      <c r="M171" s="2"/>
      <c r="N171" s="2"/>
      <c r="O171" s="2">
        <f t="shared" ref="O171:T171" si="152">ROUND(O35+O88+O141+AB171,2)</f>
        <v>232924.62</v>
      </c>
      <c r="P171" s="2">
        <f t="shared" si="152"/>
        <v>166714.28</v>
      </c>
      <c r="Q171" s="2">
        <f t="shared" si="152"/>
        <v>6000.95</v>
      </c>
      <c r="R171" s="2">
        <f t="shared" si="152"/>
        <v>1416.67</v>
      </c>
      <c r="S171" s="2">
        <f t="shared" si="152"/>
        <v>60209.39</v>
      </c>
      <c r="T171" s="2">
        <f t="shared" si="152"/>
        <v>0</v>
      </c>
      <c r="U171" s="2">
        <f>U35+U88+U141+AH171</f>
        <v>204.48792099999997</v>
      </c>
      <c r="V171" s="2">
        <f>V35+V88+V141+AI171</f>
        <v>3.4039374999999996</v>
      </c>
      <c r="W171" s="2">
        <f>ROUND(W35+W88+W141+AJ171,2)</f>
        <v>2282.56</v>
      </c>
      <c r="X171" s="2">
        <f>ROUND(X35+X88+X141+AK171,2)</f>
        <v>59402.11</v>
      </c>
      <c r="Y171" s="2">
        <f>ROUND(Y35+Y88+Y141+AL171,2)</f>
        <v>36189.15</v>
      </c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>
        <f t="shared" ref="AO171:BD171" si="153">ROUND(AO35+AO88+AO141+BX171,2)</f>
        <v>0</v>
      </c>
      <c r="AP171" s="2">
        <f t="shared" si="153"/>
        <v>0</v>
      </c>
      <c r="AQ171" s="2">
        <f t="shared" si="153"/>
        <v>0</v>
      </c>
      <c r="AR171" s="2">
        <f t="shared" si="153"/>
        <v>328515.88</v>
      </c>
      <c r="AS171" s="2">
        <f t="shared" si="153"/>
        <v>327490.88</v>
      </c>
      <c r="AT171" s="2">
        <f t="shared" si="153"/>
        <v>0</v>
      </c>
      <c r="AU171" s="2">
        <f t="shared" si="153"/>
        <v>1025</v>
      </c>
      <c r="AV171" s="2">
        <f t="shared" si="153"/>
        <v>166714.28</v>
      </c>
      <c r="AW171" s="2">
        <f t="shared" si="153"/>
        <v>166714.28</v>
      </c>
      <c r="AX171" s="2">
        <f t="shared" si="153"/>
        <v>0</v>
      </c>
      <c r="AY171" s="2">
        <f t="shared" si="153"/>
        <v>166714.28</v>
      </c>
      <c r="AZ171" s="2">
        <f t="shared" si="153"/>
        <v>0</v>
      </c>
      <c r="BA171" s="2">
        <f t="shared" si="153"/>
        <v>0</v>
      </c>
      <c r="BB171" s="2">
        <f t="shared" si="153"/>
        <v>0</v>
      </c>
      <c r="BC171" s="2">
        <f t="shared" si="153"/>
        <v>0</v>
      </c>
      <c r="BD171" s="2">
        <f t="shared" si="153"/>
        <v>0</v>
      </c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>
        <v>0</v>
      </c>
    </row>
    <row r="173" spans="1:206">
      <c r="A173" s="4">
        <v>50</v>
      </c>
      <c r="B173" s="4">
        <v>0</v>
      </c>
      <c r="C173" s="4">
        <v>0</v>
      </c>
      <c r="D173" s="4">
        <v>1</v>
      </c>
      <c r="E173" s="4">
        <v>201</v>
      </c>
      <c r="F173" s="4">
        <f>ROUND(Source!O171,O173)</f>
        <v>232924.62</v>
      </c>
      <c r="G173" s="4" t="s">
        <v>42</v>
      </c>
      <c r="H173" s="4" t="s">
        <v>43</v>
      </c>
      <c r="I173" s="4"/>
      <c r="J173" s="4"/>
      <c r="K173" s="4">
        <v>201</v>
      </c>
      <c r="L173" s="4">
        <v>1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202</v>
      </c>
      <c r="F174" s="4">
        <f>ROUND(Source!P171,O174)</f>
        <v>166714.28</v>
      </c>
      <c r="G174" s="4" t="s">
        <v>44</v>
      </c>
      <c r="H174" s="4" t="s">
        <v>45</v>
      </c>
      <c r="I174" s="4"/>
      <c r="J174" s="4"/>
      <c r="K174" s="4">
        <v>202</v>
      </c>
      <c r="L174" s="4">
        <v>2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222</v>
      </c>
      <c r="F175" s="4">
        <f>ROUND(Source!AO171,O175)</f>
        <v>0</v>
      </c>
      <c r="G175" s="4" t="s">
        <v>46</v>
      </c>
      <c r="H175" s="4" t="s">
        <v>47</v>
      </c>
      <c r="I175" s="4"/>
      <c r="J175" s="4"/>
      <c r="K175" s="4">
        <v>222</v>
      </c>
      <c r="L175" s="4">
        <v>3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225</v>
      </c>
      <c r="F176" s="4">
        <f>ROUND(Source!AV171,O176)</f>
        <v>166714.28</v>
      </c>
      <c r="G176" s="4" t="s">
        <v>48</v>
      </c>
      <c r="H176" s="4" t="s">
        <v>49</v>
      </c>
      <c r="I176" s="4"/>
      <c r="J176" s="4"/>
      <c r="K176" s="4">
        <v>225</v>
      </c>
      <c r="L176" s="4">
        <v>4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226</v>
      </c>
      <c r="F177" s="4">
        <f>ROUND(Source!AW171,O177)</f>
        <v>166714.28</v>
      </c>
      <c r="G177" s="4" t="s">
        <v>50</v>
      </c>
      <c r="H177" s="4" t="s">
        <v>51</v>
      </c>
      <c r="I177" s="4"/>
      <c r="J177" s="4"/>
      <c r="K177" s="4">
        <v>226</v>
      </c>
      <c r="L177" s="4">
        <v>5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227</v>
      </c>
      <c r="F178" s="4">
        <f>ROUND(Source!AX171,O178)</f>
        <v>0</v>
      </c>
      <c r="G178" s="4" t="s">
        <v>52</v>
      </c>
      <c r="H178" s="4" t="s">
        <v>53</v>
      </c>
      <c r="I178" s="4"/>
      <c r="J178" s="4"/>
      <c r="K178" s="4">
        <v>227</v>
      </c>
      <c r="L178" s="4">
        <v>6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228</v>
      </c>
      <c r="F179" s="4">
        <f>ROUND(Source!AY171,O179)</f>
        <v>166714.28</v>
      </c>
      <c r="G179" s="4" t="s">
        <v>54</v>
      </c>
      <c r="H179" s="4" t="s">
        <v>55</v>
      </c>
      <c r="I179" s="4"/>
      <c r="J179" s="4"/>
      <c r="K179" s="4">
        <v>228</v>
      </c>
      <c r="L179" s="4">
        <v>7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216</v>
      </c>
      <c r="F180" s="4">
        <f>ROUND(Source!AP171,O180)</f>
        <v>0</v>
      </c>
      <c r="G180" s="4" t="s">
        <v>56</v>
      </c>
      <c r="H180" s="4" t="s">
        <v>57</v>
      </c>
      <c r="I180" s="4"/>
      <c r="J180" s="4"/>
      <c r="K180" s="4">
        <v>216</v>
      </c>
      <c r="L180" s="4">
        <v>8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223</v>
      </c>
      <c r="F181" s="4">
        <f>ROUND(Source!AQ171,O181)</f>
        <v>0</v>
      </c>
      <c r="G181" s="4" t="s">
        <v>58</v>
      </c>
      <c r="H181" s="4" t="s">
        <v>59</v>
      </c>
      <c r="I181" s="4"/>
      <c r="J181" s="4"/>
      <c r="K181" s="4">
        <v>223</v>
      </c>
      <c r="L181" s="4">
        <v>9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229</v>
      </c>
      <c r="F182" s="4">
        <f>ROUND(Source!AZ171,O182)</f>
        <v>0</v>
      </c>
      <c r="G182" s="4" t="s">
        <v>60</v>
      </c>
      <c r="H182" s="4" t="s">
        <v>61</v>
      </c>
      <c r="I182" s="4"/>
      <c r="J182" s="4"/>
      <c r="K182" s="4">
        <v>229</v>
      </c>
      <c r="L182" s="4">
        <v>10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203</v>
      </c>
      <c r="F183" s="4">
        <f>ROUND(Source!Q171,O183)</f>
        <v>6000.95</v>
      </c>
      <c r="G183" s="4" t="s">
        <v>62</v>
      </c>
      <c r="H183" s="4" t="s">
        <v>63</v>
      </c>
      <c r="I183" s="4"/>
      <c r="J183" s="4"/>
      <c r="K183" s="4">
        <v>203</v>
      </c>
      <c r="L183" s="4">
        <v>11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231</v>
      </c>
      <c r="F184" s="4">
        <f>ROUND(Source!BB171,O184)</f>
        <v>0</v>
      </c>
      <c r="G184" s="4" t="s">
        <v>64</v>
      </c>
      <c r="H184" s="4" t="s">
        <v>65</v>
      </c>
      <c r="I184" s="4"/>
      <c r="J184" s="4"/>
      <c r="K184" s="4">
        <v>231</v>
      </c>
      <c r="L184" s="4">
        <v>12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204</v>
      </c>
      <c r="F185" s="4">
        <f>ROUND(Source!R171,O185)</f>
        <v>1416.67</v>
      </c>
      <c r="G185" s="4" t="s">
        <v>66</v>
      </c>
      <c r="H185" s="4" t="s">
        <v>67</v>
      </c>
      <c r="I185" s="4"/>
      <c r="J185" s="4"/>
      <c r="K185" s="4">
        <v>204</v>
      </c>
      <c r="L185" s="4">
        <v>13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0</v>
      </c>
      <c r="C186" s="4">
        <v>0</v>
      </c>
      <c r="D186" s="4">
        <v>1</v>
      </c>
      <c r="E186" s="4">
        <v>205</v>
      </c>
      <c r="F186" s="4">
        <f>ROUND(Source!S171,O186)</f>
        <v>60209.39</v>
      </c>
      <c r="G186" s="4" t="s">
        <v>68</v>
      </c>
      <c r="H186" s="4" t="s">
        <v>69</v>
      </c>
      <c r="I186" s="4"/>
      <c r="J186" s="4"/>
      <c r="K186" s="4">
        <v>205</v>
      </c>
      <c r="L186" s="4">
        <v>14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0</v>
      </c>
      <c r="C187" s="4">
        <v>0</v>
      </c>
      <c r="D187" s="4">
        <v>1</v>
      </c>
      <c r="E187" s="4">
        <v>232</v>
      </c>
      <c r="F187" s="4">
        <f>ROUND(Source!BC171,O187)</f>
        <v>0</v>
      </c>
      <c r="G187" s="4" t="s">
        <v>70</v>
      </c>
      <c r="H187" s="4" t="s">
        <v>71</v>
      </c>
      <c r="I187" s="4"/>
      <c r="J187" s="4"/>
      <c r="K187" s="4">
        <v>232</v>
      </c>
      <c r="L187" s="4">
        <v>15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1</v>
      </c>
      <c r="E188" s="4">
        <v>214</v>
      </c>
      <c r="F188" s="4">
        <f>ROUND(Source!AS171,O188)</f>
        <v>327490.88</v>
      </c>
      <c r="G188" s="4" t="s">
        <v>72</v>
      </c>
      <c r="H188" s="4" t="s">
        <v>73</v>
      </c>
      <c r="I188" s="4"/>
      <c r="J188" s="4"/>
      <c r="K188" s="4">
        <v>214</v>
      </c>
      <c r="L188" s="4">
        <v>16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0</v>
      </c>
      <c r="C189" s="4">
        <v>0</v>
      </c>
      <c r="D189" s="4">
        <v>1</v>
      </c>
      <c r="E189" s="4">
        <v>215</v>
      </c>
      <c r="F189" s="4">
        <f>ROUND(Source!AT171,O189)</f>
        <v>0</v>
      </c>
      <c r="G189" s="4" t="s">
        <v>74</v>
      </c>
      <c r="H189" s="4" t="s">
        <v>75</v>
      </c>
      <c r="I189" s="4"/>
      <c r="J189" s="4"/>
      <c r="K189" s="4">
        <v>215</v>
      </c>
      <c r="L189" s="4">
        <v>17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0</v>
      </c>
      <c r="C190" s="4">
        <v>0</v>
      </c>
      <c r="D190" s="4">
        <v>1</v>
      </c>
      <c r="E190" s="4">
        <v>217</v>
      </c>
      <c r="F190" s="4">
        <f>ROUND(Source!AU171,O190)</f>
        <v>1025</v>
      </c>
      <c r="G190" s="4" t="s">
        <v>76</v>
      </c>
      <c r="H190" s="4" t="s">
        <v>77</v>
      </c>
      <c r="I190" s="4"/>
      <c r="J190" s="4"/>
      <c r="K190" s="4">
        <v>217</v>
      </c>
      <c r="L190" s="4">
        <v>18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0</v>
      </c>
      <c r="C191" s="4">
        <v>0</v>
      </c>
      <c r="D191" s="4">
        <v>1</v>
      </c>
      <c r="E191" s="4">
        <v>230</v>
      </c>
      <c r="F191" s="4">
        <f>ROUND(Source!BA171,O191)</f>
        <v>0</v>
      </c>
      <c r="G191" s="4" t="s">
        <v>78</v>
      </c>
      <c r="H191" s="4" t="s">
        <v>79</v>
      </c>
      <c r="I191" s="4"/>
      <c r="J191" s="4"/>
      <c r="K191" s="4">
        <v>230</v>
      </c>
      <c r="L191" s="4">
        <v>19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>
      <c r="A192" s="4">
        <v>50</v>
      </c>
      <c r="B192" s="4">
        <v>0</v>
      </c>
      <c r="C192" s="4">
        <v>0</v>
      </c>
      <c r="D192" s="4">
        <v>1</v>
      </c>
      <c r="E192" s="4">
        <v>206</v>
      </c>
      <c r="F192" s="4">
        <f>ROUND(Source!T171,O192)</f>
        <v>0</v>
      </c>
      <c r="G192" s="4" t="s">
        <v>80</v>
      </c>
      <c r="H192" s="4" t="s">
        <v>81</v>
      </c>
      <c r="I192" s="4"/>
      <c r="J192" s="4"/>
      <c r="K192" s="4">
        <v>206</v>
      </c>
      <c r="L192" s="4">
        <v>20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06">
      <c r="A193" s="4">
        <v>50</v>
      </c>
      <c r="B193" s="4">
        <v>0</v>
      </c>
      <c r="C193" s="4">
        <v>0</v>
      </c>
      <c r="D193" s="4">
        <v>1</v>
      </c>
      <c r="E193" s="4">
        <v>207</v>
      </c>
      <c r="F193" s="4">
        <f>Source!U171</f>
        <v>204.48792099999997</v>
      </c>
      <c r="G193" s="4" t="s">
        <v>82</v>
      </c>
      <c r="H193" s="4" t="s">
        <v>83</v>
      </c>
      <c r="I193" s="4"/>
      <c r="J193" s="4"/>
      <c r="K193" s="4">
        <v>207</v>
      </c>
      <c r="L193" s="4">
        <v>21</v>
      </c>
      <c r="M193" s="4">
        <v>3</v>
      </c>
      <c r="N193" s="4" t="s">
        <v>3</v>
      </c>
      <c r="O193" s="4">
        <v>-1</v>
      </c>
      <c r="P193" s="4"/>
      <c r="Q193" s="4"/>
      <c r="R193" s="4"/>
      <c r="S193" s="4"/>
      <c r="T193" s="4"/>
      <c r="U193" s="4"/>
      <c r="V193" s="4"/>
      <c r="W193" s="4"/>
    </row>
    <row r="194" spans="1:206">
      <c r="A194" s="4">
        <v>50</v>
      </c>
      <c r="B194" s="4">
        <v>0</v>
      </c>
      <c r="C194" s="4">
        <v>0</v>
      </c>
      <c r="D194" s="4">
        <v>1</v>
      </c>
      <c r="E194" s="4">
        <v>208</v>
      </c>
      <c r="F194" s="4">
        <f>Source!V171</f>
        <v>3.4039374999999996</v>
      </c>
      <c r="G194" s="4" t="s">
        <v>84</v>
      </c>
      <c r="H194" s="4" t="s">
        <v>85</v>
      </c>
      <c r="I194" s="4"/>
      <c r="J194" s="4"/>
      <c r="K194" s="4">
        <v>208</v>
      </c>
      <c r="L194" s="4">
        <v>22</v>
      </c>
      <c r="M194" s="4">
        <v>3</v>
      </c>
      <c r="N194" s="4" t="s">
        <v>3</v>
      </c>
      <c r="O194" s="4">
        <v>-1</v>
      </c>
      <c r="P194" s="4"/>
      <c r="Q194" s="4"/>
      <c r="R194" s="4"/>
      <c r="S194" s="4"/>
      <c r="T194" s="4"/>
      <c r="U194" s="4"/>
      <c r="V194" s="4"/>
      <c r="W194" s="4"/>
    </row>
    <row r="195" spans="1:206">
      <c r="A195" s="4">
        <v>50</v>
      </c>
      <c r="B195" s="4">
        <v>0</v>
      </c>
      <c r="C195" s="4">
        <v>0</v>
      </c>
      <c r="D195" s="4">
        <v>1</v>
      </c>
      <c r="E195" s="4">
        <v>209</v>
      </c>
      <c r="F195" s="4">
        <f>ROUND(Source!W171,O195)</f>
        <v>2282.56</v>
      </c>
      <c r="G195" s="4" t="s">
        <v>86</v>
      </c>
      <c r="H195" s="4" t="s">
        <v>87</v>
      </c>
      <c r="I195" s="4"/>
      <c r="J195" s="4"/>
      <c r="K195" s="4">
        <v>209</v>
      </c>
      <c r="L195" s="4">
        <v>23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233</v>
      </c>
      <c r="F196" s="4">
        <f>ROUND(Source!BD171,O196)</f>
        <v>0</v>
      </c>
      <c r="G196" s="4" t="s">
        <v>88</v>
      </c>
      <c r="H196" s="4" t="s">
        <v>89</v>
      </c>
      <c r="I196" s="4"/>
      <c r="J196" s="4"/>
      <c r="K196" s="4">
        <v>233</v>
      </c>
      <c r="L196" s="4">
        <v>24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210</v>
      </c>
      <c r="F197" s="4">
        <f>ROUND(Source!X171,O197)</f>
        <v>59402.11</v>
      </c>
      <c r="G197" s="4" t="s">
        <v>90</v>
      </c>
      <c r="H197" s="4" t="s">
        <v>91</v>
      </c>
      <c r="I197" s="4"/>
      <c r="J197" s="4"/>
      <c r="K197" s="4">
        <v>210</v>
      </c>
      <c r="L197" s="4">
        <v>25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211</v>
      </c>
      <c r="F198" s="4">
        <f>ROUND(Source!Y171,O198)</f>
        <v>36189.15</v>
      </c>
      <c r="G198" s="4" t="s">
        <v>92</v>
      </c>
      <c r="H198" s="4" t="s">
        <v>93</v>
      </c>
      <c r="I198" s="4"/>
      <c r="J198" s="4"/>
      <c r="K198" s="4">
        <v>211</v>
      </c>
      <c r="L198" s="4">
        <v>26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>
      <c r="A199" s="4">
        <v>50</v>
      </c>
      <c r="B199" s="4">
        <v>0</v>
      </c>
      <c r="C199" s="4">
        <v>0</v>
      </c>
      <c r="D199" s="4">
        <v>1</v>
      </c>
      <c r="E199" s="4">
        <v>224</v>
      </c>
      <c r="F199" s="4">
        <f>ROUND(Source!AR171,O199)</f>
        <v>328515.88</v>
      </c>
      <c r="G199" s="4" t="s">
        <v>94</v>
      </c>
      <c r="H199" s="4" t="s">
        <v>95</v>
      </c>
      <c r="I199" s="4"/>
      <c r="J199" s="4"/>
      <c r="K199" s="4">
        <v>224</v>
      </c>
      <c r="L199" s="4">
        <v>27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1" spans="1:206">
      <c r="A201" s="2">
        <v>51</v>
      </c>
      <c r="B201" s="2">
        <f>B12</f>
        <v>262</v>
      </c>
      <c r="C201" s="2">
        <f>A12</f>
        <v>1</v>
      </c>
      <c r="D201" s="2">
        <f>ROW(A12)</f>
        <v>12</v>
      </c>
      <c r="E201" s="2"/>
      <c r="F201" s="2" t="str">
        <f>IF(F12&lt;&gt;"",F12,"")</f>
        <v>Новый объект</v>
      </c>
      <c r="G201" s="2" t="str">
        <f>IF(G12&lt;&gt;"",G12,"")</f>
        <v>Ремонт выходов  ОВП 1 этаж ИП 2021</v>
      </c>
      <c r="H201" s="2">
        <v>0</v>
      </c>
      <c r="I201" s="2"/>
      <c r="J201" s="2"/>
      <c r="K201" s="2"/>
      <c r="L201" s="2"/>
      <c r="M201" s="2"/>
      <c r="N201" s="2"/>
      <c r="O201" s="2">
        <f t="shared" ref="O201:T201" si="154">ROUND(O171,2)</f>
        <v>232924.62</v>
      </c>
      <c r="P201" s="2">
        <f t="shared" si="154"/>
        <v>166714.28</v>
      </c>
      <c r="Q201" s="2">
        <f t="shared" si="154"/>
        <v>6000.95</v>
      </c>
      <c r="R201" s="2">
        <f t="shared" si="154"/>
        <v>1416.67</v>
      </c>
      <c r="S201" s="2">
        <f t="shared" si="154"/>
        <v>60209.39</v>
      </c>
      <c r="T201" s="2">
        <f t="shared" si="154"/>
        <v>0</v>
      </c>
      <c r="U201" s="2">
        <f>U171</f>
        <v>204.48792099999997</v>
      </c>
      <c r="V201" s="2">
        <f>V171</f>
        <v>3.4039374999999996</v>
      </c>
      <c r="W201" s="2">
        <f>ROUND(W171,2)</f>
        <v>2282.56</v>
      </c>
      <c r="X201" s="2">
        <f>ROUND(X171,2)</f>
        <v>59402.11</v>
      </c>
      <c r="Y201" s="2">
        <f>ROUND(Y171,2)</f>
        <v>36189.15</v>
      </c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>
        <f t="shared" ref="AO201:BD201" si="155">ROUND(AO171,2)</f>
        <v>0</v>
      </c>
      <c r="AP201" s="2">
        <f t="shared" si="155"/>
        <v>0</v>
      </c>
      <c r="AQ201" s="2">
        <f t="shared" si="155"/>
        <v>0</v>
      </c>
      <c r="AR201" s="2">
        <f t="shared" si="155"/>
        <v>328515.88</v>
      </c>
      <c r="AS201" s="2">
        <f t="shared" si="155"/>
        <v>327490.88</v>
      </c>
      <c r="AT201" s="2">
        <f t="shared" si="155"/>
        <v>0</v>
      </c>
      <c r="AU201" s="2">
        <f t="shared" si="155"/>
        <v>1025</v>
      </c>
      <c r="AV201" s="2">
        <f t="shared" si="155"/>
        <v>166714.28</v>
      </c>
      <c r="AW201" s="2">
        <f t="shared" si="155"/>
        <v>166714.28</v>
      </c>
      <c r="AX201" s="2">
        <f t="shared" si="155"/>
        <v>0</v>
      </c>
      <c r="AY201" s="2">
        <f t="shared" si="155"/>
        <v>166714.28</v>
      </c>
      <c r="AZ201" s="2">
        <f t="shared" si="155"/>
        <v>0</v>
      </c>
      <c r="BA201" s="2">
        <f t="shared" si="155"/>
        <v>0</v>
      </c>
      <c r="BB201" s="2">
        <f t="shared" si="155"/>
        <v>0</v>
      </c>
      <c r="BC201" s="2">
        <f t="shared" si="155"/>
        <v>0</v>
      </c>
      <c r="BD201" s="2">
        <f t="shared" si="155"/>
        <v>0</v>
      </c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>
        <v>0</v>
      </c>
    </row>
    <row r="203" spans="1:206">
      <c r="A203" s="4">
        <v>50</v>
      </c>
      <c r="B203" s="4">
        <v>0</v>
      </c>
      <c r="C203" s="4">
        <v>0</v>
      </c>
      <c r="D203" s="4">
        <v>1</v>
      </c>
      <c r="E203" s="4">
        <v>201</v>
      </c>
      <c r="F203" s="4">
        <f>ROUND(Source!O201,O203)</f>
        <v>232924.62</v>
      </c>
      <c r="G203" s="4" t="s">
        <v>42</v>
      </c>
      <c r="H203" s="4" t="s">
        <v>43</v>
      </c>
      <c r="I203" s="4"/>
      <c r="J203" s="4"/>
      <c r="K203" s="4">
        <v>201</v>
      </c>
      <c r="L203" s="4">
        <v>1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202</v>
      </c>
      <c r="F204" s="4">
        <f>ROUND(Source!P201,O204)</f>
        <v>166714.28</v>
      </c>
      <c r="G204" s="4" t="s">
        <v>44</v>
      </c>
      <c r="H204" s="4" t="s">
        <v>45</v>
      </c>
      <c r="I204" s="4"/>
      <c r="J204" s="4"/>
      <c r="K204" s="4">
        <v>202</v>
      </c>
      <c r="L204" s="4">
        <v>2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222</v>
      </c>
      <c r="F205" s="4">
        <f>ROUND(Source!AO201,O205)</f>
        <v>0</v>
      </c>
      <c r="G205" s="4" t="s">
        <v>46</v>
      </c>
      <c r="H205" s="4" t="s">
        <v>47</v>
      </c>
      <c r="I205" s="4"/>
      <c r="J205" s="4"/>
      <c r="K205" s="4">
        <v>222</v>
      </c>
      <c r="L205" s="4">
        <v>3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225</v>
      </c>
      <c r="F206" s="4">
        <f>ROUND(Source!AV201,O206)</f>
        <v>166714.28</v>
      </c>
      <c r="G206" s="4" t="s">
        <v>48</v>
      </c>
      <c r="H206" s="4" t="s">
        <v>49</v>
      </c>
      <c r="I206" s="4"/>
      <c r="J206" s="4"/>
      <c r="K206" s="4">
        <v>225</v>
      </c>
      <c r="L206" s="4">
        <v>4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226</v>
      </c>
      <c r="F207" s="4">
        <f>ROUND(Source!AW201,O207)</f>
        <v>166714.28</v>
      </c>
      <c r="G207" s="4" t="s">
        <v>50</v>
      </c>
      <c r="H207" s="4" t="s">
        <v>51</v>
      </c>
      <c r="I207" s="4"/>
      <c r="J207" s="4"/>
      <c r="K207" s="4">
        <v>226</v>
      </c>
      <c r="L207" s="4">
        <v>5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227</v>
      </c>
      <c r="F208" s="4">
        <f>ROUND(Source!AX201,O208)</f>
        <v>0</v>
      </c>
      <c r="G208" s="4" t="s">
        <v>52</v>
      </c>
      <c r="H208" s="4" t="s">
        <v>53</v>
      </c>
      <c r="I208" s="4"/>
      <c r="J208" s="4"/>
      <c r="K208" s="4">
        <v>227</v>
      </c>
      <c r="L208" s="4">
        <v>6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3">
      <c r="A209" s="4">
        <v>50</v>
      </c>
      <c r="B209" s="4">
        <v>0</v>
      </c>
      <c r="C209" s="4">
        <v>0</v>
      </c>
      <c r="D209" s="4">
        <v>1</v>
      </c>
      <c r="E209" s="4">
        <v>228</v>
      </c>
      <c r="F209" s="4">
        <f>ROUND(Source!AY201,O209)</f>
        <v>166714.28</v>
      </c>
      <c r="G209" s="4" t="s">
        <v>54</v>
      </c>
      <c r="H209" s="4" t="s">
        <v>55</v>
      </c>
      <c r="I209" s="4"/>
      <c r="J209" s="4"/>
      <c r="K209" s="4">
        <v>228</v>
      </c>
      <c r="L209" s="4">
        <v>7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3">
      <c r="A210" s="4">
        <v>50</v>
      </c>
      <c r="B210" s="4">
        <v>0</v>
      </c>
      <c r="C210" s="4">
        <v>0</v>
      </c>
      <c r="D210" s="4">
        <v>1</v>
      </c>
      <c r="E210" s="4">
        <v>216</v>
      </c>
      <c r="F210" s="4">
        <f>ROUND(Source!AP201,O210)</f>
        <v>0</v>
      </c>
      <c r="G210" s="4" t="s">
        <v>56</v>
      </c>
      <c r="H210" s="4" t="s">
        <v>57</v>
      </c>
      <c r="I210" s="4"/>
      <c r="J210" s="4"/>
      <c r="K210" s="4">
        <v>216</v>
      </c>
      <c r="L210" s="4">
        <v>8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3">
      <c r="A211" s="4">
        <v>50</v>
      </c>
      <c r="B211" s="4">
        <v>0</v>
      </c>
      <c r="C211" s="4">
        <v>0</v>
      </c>
      <c r="D211" s="4">
        <v>1</v>
      </c>
      <c r="E211" s="4">
        <v>223</v>
      </c>
      <c r="F211" s="4">
        <f>ROUND(Source!AQ201,O211)</f>
        <v>0</v>
      </c>
      <c r="G211" s="4" t="s">
        <v>58</v>
      </c>
      <c r="H211" s="4" t="s">
        <v>59</v>
      </c>
      <c r="I211" s="4"/>
      <c r="J211" s="4"/>
      <c r="K211" s="4">
        <v>223</v>
      </c>
      <c r="L211" s="4">
        <v>9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3">
      <c r="A212" s="4">
        <v>50</v>
      </c>
      <c r="B212" s="4">
        <v>0</v>
      </c>
      <c r="C212" s="4">
        <v>0</v>
      </c>
      <c r="D212" s="4">
        <v>1</v>
      </c>
      <c r="E212" s="4">
        <v>229</v>
      </c>
      <c r="F212" s="4">
        <f>ROUND(Source!AZ201,O212)</f>
        <v>0</v>
      </c>
      <c r="G212" s="4" t="s">
        <v>60</v>
      </c>
      <c r="H212" s="4" t="s">
        <v>61</v>
      </c>
      <c r="I212" s="4"/>
      <c r="J212" s="4"/>
      <c r="K212" s="4">
        <v>229</v>
      </c>
      <c r="L212" s="4">
        <v>10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3">
      <c r="A213" s="4">
        <v>50</v>
      </c>
      <c r="B213" s="4">
        <v>0</v>
      </c>
      <c r="C213" s="4">
        <v>0</v>
      </c>
      <c r="D213" s="4">
        <v>1</v>
      </c>
      <c r="E213" s="4">
        <v>203</v>
      </c>
      <c r="F213" s="4">
        <f>ROUND(Source!Q201,O213)</f>
        <v>6000.95</v>
      </c>
      <c r="G213" s="4" t="s">
        <v>62</v>
      </c>
      <c r="H213" s="4" t="s">
        <v>63</v>
      </c>
      <c r="I213" s="4"/>
      <c r="J213" s="4"/>
      <c r="K213" s="4">
        <v>203</v>
      </c>
      <c r="L213" s="4">
        <v>11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3">
      <c r="A214" s="4">
        <v>50</v>
      </c>
      <c r="B214" s="4">
        <v>0</v>
      </c>
      <c r="C214" s="4">
        <v>0</v>
      </c>
      <c r="D214" s="4">
        <v>1</v>
      </c>
      <c r="E214" s="4">
        <v>231</v>
      </c>
      <c r="F214" s="4">
        <f>ROUND(Source!BB201,O214)</f>
        <v>0</v>
      </c>
      <c r="G214" s="4" t="s">
        <v>64</v>
      </c>
      <c r="H214" s="4" t="s">
        <v>65</v>
      </c>
      <c r="I214" s="4"/>
      <c r="J214" s="4"/>
      <c r="K214" s="4">
        <v>231</v>
      </c>
      <c r="L214" s="4">
        <v>12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3">
      <c r="A215" s="4">
        <v>50</v>
      </c>
      <c r="B215" s="4">
        <v>0</v>
      </c>
      <c r="C215" s="4">
        <v>0</v>
      </c>
      <c r="D215" s="4">
        <v>1</v>
      </c>
      <c r="E215" s="4">
        <v>204</v>
      </c>
      <c r="F215" s="4">
        <f>ROUND(Source!R201,O215)</f>
        <v>1416.67</v>
      </c>
      <c r="G215" s="4" t="s">
        <v>66</v>
      </c>
      <c r="H215" s="4" t="s">
        <v>67</v>
      </c>
      <c r="I215" s="4"/>
      <c r="J215" s="4"/>
      <c r="K215" s="4">
        <v>204</v>
      </c>
      <c r="L215" s="4">
        <v>13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3">
      <c r="A216" s="4">
        <v>50</v>
      </c>
      <c r="B216" s="4">
        <v>0</v>
      </c>
      <c r="C216" s="4">
        <v>0</v>
      </c>
      <c r="D216" s="4">
        <v>1</v>
      </c>
      <c r="E216" s="4">
        <v>205</v>
      </c>
      <c r="F216" s="4">
        <f>ROUND(Source!S201,O216)</f>
        <v>60209.39</v>
      </c>
      <c r="G216" s="4" t="s">
        <v>68</v>
      </c>
      <c r="H216" s="4" t="s">
        <v>69</v>
      </c>
      <c r="I216" s="4"/>
      <c r="J216" s="4"/>
      <c r="K216" s="4">
        <v>205</v>
      </c>
      <c r="L216" s="4">
        <v>14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3">
      <c r="A217" s="4">
        <v>50</v>
      </c>
      <c r="B217" s="4">
        <v>0</v>
      </c>
      <c r="C217" s="4">
        <v>0</v>
      </c>
      <c r="D217" s="4">
        <v>1</v>
      </c>
      <c r="E217" s="4">
        <v>232</v>
      </c>
      <c r="F217" s="4">
        <f>ROUND(Source!BC201,O217)</f>
        <v>0</v>
      </c>
      <c r="G217" s="4" t="s">
        <v>70</v>
      </c>
      <c r="H217" s="4" t="s">
        <v>71</v>
      </c>
      <c r="I217" s="4"/>
      <c r="J217" s="4"/>
      <c r="K217" s="4">
        <v>232</v>
      </c>
      <c r="L217" s="4">
        <v>15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3">
      <c r="A218" s="4">
        <v>50</v>
      </c>
      <c r="B218" s="4">
        <v>0</v>
      </c>
      <c r="C218" s="4">
        <v>0</v>
      </c>
      <c r="D218" s="4">
        <v>1</v>
      </c>
      <c r="E218" s="4">
        <v>214</v>
      </c>
      <c r="F218" s="4">
        <f>ROUND(Source!AS201,O218)</f>
        <v>327490.88</v>
      </c>
      <c r="G218" s="4" t="s">
        <v>72</v>
      </c>
      <c r="H218" s="4" t="s">
        <v>73</v>
      </c>
      <c r="I218" s="4"/>
      <c r="J218" s="4"/>
      <c r="K218" s="4">
        <v>214</v>
      </c>
      <c r="L218" s="4">
        <v>16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3">
      <c r="A219" s="4">
        <v>50</v>
      </c>
      <c r="B219" s="4">
        <v>0</v>
      </c>
      <c r="C219" s="4">
        <v>0</v>
      </c>
      <c r="D219" s="4">
        <v>1</v>
      </c>
      <c r="E219" s="4">
        <v>215</v>
      </c>
      <c r="F219" s="4">
        <f>ROUND(Source!AT201,O219)</f>
        <v>0</v>
      </c>
      <c r="G219" s="4" t="s">
        <v>74</v>
      </c>
      <c r="H219" s="4" t="s">
        <v>75</v>
      </c>
      <c r="I219" s="4"/>
      <c r="J219" s="4"/>
      <c r="K219" s="4">
        <v>215</v>
      </c>
      <c r="L219" s="4">
        <v>17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3">
      <c r="A220" s="4">
        <v>50</v>
      </c>
      <c r="B220" s="4">
        <v>0</v>
      </c>
      <c r="C220" s="4">
        <v>0</v>
      </c>
      <c r="D220" s="4">
        <v>1</v>
      </c>
      <c r="E220" s="4">
        <v>217</v>
      </c>
      <c r="F220" s="4">
        <f>ROUND(Source!AU201,O220)</f>
        <v>1025</v>
      </c>
      <c r="G220" s="4" t="s">
        <v>76</v>
      </c>
      <c r="H220" s="4" t="s">
        <v>77</v>
      </c>
      <c r="I220" s="4"/>
      <c r="J220" s="4"/>
      <c r="K220" s="4">
        <v>217</v>
      </c>
      <c r="L220" s="4">
        <v>18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3">
      <c r="A221" s="4">
        <v>50</v>
      </c>
      <c r="B221" s="4">
        <v>0</v>
      </c>
      <c r="C221" s="4">
        <v>0</v>
      </c>
      <c r="D221" s="4">
        <v>1</v>
      </c>
      <c r="E221" s="4">
        <v>230</v>
      </c>
      <c r="F221" s="4">
        <f>ROUND(Source!BA201,O221)</f>
        <v>0</v>
      </c>
      <c r="G221" s="4" t="s">
        <v>78</v>
      </c>
      <c r="H221" s="4" t="s">
        <v>79</v>
      </c>
      <c r="I221" s="4"/>
      <c r="J221" s="4"/>
      <c r="K221" s="4">
        <v>230</v>
      </c>
      <c r="L221" s="4">
        <v>19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3">
      <c r="A222" s="4">
        <v>50</v>
      </c>
      <c r="B222" s="4">
        <v>0</v>
      </c>
      <c r="C222" s="4">
        <v>0</v>
      </c>
      <c r="D222" s="4">
        <v>1</v>
      </c>
      <c r="E222" s="4">
        <v>206</v>
      </c>
      <c r="F222" s="4">
        <f>ROUND(Source!T201,O222)</f>
        <v>0</v>
      </c>
      <c r="G222" s="4" t="s">
        <v>80</v>
      </c>
      <c r="H222" s="4" t="s">
        <v>81</v>
      </c>
      <c r="I222" s="4"/>
      <c r="J222" s="4"/>
      <c r="K222" s="4">
        <v>206</v>
      </c>
      <c r="L222" s="4">
        <v>20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3">
      <c r="A223" s="4">
        <v>50</v>
      </c>
      <c r="B223" s="4">
        <v>0</v>
      </c>
      <c r="C223" s="4">
        <v>0</v>
      </c>
      <c r="D223" s="4">
        <v>1</v>
      </c>
      <c r="E223" s="4">
        <v>207</v>
      </c>
      <c r="F223" s="4">
        <f>Source!U201</f>
        <v>204.48792099999997</v>
      </c>
      <c r="G223" s="4" t="s">
        <v>82</v>
      </c>
      <c r="H223" s="4" t="s">
        <v>83</v>
      </c>
      <c r="I223" s="4"/>
      <c r="J223" s="4"/>
      <c r="K223" s="4">
        <v>207</v>
      </c>
      <c r="L223" s="4">
        <v>21</v>
      </c>
      <c r="M223" s="4">
        <v>3</v>
      </c>
      <c r="N223" s="4" t="s">
        <v>3</v>
      </c>
      <c r="O223" s="4">
        <v>-1</v>
      </c>
      <c r="P223" s="4"/>
      <c r="Q223" s="4"/>
      <c r="R223" s="4"/>
      <c r="S223" s="4"/>
      <c r="T223" s="4"/>
      <c r="U223" s="4"/>
      <c r="V223" s="4"/>
      <c r="W223" s="4"/>
    </row>
    <row r="224" spans="1:23">
      <c r="A224" s="4">
        <v>50</v>
      </c>
      <c r="B224" s="4">
        <v>0</v>
      </c>
      <c r="C224" s="4">
        <v>0</v>
      </c>
      <c r="D224" s="4">
        <v>1</v>
      </c>
      <c r="E224" s="4">
        <v>208</v>
      </c>
      <c r="F224" s="4">
        <f>Source!V201</f>
        <v>3.4039374999999996</v>
      </c>
      <c r="G224" s="4" t="s">
        <v>84</v>
      </c>
      <c r="H224" s="4" t="s">
        <v>85</v>
      </c>
      <c r="I224" s="4"/>
      <c r="J224" s="4"/>
      <c r="K224" s="4">
        <v>208</v>
      </c>
      <c r="L224" s="4">
        <v>22</v>
      </c>
      <c r="M224" s="4">
        <v>3</v>
      </c>
      <c r="N224" s="4" t="s">
        <v>3</v>
      </c>
      <c r="O224" s="4">
        <v>-1</v>
      </c>
      <c r="P224" s="4"/>
      <c r="Q224" s="4"/>
      <c r="R224" s="4"/>
      <c r="S224" s="4"/>
      <c r="T224" s="4"/>
      <c r="U224" s="4"/>
      <c r="V224" s="4"/>
      <c r="W224" s="4"/>
    </row>
    <row r="225" spans="1:23">
      <c r="A225" s="4">
        <v>50</v>
      </c>
      <c r="B225" s="4">
        <v>0</v>
      </c>
      <c r="C225" s="4">
        <v>0</v>
      </c>
      <c r="D225" s="4">
        <v>1</v>
      </c>
      <c r="E225" s="4">
        <v>209</v>
      </c>
      <c r="F225" s="4">
        <f>ROUND(Source!W201,O225)</f>
        <v>2282.56</v>
      </c>
      <c r="G225" s="4" t="s">
        <v>86</v>
      </c>
      <c r="H225" s="4" t="s">
        <v>87</v>
      </c>
      <c r="I225" s="4"/>
      <c r="J225" s="4"/>
      <c r="K225" s="4">
        <v>209</v>
      </c>
      <c r="L225" s="4">
        <v>23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233</v>
      </c>
      <c r="F226" s="4">
        <f>ROUND(Source!BD201,O226)</f>
        <v>0</v>
      </c>
      <c r="G226" s="4" t="s">
        <v>88</v>
      </c>
      <c r="H226" s="4" t="s">
        <v>89</v>
      </c>
      <c r="I226" s="4"/>
      <c r="J226" s="4"/>
      <c r="K226" s="4">
        <v>233</v>
      </c>
      <c r="L226" s="4">
        <v>24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0</v>
      </c>
      <c r="C227" s="4">
        <v>0</v>
      </c>
      <c r="D227" s="4">
        <v>1</v>
      </c>
      <c r="E227" s="4">
        <v>210</v>
      </c>
      <c r="F227" s="4">
        <f>ROUND(Source!X201,O227)</f>
        <v>59402.11</v>
      </c>
      <c r="G227" s="4" t="s">
        <v>90</v>
      </c>
      <c r="H227" s="4" t="s">
        <v>91</v>
      </c>
      <c r="I227" s="4"/>
      <c r="J227" s="4"/>
      <c r="K227" s="4">
        <v>210</v>
      </c>
      <c r="L227" s="4">
        <v>25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0</v>
      </c>
      <c r="C228" s="4">
        <v>0</v>
      </c>
      <c r="D228" s="4">
        <v>1</v>
      </c>
      <c r="E228" s="4">
        <v>211</v>
      </c>
      <c r="F228" s="4">
        <f>ROUND(Source!Y201,O228)</f>
        <v>36189.15</v>
      </c>
      <c r="G228" s="4" t="s">
        <v>92</v>
      </c>
      <c r="H228" s="4" t="s">
        <v>93</v>
      </c>
      <c r="I228" s="4"/>
      <c r="J228" s="4"/>
      <c r="K228" s="4">
        <v>211</v>
      </c>
      <c r="L228" s="4">
        <v>26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0</v>
      </c>
      <c r="C229" s="4">
        <v>0</v>
      </c>
      <c r="D229" s="4">
        <v>1</v>
      </c>
      <c r="E229" s="4">
        <v>224</v>
      </c>
      <c r="F229" s="4">
        <f>ROUND(Source!AR201,O229)</f>
        <v>328515.88</v>
      </c>
      <c r="G229" s="4" t="s">
        <v>94</v>
      </c>
      <c r="H229" s="4" t="s">
        <v>95</v>
      </c>
      <c r="I229" s="4"/>
      <c r="J229" s="4"/>
      <c r="K229" s="4">
        <v>224</v>
      </c>
      <c r="L229" s="4">
        <v>27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1</v>
      </c>
      <c r="C230" s="4">
        <v>0</v>
      </c>
      <c r="D230" s="4">
        <v>2</v>
      </c>
      <c r="E230" s="4">
        <v>0</v>
      </c>
      <c r="F230" s="4">
        <f>ROUND(F229*0.2,O230)</f>
        <v>65703.179999999993</v>
      </c>
      <c r="G230" s="4" t="s">
        <v>239</v>
      </c>
      <c r="H230" s="4" t="s">
        <v>240</v>
      </c>
      <c r="I230" s="4"/>
      <c r="J230" s="4"/>
      <c r="K230" s="4">
        <v>212</v>
      </c>
      <c r="L230" s="4">
        <v>28</v>
      </c>
      <c r="M230" s="4">
        <v>0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1</v>
      </c>
      <c r="C231" s="4">
        <v>0</v>
      </c>
      <c r="D231" s="4">
        <v>2</v>
      </c>
      <c r="E231" s="4">
        <v>213</v>
      </c>
      <c r="F231" s="4">
        <f>ROUND(F229+F230,O231)</f>
        <v>394219.06</v>
      </c>
      <c r="G231" s="4" t="s">
        <v>241</v>
      </c>
      <c r="H231" s="4" t="s">
        <v>242</v>
      </c>
      <c r="I231" s="4"/>
      <c r="J231" s="4"/>
      <c r="K231" s="4">
        <v>212</v>
      </c>
      <c r="L231" s="4">
        <v>29</v>
      </c>
      <c r="M231" s="4">
        <v>0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4" spans="1:23">
      <c r="A234">
        <v>70</v>
      </c>
      <c r="B234">
        <v>1</v>
      </c>
      <c r="D234">
        <v>1</v>
      </c>
      <c r="E234" t="s">
        <v>243</v>
      </c>
      <c r="F234" t="s">
        <v>244</v>
      </c>
      <c r="G234">
        <v>0</v>
      </c>
      <c r="H234">
        <v>0</v>
      </c>
      <c r="I234" t="s">
        <v>3</v>
      </c>
      <c r="J234">
        <v>1</v>
      </c>
      <c r="K234">
        <v>0</v>
      </c>
      <c r="L234" t="s">
        <v>3</v>
      </c>
      <c r="M234" t="s">
        <v>3</v>
      </c>
      <c r="N234">
        <v>0</v>
      </c>
      <c r="P234" t="s">
        <v>245</v>
      </c>
    </row>
    <row r="235" spans="1:23">
      <c r="A235">
        <v>70</v>
      </c>
      <c r="B235">
        <v>1</v>
      </c>
      <c r="D235">
        <v>2</v>
      </c>
      <c r="E235" t="s">
        <v>246</v>
      </c>
      <c r="F235" t="s">
        <v>247</v>
      </c>
      <c r="G235">
        <v>1</v>
      </c>
      <c r="H235">
        <v>0</v>
      </c>
      <c r="I235" t="s">
        <v>3</v>
      </c>
      <c r="J235">
        <v>1</v>
      </c>
      <c r="K235">
        <v>0</v>
      </c>
      <c r="L235" t="s">
        <v>3</v>
      </c>
      <c r="M235" t="s">
        <v>3</v>
      </c>
      <c r="N235">
        <v>0</v>
      </c>
      <c r="P235" t="s">
        <v>248</v>
      </c>
    </row>
    <row r="236" spans="1:23">
      <c r="A236">
        <v>70</v>
      </c>
      <c r="B236">
        <v>1</v>
      </c>
      <c r="D236">
        <v>3</v>
      </c>
      <c r="E236" t="s">
        <v>249</v>
      </c>
      <c r="F236" t="s">
        <v>250</v>
      </c>
      <c r="G236">
        <v>0</v>
      </c>
      <c r="H236">
        <v>0</v>
      </c>
      <c r="I236" t="s">
        <v>3</v>
      </c>
      <c r="J236">
        <v>1</v>
      </c>
      <c r="K236">
        <v>0</v>
      </c>
      <c r="L236" t="s">
        <v>3</v>
      </c>
      <c r="M236" t="s">
        <v>3</v>
      </c>
      <c r="N236">
        <v>0</v>
      </c>
      <c r="P236" t="s">
        <v>251</v>
      </c>
    </row>
    <row r="237" spans="1:23">
      <c r="A237">
        <v>70</v>
      </c>
      <c r="B237">
        <v>1</v>
      </c>
      <c r="D237">
        <v>4</v>
      </c>
      <c r="E237" t="s">
        <v>252</v>
      </c>
      <c r="F237" t="s">
        <v>253</v>
      </c>
      <c r="G237">
        <v>0</v>
      </c>
      <c r="H237">
        <v>0</v>
      </c>
      <c r="I237" t="s">
        <v>254</v>
      </c>
      <c r="J237">
        <v>0</v>
      </c>
      <c r="K237">
        <v>0</v>
      </c>
      <c r="L237" t="s">
        <v>3</v>
      </c>
      <c r="M237" t="s">
        <v>3</v>
      </c>
      <c r="N237">
        <v>0</v>
      </c>
      <c r="P237" t="s">
        <v>255</v>
      </c>
    </row>
    <row r="238" spans="1:23">
      <c r="A238">
        <v>70</v>
      </c>
      <c r="B238">
        <v>1</v>
      </c>
      <c r="D238">
        <v>5</v>
      </c>
      <c r="E238" t="s">
        <v>256</v>
      </c>
      <c r="F238" t="s">
        <v>257</v>
      </c>
      <c r="G238">
        <v>0</v>
      </c>
      <c r="H238">
        <v>0</v>
      </c>
      <c r="I238" t="s">
        <v>258</v>
      </c>
      <c r="J238">
        <v>0</v>
      </c>
      <c r="K238">
        <v>0</v>
      </c>
      <c r="L238" t="s">
        <v>3</v>
      </c>
      <c r="M238" t="s">
        <v>3</v>
      </c>
      <c r="N238">
        <v>0</v>
      </c>
      <c r="P238" t="s">
        <v>259</v>
      </c>
    </row>
    <row r="239" spans="1:23">
      <c r="A239">
        <v>70</v>
      </c>
      <c r="B239">
        <v>1</v>
      </c>
      <c r="D239">
        <v>6</v>
      </c>
      <c r="E239" t="s">
        <v>260</v>
      </c>
      <c r="F239" t="s">
        <v>261</v>
      </c>
      <c r="G239">
        <v>0</v>
      </c>
      <c r="H239">
        <v>0</v>
      </c>
      <c r="I239" t="s">
        <v>262</v>
      </c>
      <c r="J239">
        <v>0</v>
      </c>
      <c r="K239">
        <v>0</v>
      </c>
      <c r="L239" t="s">
        <v>3</v>
      </c>
      <c r="M239" t="s">
        <v>3</v>
      </c>
      <c r="N239">
        <v>0</v>
      </c>
      <c r="P239" t="s">
        <v>263</v>
      </c>
    </row>
    <row r="240" spans="1:23">
      <c r="A240">
        <v>70</v>
      </c>
      <c r="B240">
        <v>1</v>
      </c>
      <c r="D240">
        <v>7</v>
      </c>
      <c r="E240" t="s">
        <v>264</v>
      </c>
      <c r="F240" t="s">
        <v>265</v>
      </c>
      <c r="G240">
        <v>1</v>
      </c>
      <c r="H240">
        <v>0</v>
      </c>
      <c r="I240" t="s">
        <v>3</v>
      </c>
      <c r="J240">
        <v>0</v>
      </c>
      <c r="K240">
        <v>0</v>
      </c>
      <c r="L240" t="s">
        <v>3</v>
      </c>
      <c r="M240" t="s">
        <v>3</v>
      </c>
      <c r="N240">
        <v>0</v>
      </c>
      <c r="P240" t="s">
        <v>266</v>
      </c>
    </row>
    <row r="241" spans="1:16">
      <c r="A241">
        <v>70</v>
      </c>
      <c r="B241">
        <v>1</v>
      </c>
      <c r="D241">
        <v>8</v>
      </c>
      <c r="E241" t="s">
        <v>267</v>
      </c>
      <c r="F241" t="s">
        <v>268</v>
      </c>
      <c r="G241">
        <v>0</v>
      </c>
      <c r="H241">
        <v>0</v>
      </c>
      <c r="I241" t="s">
        <v>269</v>
      </c>
      <c r="J241">
        <v>0</v>
      </c>
      <c r="K241">
        <v>0</v>
      </c>
      <c r="L241" t="s">
        <v>3</v>
      </c>
      <c r="M241" t="s">
        <v>3</v>
      </c>
      <c r="N241">
        <v>0</v>
      </c>
      <c r="P241" t="s">
        <v>270</v>
      </c>
    </row>
    <row r="242" spans="1:16">
      <c r="A242">
        <v>70</v>
      </c>
      <c r="B242">
        <v>1</v>
      </c>
      <c r="D242">
        <v>9</v>
      </c>
      <c r="E242" t="s">
        <v>271</v>
      </c>
      <c r="F242" t="s">
        <v>272</v>
      </c>
      <c r="G242">
        <v>0</v>
      </c>
      <c r="H242">
        <v>0</v>
      </c>
      <c r="I242" t="s">
        <v>273</v>
      </c>
      <c r="J242">
        <v>0</v>
      </c>
      <c r="K242">
        <v>0</v>
      </c>
      <c r="L242" t="s">
        <v>3</v>
      </c>
      <c r="M242" t="s">
        <v>3</v>
      </c>
      <c r="N242">
        <v>0</v>
      </c>
      <c r="P242" t="s">
        <v>274</v>
      </c>
    </row>
    <row r="243" spans="1:16">
      <c r="A243">
        <v>70</v>
      </c>
      <c r="B243">
        <v>1</v>
      </c>
      <c r="D243">
        <v>10</v>
      </c>
      <c r="E243" t="s">
        <v>275</v>
      </c>
      <c r="F243" t="s">
        <v>276</v>
      </c>
      <c r="G243">
        <v>0</v>
      </c>
      <c r="H243">
        <v>0</v>
      </c>
      <c r="I243" t="s">
        <v>277</v>
      </c>
      <c r="J243">
        <v>0</v>
      </c>
      <c r="K243">
        <v>0</v>
      </c>
      <c r="L243" t="s">
        <v>3</v>
      </c>
      <c r="M243" t="s">
        <v>3</v>
      </c>
      <c r="N243">
        <v>0</v>
      </c>
      <c r="P243" t="s">
        <v>278</v>
      </c>
    </row>
    <row r="244" spans="1:16">
      <c r="A244">
        <v>70</v>
      </c>
      <c r="B244">
        <v>1</v>
      </c>
      <c r="D244">
        <v>11</v>
      </c>
      <c r="E244" t="s">
        <v>279</v>
      </c>
      <c r="F244" t="s">
        <v>280</v>
      </c>
      <c r="G244">
        <v>0</v>
      </c>
      <c r="H244">
        <v>0</v>
      </c>
      <c r="I244" t="s">
        <v>281</v>
      </c>
      <c r="J244">
        <v>0</v>
      </c>
      <c r="K244">
        <v>0</v>
      </c>
      <c r="L244" t="s">
        <v>3</v>
      </c>
      <c r="M244" t="s">
        <v>3</v>
      </c>
      <c r="N244">
        <v>0</v>
      </c>
      <c r="P244" t="s">
        <v>282</v>
      </c>
    </row>
    <row r="245" spans="1:16">
      <c r="A245">
        <v>70</v>
      </c>
      <c r="B245">
        <v>1</v>
      </c>
      <c r="D245">
        <v>12</v>
      </c>
      <c r="E245" t="s">
        <v>283</v>
      </c>
      <c r="F245" t="s">
        <v>284</v>
      </c>
      <c r="G245">
        <v>0</v>
      </c>
      <c r="H245">
        <v>0</v>
      </c>
      <c r="I245" t="s">
        <v>3</v>
      </c>
      <c r="J245">
        <v>0</v>
      </c>
      <c r="K245">
        <v>0</v>
      </c>
      <c r="L245" t="s">
        <v>3</v>
      </c>
      <c r="M245" t="s">
        <v>3</v>
      </c>
      <c r="N245">
        <v>0</v>
      </c>
      <c r="P245" t="s">
        <v>3</v>
      </c>
    </row>
    <row r="246" spans="1:16">
      <c r="A246">
        <v>70</v>
      </c>
      <c r="B246">
        <v>1</v>
      </c>
      <c r="D246">
        <v>1</v>
      </c>
      <c r="E246" t="s">
        <v>285</v>
      </c>
      <c r="F246" t="s">
        <v>286</v>
      </c>
      <c r="G246">
        <v>0.9</v>
      </c>
      <c r="H246">
        <v>1</v>
      </c>
      <c r="I246" t="s">
        <v>287</v>
      </c>
      <c r="J246">
        <v>0</v>
      </c>
      <c r="K246">
        <v>0</v>
      </c>
      <c r="L246" t="s">
        <v>3</v>
      </c>
      <c r="M246" t="s">
        <v>3</v>
      </c>
      <c r="N246">
        <v>0</v>
      </c>
      <c r="P246" t="s">
        <v>3</v>
      </c>
    </row>
    <row r="247" spans="1:16">
      <c r="A247">
        <v>70</v>
      </c>
      <c r="B247">
        <v>1</v>
      </c>
      <c r="D247">
        <v>2</v>
      </c>
      <c r="E247" t="s">
        <v>288</v>
      </c>
      <c r="F247" t="s">
        <v>289</v>
      </c>
      <c r="G247">
        <v>0.85</v>
      </c>
      <c r="H247">
        <v>1</v>
      </c>
      <c r="I247" t="s">
        <v>290</v>
      </c>
      <c r="J247">
        <v>0</v>
      </c>
      <c r="K247">
        <v>0</v>
      </c>
      <c r="L247" t="s">
        <v>3</v>
      </c>
      <c r="M247" t="s">
        <v>3</v>
      </c>
      <c r="N247">
        <v>0</v>
      </c>
      <c r="P247" t="s">
        <v>3</v>
      </c>
    </row>
    <row r="248" spans="1:16">
      <c r="A248">
        <v>70</v>
      </c>
      <c r="B248">
        <v>1</v>
      </c>
      <c r="D248">
        <v>3</v>
      </c>
      <c r="E248" t="s">
        <v>291</v>
      </c>
      <c r="F248" t="s">
        <v>292</v>
      </c>
      <c r="G248">
        <v>1</v>
      </c>
      <c r="H248">
        <v>0.85</v>
      </c>
      <c r="I248" t="s">
        <v>293</v>
      </c>
      <c r="J248">
        <v>0</v>
      </c>
      <c r="K248">
        <v>0</v>
      </c>
      <c r="L248" t="s">
        <v>3</v>
      </c>
      <c r="M248" t="s">
        <v>3</v>
      </c>
      <c r="N248">
        <v>0</v>
      </c>
      <c r="P248" t="s">
        <v>3</v>
      </c>
    </row>
    <row r="249" spans="1:16">
      <c r="A249">
        <v>70</v>
      </c>
      <c r="B249">
        <v>1</v>
      </c>
      <c r="D249">
        <v>4</v>
      </c>
      <c r="E249" t="s">
        <v>294</v>
      </c>
      <c r="F249" t="s">
        <v>295</v>
      </c>
      <c r="G249">
        <v>1</v>
      </c>
      <c r="H249">
        <v>0</v>
      </c>
      <c r="I249" t="s">
        <v>3</v>
      </c>
      <c r="J249">
        <v>0</v>
      </c>
      <c r="K249">
        <v>0</v>
      </c>
      <c r="L249" t="s">
        <v>3</v>
      </c>
      <c r="M249" t="s">
        <v>3</v>
      </c>
      <c r="N249">
        <v>0</v>
      </c>
      <c r="P249" t="s">
        <v>3</v>
      </c>
    </row>
    <row r="250" spans="1:16">
      <c r="A250">
        <v>70</v>
      </c>
      <c r="B250">
        <v>1</v>
      </c>
      <c r="D250">
        <v>5</v>
      </c>
      <c r="E250" t="s">
        <v>296</v>
      </c>
      <c r="F250" t="s">
        <v>297</v>
      </c>
      <c r="G250">
        <v>1</v>
      </c>
      <c r="H250">
        <v>0.8</v>
      </c>
      <c r="I250" t="s">
        <v>298</v>
      </c>
      <c r="J250">
        <v>0</v>
      </c>
      <c r="K250">
        <v>0</v>
      </c>
      <c r="L250" t="s">
        <v>3</v>
      </c>
      <c r="M250" t="s">
        <v>3</v>
      </c>
      <c r="N250">
        <v>0</v>
      </c>
      <c r="P250" t="s">
        <v>3</v>
      </c>
    </row>
    <row r="251" spans="1:16">
      <c r="A251">
        <v>70</v>
      </c>
      <c r="B251">
        <v>1</v>
      </c>
      <c r="D251">
        <v>6</v>
      </c>
      <c r="E251" t="s">
        <v>299</v>
      </c>
      <c r="F251" t="s">
        <v>300</v>
      </c>
      <c r="G251">
        <v>0.85</v>
      </c>
      <c r="H251">
        <v>0</v>
      </c>
      <c r="I251" t="s">
        <v>3</v>
      </c>
      <c r="J251">
        <v>0</v>
      </c>
      <c r="K251">
        <v>0</v>
      </c>
      <c r="L251" t="s">
        <v>3</v>
      </c>
      <c r="M251" t="s">
        <v>3</v>
      </c>
      <c r="N251">
        <v>0</v>
      </c>
      <c r="P251" t="s">
        <v>3</v>
      </c>
    </row>
    <row r="252" spans="1:16">
      <c r="A252">
        <v>70</v>
      </c>
      <c r="B252">
        <v>1</v>
      </c>
      <c r="D252">
        <v>7</v>
      </c>
      <c r="E252" t="s">
        <v>301</v>
      </c>
      <c r="F252" t="s">
        <v>302</v>
      </c>
      <c r="G252">
        <v>0.8</v>
      </c>
      <c r="H252">
        <v>0</v>
      </c>
      <c r="I252" t="s">
        <v>3</v>
      </c>
      <c r="J252">
        <v>0</v>
      </c>
      <c r="K252">
        <v>0</v>
      </c>
      <c r="L252" t="s">
        <v>3</v>
      </c>
      <c r="M252" t="s">
        <v>3</v>
      </c>
      <c r="N252">
        <v>0</v>
      </c>
      <c r="P252" t="s">
        <v>3</v>
      </c>
    </row>
    <row r="253" spans="1:16">
      <c r="A253">
        <v>70</v>
      </c>
      <c r="B253">
        <v>1</v>
      </c>
      <c r="D253">
        <v>8</v>
      </c>
      <c r="E253" t="s">
        <v>303</v>
      </c>
      <c r="F253" t="s">
        <v>304</v>
      </c>
      <c r="G253">
        <v>0.7</v>
      </c>
      <c r="H253">
        <v>0</v>
      </c>
      <c r="I253" t="s">
        <v>3</v>
      </c>
      <c r="J253">
        <v>0</v>
      </c>
      <c r="K253">
        <v>0</v>
      </c>
      <c r="L253" t="s">
        <v>3</v>
      </c>
      <c r="M253" t="s">
        <v>3</v>
      </c>
      <c r="N253">
        <v>0</v>
      </c>
      <c r="P253" t="s">
        <v>3</v>
      </c>
    </row>
    <row r="254" spans="1:16">
      <c r="A254">
        <v>70</v>
      </c>
      <c r="B254">
        <v>1</v>
      </c>
      <c r="D254">
        <v>9</v>
      </c>
      <c r="E254" t="s">
        <v>305</v>
      </c>
      <c r="F254" t="s">
        <v>306</v>
      </c>
      <c r="G254">
        <v>0.9</v>
      </c>
      <c r="H254">
        <v>0</v>
      </c>
      <c r="I254" t="s">
        <v>3</v>
      </c>
      <c r="J254">
        <v>0</v>
      </c>
      <c r="K254">
        <v>0</v>
      </c>
      <c r="L254" t="s">
        <v>3</v>
      </c>
      <c r="M254" t="s">
        <v>3</v>
      </c>
      <c r="N254">
        <v>0</v>
      </c>
      <c r="P254" t="s">
        <v>3</v>
      </c>
    </row>
    <row r="255" spans="1:16">
      <c r="A255">
        <v>70</v>
      </c>
      <c r="B255">
        <v>1</v>
      </c>
      <c r="D255">
        <v>10</v>
      </c>
      <c r="E255" t="s">
        <v>307</v>
      </c>
      <c r="F255" t="s">
        <v>308</v>
      </c>
      <c r="G255">
        <v>0.6</v>
      </c>
      <c r="H255">
        <v>0</v>
      </c>
      <c r="I255" t="s">
        <v>3</v>
      </c>
      <c r="J255">
        <v>0</v>
      </c>
      <c r="K255">
        <v>0</v>
      </c>
      <c r="L255" t="s">
        <v>3</v>
      </c>
      <c r="M255" t="s">
        <v>3</v>
      </c>
      <c r="N255">
        <v>0</v>
      </c>
      <c r="P255" t="s">
        <v>3</v>
      </c>
    </row>
    <row r="256" spans="1:16">
      <c r="A256">
        <v>70</v>
      </c>
      <c r="B256">
        <v>1</v>
      </c>
      <c r="D256">
        <v>11</v>
      </c>
      <c r="E256" t="s">
        <v>309</v>
      </c>
      <c r="F256" t="s">
        <v>310</v>
      </c>
      <c r="G256">
        <v>1.2</v>
      </c>
      <c r="H256">
        <v>0</v>
      </c>
      <c r="I256" t="s">
        <v>3</v>
      </c>
      <c r="J256">
        <v>0</v>
      </c>
      <c r="K256">
        <v>0</v>
      </c>
      <c r="L256" t="s">
        <v>3</v>
      </c>
      <c r="M256" t="s">
        <v>3</v>
      </c>
      <c r="N256">
        <v>0</v>
      </c>
      <c r="P256" t="s">
        <v>3</v>
      </c>
    </row>
    <row r="257" spans="1:40">
      <c r="A257">
        <v>70</v>
      </c>
      <c r="B257">
        <v>1</v>
      </c>
      <c r="D257">
        <v>12</v>
      </c>
      <c r="E257" t="s">
        <v>311</v>
      </c>
      <c r="F257" t="s">
        <v>312</v>
      </c>
      <c r="G257">
        <v>0</v>
      </c>
      <c r="H257">
        <v>0</v>
      </c>
      <c r="I257" t="s">
        <v>3</v>
      </c>
      <c r="J257">
        <v>0</v>
      </c>
      <c r="K257">
        <v>0</v>
      </c>
      <c r="L257" t="s">
        <v>3</v>
      </c>
      <c r="M257" t="s">
        <v>3</v>
      </c>
      <c r="N257">
        <v>0</v>
      </c>
      <c r="P257" t="s">
        <v>3</v>
      </c>
    </row>
    <row r="258" spans="1:40">
      <c r="A258">
        <v>70</v>
      </c>
      <c r="B258">
        <v>1</v>
      </c>
      <c r="D258">
        <v>13</v>
      </c>
      <c r="E258" t="s">
        <v>313</v>
      </c>
      <c r="F258" t="s">
        <v>314</v>
      </c>
      <c r="G258">
        <v>1</v>
      </c>
      <c r="H258">
        <v>0</v>
      </c>
      <c r="I258" t="s">
        <v>3</v>
      </c>
      <c r="J258">
        <v>0</v>
      </c>
      <c r="K258">
        <v>0</v>
      </c>
      <c r="L258" t="s">
        <v>3</v>
      </c>
      <c r="M258" t="s">
        <v>3</v>
      </c>
      <c r="N258">
        <v>0</v>
      </c>
      <c r="P258" t="s">
        <v>3</v>
      </c>
    </row>
    <row r="260" spans="1:40">
      <c r="A260">
        <v>-1</v>
      </c>
    </row>
    <row r="262" spans="1:40">
      <c r="A262" s="3">
        <v>75</v>
      </c>
      <c r="B262" s="3" t="s">
        <v>315</v>
      </c>
      <c r="C262" s="3">
        <v>2021</v>
      </c>
      <c r="D262" s="3">
        <v>0</v>
      </c>
      <c r="E262" s="3">
        <v>2</v>
      </c>
      <c r="F262" s="3"/>
      <c r="G262" s="3">
        <v>0</v>
      </c>
      <c r="H262" s="3">
        <v>1</v>
      </c>
      <c r="I262" s="3">
        <v>0</v>
      </c>
      <c r="J262" s="3">
        <v>3</v>
      </c>
      <c r="K262" s="3">
        <v>0</v>
      </c>
      <c r="L262" s="3">
        <v>0</v>
      </c>
      <c r="M262" s="3">
        <v>0</v>
      </c>
      <c r="N262" s="3">
        <v>34132744</v>
      </c>
      <c r="O262" s="3">
        <v>1</v>
      </c>
    </row>
    <row r="263" spans="1:40">
      <c r="A263" s="5">
        <v>1</v>
      </c>
      <c r="B263" s="5" t="s">
        <v>316</v>
      </c>
      <c r="C263" s="5" t="s">
        <v>317</v>
      </c>
      <c r="D263" s="5">
        <v>2021</v>
      </c>
      <c r="E263" s="5">
        <v>2</v>
      </c>
      <c r="F263" s="5">
        <v>1</v>
      </c>
      <c r="G263" s="5">
        <v>1</v>
      </c>
      <c r="H263" s="5">
        <v>0</v>
      </c>
      <c r="I263" s="5">
        <v>2</v>
      </c>
      <c r="J263" s="5">
        <v>1</v>
      </c>
      <c r="K263" s="5">
        <v>1</v>
      </c>
      <c r="L263" s="5">
        <v>1</v>
      </c>
      <c r="M263" s="5">
        <v>1</v>
      </c>
      <c r="N263" s="5">
        <v>1</v>
      </c>
      <c r="O263" s="5">
        <v>1</v>
      </c>
      <c r="P263" s="5">
        <v>1</v>
      </c>
      <c r="Q263" s="5">
        <v>1</v>
      </c>
      <c r="R263" s="5" t="s">
        <v>3</v>
      </c>
      <c r="S263" s="5" t="s">
        <v>3</v>
      </c>
      <c r="T263" s="5" t="s">
        <v>3</v>
      </c>
      <c r="U263" s="5" t="s">
        <v>3</v>
      </c>
      <c r="V263" s="5" t="s">
        <v>3</v>
      </c>
      <c r="W263" s="5" t="s">
        <v>3</v>
      </c>
      <c r="X263" s="5" t="s">
        <v>3</v>
      </c>
      <c r="Y263" s="5" t="s">
        <v>3</v>
      </c>
      <c r="Z263" s="5" t="s">
        <v>3</v>
      </c>
      <c r="AA263" s="5" t="s">
        <v>3</v>
      </c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>
        <v>34132745</v>
      </c>
    </row>
    <row r="264" spans="1:40">
      <c r="A264" s="5">
        <v>2</v>
      </c>
      <c r="B264" s="5" t="s">
        <v>318</v>
      </c>
      <c r="C264" s="5" t="s">
        <v>319</v>
      </c>
      <c r="D264" s="5">
        <v>0</v>
      </c>
      <c r="E264" s="5">
        <v>0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>
        <v>34132746</v>
      </c>
    </row>
    <row r="268" spans="1:40">
      <c r="A268">
        <v>65</v>
      </c>
      <c r="C268">
        <v>1</v>
      </c>
      <c r="D268">
        <v>0</v>
      </c>
      <c r="E26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320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34132744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(Source!F188)/1000</f>
        <v>327.49088</v>
      </c>
      <c r="F16" s="7">
        <f>(Source!F189)/1000</f>
        <v>0</v>
      </c>
      <c r="G16" s="7">
        <f>(Source!F180)/1000</f>
        <v>0</v>
      </c>
      <c r="H16" s="7">
        <f>(Source!F190)/1000+(Source!F191)/1000</f>
        <v>1.0249999999999999</v>
      </c>
      <c r="I16" s="7">
        <f>E16+F16+G16+H16</f>
        <v>328.51587999999998</v>
      </c>
      <c r="J16" s="7">
        <f>(Source!F186)/1000</f>
        <v>60.209389999999999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232924.62</v>
      </c>
      <c r="AU16" s="7">
        <v>166714.28</v>
      </c>
      <c r="AV16" s="7">
        <v>0</v>
      </c>
      <c r="AW16" s="7">
        <v>0</v>
      </c>
      <c r="AX16" s="7">
        <v>0</v>
      </c>
      <c r="AY16" s="7">
        <v>6000.95</v>
      </c>
      <c r="AZ16" s="7">
        <v>1416.67</v>
      </c>
      <c r="BA16" s="7">
        <v>60209.39</v>
      </c>
      <c r="BB16" s="7">
        <v>327490.88</v>
      </c>
      <c r="BC16" s="7">
        <v>0</v>
      </c>
      <c r="BD16" s="7">
        <v>1025</v>
      </c>
      <c r="BE16" s="7">
        <v>0</v>
      </c>
      <c r="BF16" s="7">
        <v>204.487921</v>
      </c>
      <c r="BG16" s="7">
        <v>3.4039374999999996</v>
      </c>
      <c r="BH16" s="7">
        <v>2282.56</v>
      </c>
      <c r="BI16" s="7">
        <v>59402.11</v>
      </c>
      <c r="BJ16" s="7">
        <v>36189.15</v>
      </c>
      <c r="BK16" s="7">
        <v>328515.88</v>
      </c>
    </row>
    <row r="18" spans="1:19">
      <c r="A18">
        <v>51</v>
      </c>
      <c r="E18" s="8">
        <f>SUMIF(A16:A17,3,E16:E17)</f>
        <v>327.49088</v>
      </c>
      <c r="F18" s="8">
        <f>SUMIF(A16:A17,3,F16:F17)</f>
        <v>0</v>
      </c>
      <c r="G18" s="8">
        <f>SUMIF(A16:A17,3,G16:G17)</f>
        <v>0</v>
      </c>
      <c r="H18" s="8">
        <f>SUMIF(A16:A17,3,H16:H17)</f>
        <v>1.0249999999999999</v>
      </c>
      <c r="I18" s="8">
        <f>SUMIF(A16:A17,3,I16:I17)</f>
        <v>328.51587999999998</v>
      </c>
      <c r="J18" s="8">
        <f>SUMIF(A16:A17,3,J16:J17)</f>
        <v>60.209389999999999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232924.62</v>
      </c>
      <c r="G20" s="4" t="s">
        <v>42</v>
      </c>
      <c r="H20" s="4" t="s">
        <v>43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166714.28</v>
      </c>
      <c r="G21" s="4" t="s">
        <v>44</v>
      </c>
      <c r="H21" s="4" t="s">
        <v>45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46</v>
      </c>
      <c r="H22" s="4" t="s">
        <v>47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166714.28</v>
      </c>
      <c r="G23" s="4" t="s">
        <v>48</v>
      </c>
      <c r="H23" s="4" t="s">
        <v>49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166714.28</v>
      </c>
      <c r="G24" s="4" t="s">
        <v>50</v>
      </c>
      <c r="H24" s="4" t="s">
        <v>51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52</v>
      </c>
      <c r="H25" s="4" t="s">
        <v>53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166714.28</v>
      </c>
      <c r="G26" s="4" t="s">
        <v>54</v>
      </c>
      <c r="H26" s="4" t="s">
        <v>55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56</v>
      </c>
      <c r="H27" s="4" t="s">
        <v>57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58</v>
      </c>
      <c r="H28" s="4" t="s">
        <v>59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60</v>
      </c>
      <c r="H29" s="4" t="s">
        <v>61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6000.95</v>
      </c>
      <c r="G30" s="4" t="s">
        <v>62</v>
      </c>
      <c r="H30" s="4" t="s">
        <v>63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64</v>
      </c>
      <c r="H31" s="4" t="s">
        <v>65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1416.67</v>
      </c>
      <c r="G32" s="4" t="s">
        <v>66</v>
      </c>
      <c r="H32" s="4" t="s">
        <v>67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60209.39</v>
      </c>
      <c r="G33" s="4" t="s">
        <v>68</v>
      </c>
      <c r="H33" s="4" t="s">
        <v>69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70</v>
      </c>
      <c r="H34" s="4" t="s">
        <v>71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327490.88</v>
      </c>
      <c r="G35" s="4" t="s">
        <v>72</v>
      </c>
      <c r="H35" s="4" t="s">
        <v>73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74</v>
      </c>
      <c r="H36" s="4" t="s">
        <v>75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1025</v>
      </c>
      <c r="G37" s="4" t="s">
        <v>76</v>
      </c>
      <c r="H37" s="4" t="s">
        <v>77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78</v>
      </c>
      <c r="H38" s="4" t="s">
        <v>79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80</v>
      </c>
      <c r="H39" s="4" t="s">
        <v>81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204.487921</v>
      </c>
      <c r="G40" s="4" t="s">
        <v>82</v>
      </c>
      <c r="H40" s="4" t="s">
        <v>83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3.4039374999999996</v>
      </c>
      <c r="G41" s="4" t="s">
        <v>84</v>
      </c>
      <c r="H41" s="4" t="s">
        <v>85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2282.56</v>
      </c>
      <c r="G42" s="4" t="s">
        <v>86</v>
      </c>
      <c r="H42" s="4" t="s">
        <v>87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88</v>
      </c>
      <c r="H43" s="4" t="s">
        <v>89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59402.11</v>
      </c>
      <c r="G44" s="4" t="s">
        <v>90</v>
      </c>
      <c r="H44" s="4" t="s">
        <v>91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36189.15</v>
      </c>
      <c r="G45" s="4" t="s">
        <v>92</v>
      </c>
      <c r="H45" s="4" t="s">
        <v>93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328515.88</v>
      </c>
      <c r="G46" s="4" t="s">
        <v>94</v>
      </c>
      <c r="H46" s="4" t="s">
        <v>95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65703.179999999993</v>
      </c>
      <c r="G47" s="4" t="s">
        <v>239</v>
      </c>
      <c r="H47" s="4" t="s">
        <v>240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394219.06</v>
      </c>
      <c r="G48" s="4" t="s">
        <v>241</v>
      </c>
      <c r="H48" s="4" t="s">
        <v>242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315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34132744</v>
      </c>
      <c r="O53" s="3">
        <v>1</v>
      </c>
    </row>
    <row r="54" spans="1:40">
      <c r="A54" s="5">
        <v>1</v>
      </c>
      <c r="B54" s="5" t="s">
        <v>316</v>
      </c>
      <c r="C54" s="5" t="s">
        <v>317</v>
      </c>
      <c r="D54" s="5">
        <v>2021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34132745</v>
      </c>
    </row>
    <row r="55" spans="1:40">
      <c r="A55" s="5">
        <v>2</v>
      </c>
      <c r="B55" s="5" t="s">
        <v>318</v>
      </c>
      <c r="C55" s="5" t="s">
        <v>319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34132746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217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34132744</v>
      </c>
      <c r="C1">
        <v>34133046</v>
      </c>
      <c r="D1">
        <v>18411771</v>
      </c>
      <c r="E1">
        <v>1</v>
      </c>
      <c r="F1">
        <v>1</v>
      </c>
      <c r="G1">
        <v>1</v>
      </c>
      <c r="H1">
        <v>1</v>
      </c>
      <c r="I1" t="s">
        <v>321</v>
      </c>
      <c r="J1" t="s">
        <v>3</v>
      </c>
      <c r="K1" t="s">
        <v>322</v>
      </c>
      <c r="L1">
        <v>1369</v>
      </c>
      <c r="N1">
        <v>1013</v>
      </c>
      <c r="O1" t="s">
        <v>323</v>
      </c>
      <c r="P1" t="s">
        <v>323</v>
      </c>
      <c r="Q1">
        <v>1</v>
      </c>
      <c r="W1">
        <v>0</v>
      </c>
      <c r="X1">
        <v>922534627</v>
      </c>
      <c r="Y1">
        <v>36.28</v>
      </c>
      <c r="AA1">
        <v>0</v>
      </c>
      <c r="AB1">
        <v>0</v>
      </c>
      <c r="AC1">
        <v>0</v>
      </c>
      <c r="AD1">
        <v>259.24</v>
      </c>
      <c r="AE1">
        <v>0</v>
      </c>
      <c r="AF1">
        <v>0</v>
      </c>
      <c r="AG1">
        <v>0</v>
      </c>
      <c r="AH1">
        <v>259.24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36.28</v>
      </c>
      <c r="AU1" t="s">
        <v>3</v>
      </c>
      <c r="AV1">
        <v>1</v>
      </c>
      <c r="AW1">
        <v>2</v>
      </c>
      <c r="AX1">
        <v>34133049</v>
      </c>
      <c r="AY1">
        <v>2</v>
      </c>
      <c r="AZ1">
        <v>131072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2.32192</v>
      </c>
      <c r="CY1">
        <f>AD1</f>
        <v>259.24</v>
      </c>
      <c r="CZ1">
        <f>AH1</f>
        <v>259.24</v>
      </c>
      <c r="DA1">
        <f>AL1</f>
        <v>1</v>
      </c>
      <c r="DB1">
        <f t="shared" ref="DB1:DB11" si="0">ROUND(ROUND(AT1*CZ1,2),6)</f>
        <v>9405.23</v>
      </c>
      <c r="DC1">
        <f t="shared" ref="DC1:DC11" si="1">ROUND(ROUND(AT1*AG1,2),6)</f>
        <v>0</v>
      </c>
    </row>
    <row r="2" spans="1:107">
      <c r="A2">
        <f>ROW(Source!A28)</f>
        <v>28</v>
      </c>
      <c r="B2">
        <v>34132744</v>
      </c>
      <c r="C2">
        <v>34133046</v>
      </c>
      <c r="D2">
        <v>29164349</v>
      </c>
      <c r="E2">
        <v>1</v>
      </c>
      <c r="F2">
        <v>1</v>
      </c>
      <c r="G2">
        <v>1</v>
      </c>
      <c r="H2">
        <v>3</v>
      </c>
      <c r="I2" t="s">
        <v>24</v>
      </c>
      <c r="J2" t="s">
        <v>27</v>
      </c>
      <c r="K2" t="s">
        <v>25</v>
      </c>
      <c r="L2">
        <v>1348</v>
      </c>
      <c r="N2">
        <v>1009</v>
      </c>
      <c r="O2" t="s">
        <v>26</v>
      </c>
      <c r="P2" t="s">
        <v>26</v>
      </c>
      <c r="Q2">
        <v>1000</v>
      </c>
      <c r="W2">
        <v>0</v>
      </c>
      <c r="X2">
        <v>-304821490</v>
      </c>
      <c r="Y2">
        <v>1.18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3</v>
      </c>
      <c r="AT2">
        <v>1.18</v>
      </c>
      <c r="AU2" t="s">
        <v>3</v>
      </c>
      <c r="AV2">
        <v>0</v>
      </c>
      <c r="AW2">
        <v>2</v>
      </c>
      <c r="AX2">
        <v>34133050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7.5520000000000004E-2</v>
      </c>
      <c r="CY2">
        <f>AA2</f>
        <v>0</v>
      </c>
      <c r="CZ2">
        <f>AE2</f>
        <v>0</v>
      </c>
      <c r="DA2">
        <f>AI2</f>
        <v>1</v>
      </c>
      <c r="DB2">
        <f t="shared" si="0"/>
        <v>0</v>
      </c>
      <c r="DC2">
        <f t="shared" si="1"/>
        <v>0</v>
      </c>
    </row>
    <row r="3" spans="1:107">
      <c r="A3">
        <f>ROW(Source!A30)</f>
        <v>30</v>
      </c>
      <c r="B3">
        <v>34132744</v>
      </c>
      <c r="C3">
        <v>34133007</v>
      </c>
      <c r="D3">
        <v>18408066</v>
      </c>
      <c r="E3">
        <v>1</v>
      </c>
      <c r="F3">
        <v>1</v>
      </c>
      <c r="G3">
        <v>1</v>
      </c>
      <c r="H3">
        <v>1</v>
      </c>
      <c r="I3" t="s">
        <v>324</v>
      </c>
      <c r="J3" t="s">
        <v>3</v>
      </c>
      <c r="K3" t="s">
        <v>325</v>
      </c>
      <c r="L3">
        <v>1369</v>
      </c>
      <c r="N3">
        <v>1013</v>
      </c>
      <c r="O3" t="s">
        <v>323</v>
      </c>
      <c r="P3" t="s">
        <v>323</v>
      </c>
      <c r="Q3">
        <v>1</v>
      </c>
      <c r="W3">
        <v>0</v>
      </c>
      <c r="X3">
        <v>-886480961</v>
      </c>
      <c r="Y3">
        <v>179.3</v>
      </c>
      <c r="AA3">
        <v>0</v>
      </c>
      <c r="AB3">
        <v>0</v>
      </c>
      <c r="AC3">
        <v>0</v>
      </c>
      <c r="AD3">
        <v>261.85000000000002</v>
      </c>
      <c r="AE3">
        <v>0</v>
      </c>
      <c r="AF3">
        <v>0</v>
      </c>
      <c r="AG3">
        <v>0</v>
      </c>
      <c r="AH3">
        <v>261.85000000000002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179.3</v>
      </c>
      <c r="AU3" t="s">
        <v>3</v>
      </c>
      <c r="AV3">
        <v>1</v>
      </c>
      <c r="AW3">
        <v>2</v>
      </c>
      <c r="AX3">
        <v>34133013</v>
      </c>
      <c r="AY3">
        <v>2</v>
      </c>
      <c r="AZ3">
        <v>131072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23.309000000000001</v>
      </c>
      <c r="CY3">
        <f>AD3</f>
        <v>261.85000000000002</v>
      </c>
      <c r="CZ3">
        <f>AH3</f>
        <v>261.85000000000002</v>
      </c>
      <c r="DA3">
        <f>AL3</f>
        <v>1</v>
      </c>
      <c r="DB3">
        <f t="shared" si="0"/>
        <v>46949.71</v>
      </c>
      <c r="DC3">
        <f t="shared" si="1"/>
        <v>0</v>
      </c>
    </row>
    <row r="4" spans="1:107">
      <c r="A4">
        <f>ROW(Source!A30)</f>
        <v>30</v>
      </c>
      <c r="B4">
        <v>34132744</v>
      </c>
      <c r="C4">
        <v>34133007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28</v>
      </c>
      <c r="J4" t="s">
        <v>3</v>
      </c>
      <c r="K4" t="s">
        <v>326</v>
      </c>
      <c r="L4">
        <v>608254</v>
      </c>
      <c r="N4">
        <v>1013</v>
      </c>
      <c r="O4" t="s">
        <v>327</v>
      </c>
      <c r="P4" t="s">
        <v>327</v>
      </c>
      <c r="Q4">
        <v>1</v>
      </c>
      <c r="W4">
        <v>0</v>
      </c>
      <c r="X4">
        <v>-185737400</v>
      </c>
      <c r="Y4">
        <v>3.97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3.97</v>
      </c>
      <c r="AU4" t="s">
        <v>3</v>
      </c>
      <c r="AV4">
        <v>2</v>
      </c>
      <c r="AW4">
        <v>2</v>
      </c>
      <c r="AX4">
        <v>34133014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0.5161</v>
      </c>
      <c r="CY4">
        <f>AD4</f>
        <v>0</v>
      </c>
      <c r="CZ4">
        <f>AH4</f>
        <v>0</v>
      </c>
      <c r="DA4">
        <f>AL4</f>
        <v>1</v>
      </c>
      <c r="DB4">
        <f t="shared" si="0"/>
        <v>0</v>
      </c>
      <c r="DC4">
        <f t="shared" si="1"/>
        <v>0</v>
      </c>
    </row>
    <row r="5" spans="1:107">
      <c r="A5">
        <f>ROW(Source!A30)</f>
        <v>30</v>
      </c>
      <c r="B5">
        <v>34132744</v>
      </c>
      <c r="C5">
        <v>34133007</v>
      </c>
      <c r="D5">
        <v>29172710</v>
      </c>
      <c r="E5">
        <v>1</v>
      </c>
      <c r="F5">
        <v>1</v>
      </c>
      <c r="G5">
        <v>1</v>
      </c>
      <c r="H5">
        <v>2</v>
      </c>
      <c r="I5" t="s">
        <v>328</v>
      </c>
      <c r="J5" t="s">
        <v>329</v>
      </c>
      <c r="K5" t="s">
        <v>330</v>
      </c>
      <c r="L5">
        <v>1368</v>
      </c>
      <c r="N5">
        <v>1011</v>
      </c>
      <c r="O5" t="s">
        <v>331</v>
      </c>
      <c r="P5" t="s">
        <v>331</v>
      </c>
      <c r="Q5">
        <v>1</v>
      </c>
      <c r="W5">
        <v>0</v>
      </c>
      <c r="X5">
        <v>-1676841219</v>
      </c>
      <c r="Y5">
        <v>3.97</v>
      </c>
      <c r="AA5">
        <v>0</v>
      </c>
      <c r="AB5">
        <v>539.16</v>
      </c>
      <c r="AC5">
        <v>332.48</v>
      </c>
      <c r="AD5">
        <v>0</v>
      </c>
      <c r="AE5">
        <v>0</v>
      </c>
      <c r="AF5">
        <v>46.56</v>
      </c>
      <c r="AG5">
        <v>10.06</v>
      </c>
      <c r="AH5">
        <v>0</v>
      </c>
      <c r="AI5">
        <v>1</v>
      </c>
      <c r="AJ5">
        <v>11.58</v>
      </c>
      <c r="AK5">
        <v>33.049999999999997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3.97</v>
      </c>
      <c r="AU5" t="s">
        <v>3</v>
      </c>
      <c r="AV5">
        <v>0</v>
      </c>
      <c r="AW5">
        <v>2</v>
      </c>
      <c r="AX5">
        <v>34133015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0.5161</v>
      </c>
      <c r="CY5">
        <f>AB5</f>
        <v>539.16</v>
      </c>
      <c r="CZ5">
        <f>AF5</f>
        <v>46.56</v>
      </c>
      <c r="DA5">
        <f>AJ5</f>
        <v>11.58</v>
      </c>
      <c r="DB5">
        <f t="shared" si="0"/>
        <v>184.84</v>
      </c>
      <c r="DC5">
        <f t="shared" si="1"/>
        <v>39.94</v>
      </c>
    </row>
    <row r="6" spans="1:107">
      <c r="A6">
        <f>ROW(Source!A30)</f>
        <v>30</v>
      </c>
      <c r="B6">
        <v>34132744</v>
      </c>
      <c r="C6">
        <v>34133007</v>
      </c>
      <c r="D6">
        <v>29174533</v>
      </c>
      <c r="E6">
        <v>1</v>
      </c>
      <c r="F6">
        <v>1</v>
      </c>
      <c r="G6">
        <v>1</v>
      </c>
      <c r="H6">
        <v>2</v>
      </c>
      <c r="I6" t="s">
        <v>332</v>
      </c>
      <c r="J6" t="s">
        <v>333</v>
      </c>
      <c r="K6" t="s">
        <v>334</v>
      </c>
      <c r="L6">
        <v>1368</v>
      </c>
      <c r="N6">
        <v>1011</v>
      </c>
      <c r="O6" t="s">
        <v>331</v>
      </c>
      <c r="P6" t="s">
        <v>331</v>
      </c>
      <c r="Q6">
        <v>1</v>
      </c>
      <c r="W6">
        <v>0</v>
      </c>
      <c r="X6">
        <v>1235896746</v>
      </c>
      <c r="Y6">
        <v>7.93</v>
      </c>
      <c r="AA6">
        <v>0</v>
      </c>
      <c r="AB6">
        <v>5.0599999999999996</v>
      </c>
      <c r="AC6">
        <v>0</v>
      </c>
      <c r="AD6">
        <v>0</v>
      </c>
      <c r="AE6">
        <v>0</v>
      </c>
      <c r="AF6">
        <v>1.53</v>
      </c>
      <c r="AG6">
        <v>0</v>
      </c>
      <c r="AH6">
        <v>0</v>
      </c>
      <c r="AI6">
        <v>1</v>
      </c>
      <c r="AJ6">
        <v>3.31</v>
      </c>
      <c r="AK6">
        <v>33.049999999999997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7.93</v>
      </c>
      <c r="AU6" t="s">
        <v>3</v>
      </c>
      <c r="AV6">
        <v>0</v>
      </c>
      <c r="AW6">
        <v>2</v>
      </c>
      <c r="AX6">
        <v>34133016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Y6*Source!I30</f>
        <v>1.0308999999999999</v>
      </c>
      <c r="CY6">
        <f>AB6</f>
        <v>5.0599999999999996</v>
      </c>
      <c r="CZ6">
        <f>AF6</f>
        <v>1.53</v>
      </c>
      <c r="DA6">
        <f>AJ6</f>
        <v>3.31</v>
      </c>
      <c r="DB6">
        <f t="shared" si="0"/>
        <v>12.13</v>
      </c>
      <c r="DC6">
        <f t="shared" si="1"/>
        <v>0</v>
      </c>
    </row>
    <row r="7" spans="1:107">
      <c r="A7">
        <f>ROW(Source!A30)</f>
        <v>30</v>
      </c>
      <c r="B7">
        <v>34132744</v>
      </c>
      <c r="C7">
        <v>34133007</v>
      </c>
      <c r="D7">
        <v>29164349</v>
      </c>
      <c r="E7">
        <v>1</v>
      </c>
      <c r="F7">
        <v>1</v>
      </c>
      <c r="G7">
        <v>1</v>
      </c>
      <c r="H7">
        <v>3</v>
      </c>
      <c r="I7" t="s">
        <v>24</v>
      </c>
      <c r="J7" t="s">
        <v>27</v>
      </c>
      <c r="K7" t="s">
        <v>25</v>
      </c>
      <c r="L7">
        <v>1348</v>
      </c>
      <c r="N7">
        <v>1009</v>
      </c>
      <c r="O7" t="s">
        <v>26</v>
      </c>
      <c r="P7" t="s">
        <v>26</v>
      </c>
      <c r="Q7">
        <v>1000</v>
      </c>
      <c r="W7">
        <v>0</v>
      </c>
      <c r="X7">
        <v>-304821490</v>
      </c>
      <c r="Y7">
        <v>10.5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3</v>
      </c>
      <c r="AT7">
        <v>10.5</v>
      </c>
      <c r="AU7" t="s">
        <v>3</v>
      </c>
      <c r="AV7">
        <v>0</v>
      </c>
      <c r="AW7">
        <v>2</v>
      </c>
      <c r="AX7">
        <v>34133017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Y7*Source!I30</f>
        <v>1.365</v>
      </c>
      <c r="CY7">
        <f>AA7</f>
        <v>0</v>
      </c>
      <c r="CZ7">
        <f>AE7</f>
        <v>0</v>
      </c>
      <c r="DA7">
        <f>AI7</f>
        <v>1</v>
      </c>
      <c r="DB7">
        <f t="shared" si="0"/>
        <v>0</v>
      </c>
      <c r="DC7">
        <f t="shared" si="1"/>
        <v>0</v>
      </c>
    </row>
    <row r="8" spans="1:107">
      <c r="A8">
        <f>ROW(Source!A32)</f>
        <v>32</v>
      </c>
      <c r="B8">
        <v>34132744</v>
      </c>
      <c r="C8">
        <v>35833268</v>
      </c>
      <c r="D8">
        <v>18407150</v>
      </c>
      <c r="E8">
        <v>1</v>
      </c>
      <c r="F8">
        <v>1</v>
      </c>
      <c r="G8">
        <v>1</v>
      </c>
      <c r="H8">
        <v>1</v>
      </c>
      <c r="I8" t="s">
        <v>335</v>
      </c>
      <c r="J8" t="s">
        <v>3</v>
      </c>
      <c r="K8" t="s">
        <v>336</v>
      </c>
      <c r="L8">
        <v>1369</v>
      </c>
      <c r="N8">
        <v>1013</v>
      </c>
      <c r="O8" t="s">
        <v>323</v>
      </c>
      <c r="P8" t="s">
        <v>323</v>
      </c>
      <c r="Q8">
        <v>1</v>
      </c>
      <c r="W8">
        <v>0</v>
      </c>
      <c r="X8">
        <v>-931037793</v>
      </c>
      <c r="Y8">
        <v>69.87</v>
      </c>
      <c r="AA8">
        <v>0</v>
      </c>
      <c r="AB8">
        <v>0</v>
      </c>
      <c r="AC8">
        <v>0</v>
      </c>
      <c r="AD8">
        <v>278.5</v>
      </c>
      <c r="AE8">
        <v>0</v>
      </c>
      <c r="AF8">
        <v>0</v>
      </c>
      <c r="AG8">
        <v>0</v>
      </c>
      <c r="AH8">
        <v>278.5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69.87</v>
      </c>
      <c r="AU8" t="s">
        <v>3</v>
      </c>
      <c r="AV8">
        <v>1</v>
      </c>
      <c r="AW8">
        <v>2</v>
      </c>
      <c r="AX8">
        <v>35833269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Y8*Source!I32</f>
        <v>4.1921999999999997</v>
      </c>
      <c r="CY8">
        <f>AD8</f>
        <v>278.5</v>
      </c>
      <c r="CZ8">
        <f>AH8</f>
        <v>278.5</v>
      </c>
      <c r="DA8">
        <f>AL8</f>
        <v>1</v>
      </c>
      <c r="DB8">
        <f t="shared" si="0"/>
        <v>19458.8</v>
      </c>
      <c r="DC8">
        <f t="shared" si="1"/>
        <v>0</v>
      </c>
    </row>
    <row r="9" spans="1:107">
      <c r="A9">
        <f>ROW(Source!A32)</f>
        <v>32</v>
      </c>
      <c r="B9">
        <v>34132744</v>
      </c>
      <c r="C9">
        <v>35833268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28</v>
      </c>
      <c r="J9" t="s">
        <v>3</v>
      </c>
      <c r="K9" t="s">
        <v>326</v>
      </c>
      <c r="L9">
        <v>608254</v>
      </c>
      <c r="N9">
        <v>1013</v>
      </c>
      <c r="O9" t="s">
        <v>327</v>
      </c>
      <c r="P9" t="s">
        <v>327</v>
      </c>
      <c r="Q9">
        <v>1</v>
      </c>
      <c r="W9">
        <v>0</v>
      </c>
      <c r="X9">
        <v>-185737400</v>
      </c>
      <c r="Y9">
        <v>1.44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1.44</v>
      </c>
      <c r="AU9" t="s">
        <v>3</v>
      </c>
      <c r="AV9">
        <v>2</v>
      </c>
      <c r="AW9">
        <v>2</v>
      </c>
      <c r="AX9">
        <v>35833270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Y9*Source!I32</f>
        <v>8.6399999999999991E-2</v>
      </c>
      <c r="CY9">
        <f>AD9</f>
        <v>0</v>
      </c>
      <c r="CZ9">
        <f>AH9</f>
        <v>0</v>
      </c>
      <c r="DA9">
        <f>AL9</f>
        <v>1</v>
      </c>
      <c r="DB9">
        <f t="shared" si="0"/>
        <v>0</v>
      </c>
      <c r="DC9">
        <f t="shared" si="1"/>
        <v>0</v>
      </c>
    </row>
    <row r="10" spans="1:107">
      <c r="A10">
        <f>ROW(Source!A32)</f>
        <v>32</v>
      </c>
      <c r="B10">
        <v>34132744</v>
      </c>
      <c r="C10">
        <v>35833268</v>
      </c>
      <c r="D10">
        <v>29172556</v>
      </c>
      <c r="E10">
        <v>1</v>
      </c>
      <c r="F10">
        <v>1</v>
      </c>
      <c r="G10">
        <v>1</v>
      </c>
      <c r="H10">
        <v>2</v>
      </c>
      <c r="I10" t="s">
        <v>337</v>
      </c>
      <c r="J10" t="s">
        <v>338</v>
      </c>
      <c r="K10" t="s">
        <v>339</v>
      </c>
      <c r="L10">
        <v>1368</v>
      </c>
      <c r="N10">
        <v>1011</v>
      </c>
      <c r="O10" t="s">
        <v>331</v>
      </c>
      <c r="P10" t="s">
        <v>331</v>
      </c>
      <c r="Q10">
        <v>1</v>
      </c>
      <c r="W10">
        <v>0</v>
      </c>
      <c r="X10">
        <v>-1302720870</v>
      </c>
      <c r="Y10">
        <v>1.44</v>
      </c>
      <c r="AA10">
        <v>0</v>
      </c>
      <c r="AB10">
        <v>466.71</v>
      </c>
      <c r="AC10">
        <v>446.18</v>
      </c>
      <c r="AD10">
        <v>0</v>
      </c>
      <c r="AE10">
        <v>0</v>
      </c>
      <c r="AF10">
        <v>31.26</v>
      </c>
      <c r="AG10">
        <v>13.5</v>
      </c>
      <c r="AH10">
        <v>0</v>
      </c>
      <c r="AI10">
        <v>1</v>
      </c>
      <c r="AJ10">
        <v>14.93</v>
      </c>
      <c r="AK10">
        <v>33.049999999999997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1.44</v>
      </c>
      <c r="AU10" t="s">
        <v>3</v>
      </c>
      <c r="AV10">
        <v>0</v>
      </c>
      <c r="AW10">
        <v>2</v>
      </c>
      <c r="AX10">
        <v>35833271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Y10*Source!I32</f>
        <v>8.6399999999999991E-2</v>
      </c>
      <c r="CY10">
        <f>AB10</f>
        <v>466.71</v>
      </c>
      <c r="CZ10">
        <f>AF10</f>
        <v>31.26</v>
      </c>
      <c r="DA10">
        <f>AJ10</f>
        <v>14.93</v>
      </c>
      <c r="DB10">
        <f t="shared" si="0"/>
        <v>45.01</v>
      </c>
      <c r="DC10">
        <f t="shared" si="1"/>
        <v>19.440000000000001</v>
      </c>
    </row>
    <row r="11" spans="1:107">
      <c r="A11">
        <f>ROW(Source!A32)</f>
        <v>32</v>
      </c>
      <c r="B11">
        <v>34132744</v>
      </c>
      <c r="C11">
        <v>35833268</v>
      </c>
      <c r="D11">
        <v>29164349</v>
      </c>
      <c r="E11">
        <v>1</v>
      </c>
      <c r="F11">
        <v>1</v>
      </c>
      <c r="G11">
        <v>1</v>
      </c>
      <c r="H11">
        <v>3</v>
      </c>
      <c r="I11" t="s">
        <v>24</v>
      </c>
      <c r="J11" t="s">
        <v>27</v>
      </c>
      <c r="K11" t="s">
        <v>25</v>
      </c>
      <c r="L11">
        <v>1348</v>
      </c>
      <c r="N11">
        <v>1009</v>
      </c>
      <c r="O11" t="s">
        <v>26</v>
      </c>
      <c r="P11" t="s">
        <v>26</v>
      </c>
      <c r="Q11">
        <v>1000</v>
      </c>
      <c r="W11">
        <v>0</v>
      </c>
      <c r="X11">
        <v>-304821490</v>
      </c>
      <c r="Y11">
        <v>5.2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3</v>
      </c>
      <c r="AT11">
        <v>5.2</v>
      </c>
      <c r="AU11" t="s">
        <v>3</v>
      </c>
      <c r="AV11">
        <v>0</v>
      </c>
      <c r="AW11">
        <v>2</v>
      </c>
      <c r="AX11">
        <v>35833272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0.312</v>
      </c>
      <c r="CY11">
        <f>AA11</f>
        <v>0</v>
      </c>
      <c r="CZ11">
        <f>AE11</f>
        <v>0</v>
      </c>
      <c r="DA11">
        <f>AI11</f>
        <v>1</v>
      </c>
      <c r="DB11">
        <f t="shared" si="0"/>
        <v>0</v>
      </c>
      <c r="DC11">
        <f t="shared" si="1"/>
        <v>0</v>
      </c>
    </row>
    <row r="12" spans="1:107">
      <c r="A12">
        <f>ROW(Source!A69)</f>
        <v>69</v>
      </c>
      <c r="B12">
        <v>34132744</v>
      </c>
      <c r="C12">
        <v>34133129</v>
      </c>
      <c r="D12">
        <v>18409850</v>
      </c>
      <c r="E12">
        <v>1</v>
      </c>
      <c r="F12">
        <v>1</v>
      </c>
      <c r="G12">
        <v>1</v>
      </c>
      <c r="H12">
        <v>1</v>
      </c>
      <c r="I12" t="s">
        <v>340</v>
      </c>
      <c r="J12" t="s">
        <v>3</v>
      </c>
      <c r="K12" t="s">
        <v>341</v>
      </c>
      <c r="L12">
        <v>1369</v>
      </c>
      <c r="N12">
        <v>1013</v>
      </c>
      <c r="O12" t="s">
        <v>323</v>
      </c>
      <c r="P12" t="s">
        <v>323</v>
      </c>
      <c r="Q12">
        <v>1</v>
      </c>
      <c r="W12">
        <v>0</v>
      </c>
      <c r="X12">
        <v>855544366</v>
      </c>
      <c r="Y12">
        <v>5.6349999999999998</v>
      </c>
      <c r="AA12">
        <v>0</v>
      </c>
      <c r="AB12">
        <v>0</v>
      </c>
      <c r="AC12">
        <v>0</v>
      </c>
      <c r="AD12">
        <v>296.13</v>
      </c>
      <c r="AE12">
        <v>0</v>
      </c>
      <c r="AF12">
        <v>0</v>
      </c>
      <c r="AG12">
        <v>0</v>
      </c>
      <c r="AH12">
        <v>296.13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4.9000000000000004</v>
      </c>
      <c r="AU12" t="s">
        <v>101</v>
      </c>
      <c r="AV12">
        <v>1</v>
      </c>
      <c r="AW12">
        <v>2</v>
      </c>
      <c r="AX12">
        <v>34133130</v>
      </c>
      <c r="AY12">
        <v>2</v>
      </c>
      <c r="AZ12">
        <v>131072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Y12*Source!I69</f>
        <v>36.064</v>
      </c>
      <c r="CY12">
        <f>AD12</f>
        <v>296.13</v>
      </c>
      <c r="CZ12">
        <f>AH12</f>
        <v>296.13</v>
      </c>
      <c r="DA12">
        <f>AL12</f>
        <v>1</v>
      </c>
      <c r="DB12">
        <f>ROUND((ROUND(AT12*CZ12,2)*1.15),6)</f>
        <v>1668.6959999999999</v>
      </c>
      <c r="DC12">
        <f>ROUND((ROUND(AT12*AG12,2)*1.15),6)</f>
        <v>0</v>
      </c>
    </row>
    <row r="13" spans="1:107">
      <c r="A13">
        <f>ROW(Source!A69)</f>
        <v>69</v>
      </c>
      <c r="B13">
        <v>34132744</v>
      </c>
      <c r="C13">
        <v>34133129</v>
      </c>
      <c r="D13">
        <v>29174913</v>
      </c>
      <c r="E13">
        <v>1</v>
      </c>
      <c r="F13">
        <v>1</v>
      </c>
      <c r="G13">
        <v>1</v>
      </c>
      <c r="H13">
        <v>2</v>
      </c>
      <c r="I13" t="s">
        <v>342</v>
      </c>
      <c r="J13" t="s">
        <v>343</v>
      </c>
      <c r="K13" t="s">
        <v>344</v>
      </c>
      <c r="L13">
        <v>1368</v>
      </c>
      <c r="N13">
        <v>1011</v>
      </c>
      <c r="O13" t="s">
        <v>331</v>
      </c>
      <c r="P13" t="s">
        <v>331</v>
      </c>
      <c r="Q13">
        <v>1</v>
      </c>
      <c r="W13">
        <v>0</v>
      </c>
      <c r="X13">
        <v>458544584</v>
      </c>
      <c r="Y13">
        <v>2.5000000000000001E-2</v>
      </c>
      <c r="AA13">
        <v>0</v>
      </c>
      <c r="AB13">
        <v>932.72</v>
      </c>
      <c r="AC13">
        <v>383.38</v>
      </c>
      <c r="AD13">
        <v>0</v>
      </c>
      <c r="AE13">
        <v>0</v>
      </c>
      <c r="AF13">
        <v>87.17</v>
      </c>
      <c r="AG13">
        <v>11.6</v>
      </c>
      <c r="AH13">
        <v>0</v>
      </c>
      <c r="AI13">
        <v>1</v>
      </c>
      <c r="AJ13">
        <v>10.7</v>
      </c>
      <c r="AK13">
        <v>33.049999999999997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0.02</v>
      </c>
      <c r="AU13" t="s">
        <v>100</v>
      </c>
      <c r="AV13">
        <v>0</v>
      </c>
      <c r="AW13">
        <v>2</v>
      </c>
      <c r="AX13">
        <v>34133131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Y13*Source!I69</f>
        <v>0.16000000000000003</v>
      </c>
      <c r="CY13">
        <f>AB13</f>
        <v>932.72</v>
      </c>
      <c r="CZ13">
        <f>AF13</f>
        <v>87.17</v>
      </c>
      <c r="DA13">
        <f>AJ13</f>
        <v>10.7</v>
      </c>
      <c r="DB13">
        <f>ROUND((ROUND(AT13*CZ13,2)*1.25),6)</f>
        <v>2.1749999999999998</v>
      </c>
      <c r="DC13">
        <f>ROUND((ROUND(AT13*AG13,2)*1.25),6)</f>
        <v>0.28749999999999998</v>
      </c>
    </row>
    <row r="14" spans="1:107">
      <c r="A14">
        <f>ROW(Source!A69)</f>
        <v>69</v>
      </c>
      <c r="B14">
        <v>34132744</v>
      </c>
      <c r="C14">
        <v>34133129</v>
      </c>
      <c r="D14">
        <v>29114332</v>
      </c>
      <c r="E14">
        <v>1</v>
      </c>
      <c r="F14">
        <v>1</v>
      </c>
      <c r="G14">
        <v>1</v>
      </c>
      <c r="H14">
        <v>3</v>
      </c>
      <c r="I14" t="s">
        <v>345</v>
      </c>
      <c r="J14" t="s">
        <v>346</v>
      </c>
      <c r="K14" t="s">
        <v>347</v>
      </c>
      <c r="L14">
        <v>1348</v>
      </c>
      <c r="N14">
        <v>1009</v>
      </c>
      <c r="O14" t="s">
        <v>26</v>
      </c>
      <c r="P14" t="s">
        <v>26</v>
      </c>
      <c r="Q14">
        <v>1000</v>
      </c>
      <c r="W14">
        <v>0</v>
      </c>
      <c r="X14">
        <v>233971917</v>
      </c>
      <c r="Y14">
        <v>1.2E-4</v>
      </c>
      <c r="AA14">
        <v>54619.68</v>
      </c>
      <c r="AB14">
        <v>0</v>
      </c>
      <c r="AC14">
        <v>0</v>
      </c>
      <c r="AD14">
        <v>0</v>
      </c>
      <c r="AE14">
        <v>11978</v>
      </c>
      <c r="AF14">
        <v>0</v>
      </c>
      <c r="AG14">
        <v>0</v>
      </c>
      <c r="AH14">
        <v>0</v>
      </c>
      <c r="AI14">
        <v>4.5599999999999996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1.2E-4</v>
      </c>
      <c r="AU14" t="s">
        <v>3</v>
      </c>
      <c r="AV14">
        <v>0</v>
      </c>
      <c r="AW14">
        <v>2</v>
      </c>
      <c r="AX14">
        <v>34133132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Y14*Source!I69</f>
        <v>7.6800000000000002E-4</v>
      </c>
      <c r="CY14">
        <f>AA14</f>
        <v>54619.68</v>
      </c>
      <c r="CZ14">
        <f>AE14</f>
        <v>11978</v>
      </c>
      <c r="DA14">
        <f>AI14</f>
        <v>4.5599999999999996</v>
      </c>
      <c r="DB14">
        <f>ROUND(ROUND(AT14*CZ14,2),6)</f>
        <v>1.44</v>
      </c>
      <c r="DC14">
        <f>ROUND(ROUND(AT14*AG14,2),6)</f>
        <v>0</v>
      </c>
    </row>
    <row r="15" spans="1:107">
      <c r="A15">
        <f>ROW(Source!A69)</f>
        <v>69</v>
      </c>
      <c r="B15">
        <v>34132744</v>
      </c>
      <c r="C15">
        <v>34133129</v>
      </c>
      <c r="D15">
        <v>29115469</v>
      </c>
      <c r="E15">
        <v>1</v>
      </c>
      <c r="F15">
        <v>1</v>
      </c>
      <c r="G15">
        <v>1</v>
      </c>
      <c r="H15">
        <v>3</v>
      </c>
      <c r="I15" t="s">
        <v>348</v>
      </c>
      <c r="J15" t="s">
        <v>349</v>
      </c>
      <c r="K15" t="s">
        <v>350</v>
      </c>
      <c r="L15">
        <v>1339</v>
      </c>
      <c r="N15">
        <v>1007</v>
      </c>
      <c r="O15" t="s">
        <v>182</v>
      </c>
      <c r="P15" t="s">
        <v>182</v>
      </c>
      <c r="Q15">
        <v>1</v>
      </c>
      <c r="W15">
        <v>0</v>
      </c>
      <c r="X15">
        <v>841631995</v>
      </c>
      <c r="Y15">
        <v>0.02</v>
      </c>
      <c r="AA15">
        <v>6254.87</v>
      </c>
      <c r="AB15">
        <v>0</v>
      </c>
      <c r="AC15">
        <v>0</v>
      </c>
      <c r="AD15">
        <v>0</v>
      </c>
      <c r="AE15">
        <v>1287.01</v>
      </c>
      <c r="AF15">
        <v>0</v>
      </c>
      <c r="AG15">
        <v>0</v>
      </c>
      <c r="AH15">
        <v>0</v>
      </c>
      <c r="AI15">
        <v>4.8600000000000003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0.02</v>
      </c>
      <c r="AU15" t="s">
        <v>3</v>
      </c>
      <c r="AV15">
        <v>0</v>
      </c>
      <c r="AW15">
        <v>2</v>
      </c>
      <c r="AX15">
        <v>34133133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Y15*Source!I69</f>
        <v>0.128</v>
      </c>
      <c r="CY15">
        <f>AA15</f>
        <v>6254.87</v>
      </c>
      <c r="CZ15">
        <f>AE15</f>
        <v>1287.01</v>
      </c>
      <c r="DA15">
        <f>AI15</f>
        <v>4.8600000000000003</v>
      </c>
      <c r="DB15">
        <f>ROUND(ROUND(AT15*CZ15,2),6)</f>
        <v>25.74</v>
      </c>
      <c r="DC15">
        <f>ROUND(ROUND(AT15*AG15,2),6)</f>
        <v>0</v>
      </c>
    </row>
    <row r="16" spans="1:107">
      <c r="A16">
        <f>ROW(Source!A69)</f>
        <v>69</v>
      </c>
      <c r="B16">
        <v>34132744</v>
      </c>
      <c r="C16">
        <v>34133129</v>
      </c>
      <c r="D16">
        <v>29115638</v>
      </c>
      <c r="E16">
        <v>1</v>
      </c>
      <c r="F16">
        <v>1</v>
      </c>
      <c r="G16">
        <v>1</v>
      </c>
      <c r="H16">
        <v>3</v>
      </c>
      <c r="I16" t="s">
        <v>351</v>
      </c>
      <c r="J16" t="s">
        <v>352</v>
      </c>
      <c r="K16" t="s">
        <v>353</v>
      </c>
      <c r="L16">
        <v>1339</v>
      </c>
      <c r="N16">
        <v>1007</v>
      </c>
      <c r="O16" t="s">
        <v>182</v>
      </c>
      <c r="P16" t="s">
        <v>182</v>
      </c>
      <c r="Q16">
        <v>1</v>
      </c>
      <c r="W16">
        <v>0</v>
      </c>
      <c r="X16">
        <v>-1354067380</v>
      </c>
      <c r="Y16">
        <v>0.03</v>
      </c>
      <c r="AA16">
        <v>5726.59</v>
      </c>
      <c r="AB16">
        <v>0</v>
      </c>
      <c r="AC16">
        <v>0</v>
      </c>
      <c r="AD16">
        <v>0</v>
      </c>
      <c r="AE16">
        <v>1242.21</v>
      </c>
      <c r="AF16">
        <v>0</v>
      </c>
      <c r="AG16">
        <v>0</v>
      </c>
      <c r="AH16">
        <v>0</v>
      </c>
      <c r="AI16">
        <v>4.6100000000000003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0.03</v>
      </c>
      <c r="AU16" t="s">
        <v>3</v>
      </c>
      <c r="AV16">
        <v>0</v>
      </c>
      <c r="AW16">
        <v>2</v>
      </c>
      <c r="AX16">
        <v>34133134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Y16*Source!I69</f>
        <v>0.192</v>
      </c>
      <c r="CY16">
        <f>AA16</f>
        <v>5726.59</v>
      </c>
      <c r="CZ16">
        <f>AE16</f>
        <v>1242.21</v>
      </c>
      <c r="DA16">
        <f>AI16</f>
        <v>4.6100000000000003</v>
      </c>
      <c r="DB16">
        <f>ROUND(ROUND(AT16*CZ16,2),6)</f>
        <v>37.270000000000003</v>
      </c>
      <c r="DC16">
        <f>ROUND(ROUND(AT16*AG16,2),6)</f>
        <v>0</v>
      </c>
    </row>
    <row r="17" spans="1:107">
      <c r="A17">
        <f>ROW(Source!A70)</f>
        <v>70</v>
      </c>
      <c r="B17">
        <v>34132744</v>
      </c>
      <c r="C17">
        <v>34232123</v>
      </c>
      <c r="D17">
        <v>18410572</v>
      </c>
      <c r="E17">
        <v>1</v>
      </c>
      <c r="F17">
        <v>1</v>
      </c>
      <c r="G17">
        <v>1</v>
      </c>
      <c r="H17">
        <v>1</v>
      </c>
      <c r="I17" t="s">
        <v>354</v>
      </c>
      <c r="J17" t="s">
        <v>3</v>
      </c>
      <c r="K17" t="s">
        <v>355</v>
      </c>
      <c r="L17">
        <v>1369</v>
      </c>
      <c r="N17">
        <v>1013</v>
      </c>
      <c r="O17" t="s">
        <v>323</v>
      </c>
      <c r="P17" t="s">
        <v>323</v>
      </c>
      <c r="Q17">
        <v>1</v>
      </c>
      <c r="W17">
        <v>0</v>
      </c>
      <c r="X17">
        <v>-546915240</v>
      </c>
      <c r="Y17">
        <v>44.375</v>
      </c>
      <c r="AA17">
        <v>0</v>
      </c>
      <c r="AB17">
        <v>0</v>
      </c>
      <c r="AC17">
        <v>0</v>
      </c>
      <c r="AD17">
        <v>285.36</v>
      </c>
      <c r="AE17">
        <v>0</v>
      </c>
      <c r="AF17">
        <v>0</v>
      </c>
      <c r="AG17">
        <v>0</v>
      </c>
      <c r="AH17">
        <v>285.36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35.5</v>
      </c>
      <c r="AU17" t="s">
        <v>112</v>
      </c>
      <c r="AV17">
        <v>1</v>
      </c>
      <c r="AW17">
        <v>2</v>
      </c>
      <c r="AX17">
        <v>34232149</v>
      </c>
      <c r="AY17">
        <v>2</v>
      </c>
      <c r="AZ17">
        <v>131072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Y17*Source!I70</f>
        <v>2.84</v>
      </c>
      <c r="CY17">
        <f>AD17</f>
        <v>285.36</v>
      </c>
      <c r="CZ17">
        <f>AH17</f>
        <v>285.36</v>
      </c>
      <c r="DA17">
        <f>AL17</f>
        <v>1</v>
      </c>
      <c r="DB17">
        <f>ROUND((ROUND(AT17*CZ17,2)*1.25),6)</f>
        <v>12662.85</v>
      </c>
      <c r="DC17">
        <f>ROUND((ROUND(AT17*AG17,2)*1.25),6)</f>
        <v>0</v>
      </c>
    </row>
    <row r="18" spans="1:107">
      <c r="A18">
        <f>ROW(Source!A70)</f>
        <v>70</v>
      </c>
      <c r="B18">
        <v>34132744</v>
      </c>
      <c r="C18">
        <v>34232123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28</v>
      </c>
      <c r="J18" t="s">
        <v>3</v>
      </c>
      <c r="K18" t="s">
        <v>326</v>
      </c>
      <c r="L18">
        <v>608254</v>
      </c>
      <c r="N18">
        <v>1013</v>
      </c>
      <c r="O18" t="s">
        <v>327</v>
      </c>
      <c r="P18" t="s">
        <v>327</v>
      </c>
      <c r="Q18">
        <v>1</v>
      </c>
      <c r="W18">
        <v>0</v>
      </c>
      <c r="X18">
        <v>-185737400</v>
      </c>
      <c r="Y18">
        <v>2.61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2.61</v>
      </c>
      <c r="AU18" t="s">
        <v>3</v>
      </c>
      <c r="AV18">
        <v>2</v>
      </c>
      <c r="AW18">
        <v>2</v>
      </c>
      <c r="AX18">
        <v>34232150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Y18*Source!I70</f>
        <v>0.16703999999999999</v>
      </c>
      <c r="CY18">
        <f>AD18</f>
        <v>0</v>
      </c>
      <c r="CZ18">
        <f>AH18</f>
        <v>0</v>
      </c>
      <c r="DA18">
        <f>AL18</f>
        <v>1</v>
      </c>
      <c r="DB18">
        <f t="shared" ref="DB18:DB40" si="2">ROUND(ROUND(AT18*CZ18,2),6)</f>
        <v>0</v>
      </c>
      <c r="DC18">
        <f t="shared" ref="DC18:DC40" si="3">ROUND(ROUND(AT18*AG18,2),6)</f>
        <v>0</v>
      </c>
    </row>
    <row r="19" spans="1:107">
      <c r="A19">
        <f>ROW(Source!A70)</f>
        <v>70</v>
      </c>
      <c r="B19">
        <v>34132744</v>
      </c>
      <c r="C19">
        <v>34232123</v>
      </c>
      <c r="D19">
        <v>29172285</v>
      </c>
      <c r="E19">
        <v>1</v>
      </c>
      <c r="F19">
        <v>1</v>
      </c>
      <c r="G19">
        <v>1</v>
      </c>
      <c r="H19">
        <v>2</v>
      </c>
      <c r="I19" t="s">
        <v>356</v>
      </c>
      <c r="J19" t="s">
        <v>357</v>
      </c>
      <c r="K19" t="s">
        <v>358</v>
      </c>
      <c r="L19">
        <v>1368</v>
      </c>
      <c r="N19">
        <v>1011</v>
      </c>
      <c r="O19" t="s">
        <v>331</v>
      </c>
      <c r="P19" t="s">
        <v>331</v>
      </c>
      <c r="Q19">
        <v>1</v>
      </c>
      <c r="W19">
        <v>0</v>
      </c>
      <c r="X19">
        <v>-1710824664</v>
      </c>
      <c r="Y19">
        <v>0.04</v>
      </c>
      <c r="AA19">
        <v>0</v>
      </c>
      <c r="AB19">
        <v>981.03</v>
      </c>
      <c r="AC19">
        <v>509.63</v>
      </c>
      <c r="AD19">
        <v>0</v>
      </c>
      <c r="AE19">
        <v>0</v>
      </c>
      <c r="AF19">
        <v>120.52</v>
      </c>
      <c r="AG19">
        <v>15.42</v>
      </c>
      <c r="AH19">
        <v>0</v>
      </c>
      <c r="AI19">
        <v>1</v>
      </c>
      <c r="AJ19">
        <v>8.14</v>
      </c>
      <c r="AK19">
        <v>33.049999999999997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0.04</v>
      </c>
      <c r="AU19" t="s">
        <v>3</v>
      </c>
      <c r="AV19">
        <v>0</v>
      </c>
      <c r="AW19">
        <v>2</v>
      </c>
      <c r="AX19">
        <v>34232151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Y19*Source!I70</f>
        <v>2.5600000000000002E-3</v>
      </c>
      <c r="CY19">
        <f t="shared" ref="CY19:CY27" si="4">AB19</f>
        <v>981.03</v>
      </c>
      <c r="CZ19">
        <f t="shared" ref="CZ19:CZ27" si="5">AF19</f>
        <v>120.52</v>
      </c>
      <c r="DA19">
        <f t="shared" ref="DA19:DA27" si="6">AJ19</f>
        <v>8.14</v>
      </c>
      <c r="DB19">
        <f t="shared" si="2"/>
        <v>4.82</v>
      </c>
      <c r="DC19">
        <f t="shared" si="3"/>
        <v>0.62</v>
      </c>
    </row>
    <row r="20" spans="1:107">
      <c r="A20">
        <f>ROW(Source!A70)</f>
        <v>70</v>
      </c>
      <c r="B20">
        <v>34132744</v>
      </c>
      <c r="C20">
        <v>34232123</v>
      </c>
      <c r="D20">
        <v>29172379</v>
      </c>
      <c r="E20">
        <v>1</v>
      </c>
      <c r="F20">
        <v>1</v>
      </c>
      <c r="G20">
        <v>1</v>
      </c>
      <c r="H20">
        <v>2</v>
      </c>
      <c r="I20" t="s">
        <v>359</v>
      </c>
      <c r="J20" t="s">
        <v>360</v>
      </c>
      <c r="K20" t="s">
        <v>361</v>
      </c>
      <c r="L20">
        <v>1368</v>
      </c>
      <c r="N20">
        <v>1011</v>
      </c>
      <c r="O20" t="s">
        <v>331</v>
      </c>
      <c r="P20" t="s">
        <v>331</v>
      </c>
      <c r="Q20">
        <v>1</v>
      </c>
      <c r="W20">
        <v>0</v>
      </c>
      <c r="X20">
        <v>-151619853</v>
      </c>
      <c r="Y20">
        <v>0.21</v>
      </c>
      <c r="AA20">
        <v>0</v>
      </c>
      <c r="AB20">
        <v>1102.08</v>
      </c>
      <c r="AC20">
        <v>446.18</v>
      </c>
      <c r="AD20">
        <v>0</v>
      </c>
      <c r="AE20">
        <v>0</v>
      </c>
      <c r="AF20">
        <v>112</v>
      </c>
      <c r="AG20">
        <v>13.5</v>
      </c>
      <c r="AH20">
        <v>0</v>
      </c>
      <c r="AI20">
        <v>1</v>
      </c>
      <c r="AJ20">
        <v>9.84</v>
      </c>
      <c r="AK20">
        <v>33.049999999999997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0.21</v>
      </c>
      <c r="AU20" t="s">
        <v>3</v>
      </c>
      <c r="AV20">
        <v>0</v>
      </c>
      <c r="AW20">
        <v>2</v>
      </c>
      <c r="AX20">
        <v>34232152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Y20*Source!I70</f>
        <v>1.3440000000000001E-2</v>
      </c>
      <c r="CY20">
        <f t="shared" si="4"/>
        <v>1102.08</v>
      </c>
      <c r="CZ20">
        <f t="shared" si="5"/>
        <v>112</v>
      </c>
      <c r="DA20">
        <f t="shared" si="6"/>
        <v>9.84</v>
      </c>
      <c r="DB20">
        <f t="shared" si="2"/>
        <v>23.52</v>
      </c>
      <c r="DC20">
        <f t="shared" si="3"/>
        <v>2.84</v>
      </c>
    </row>
    <row r="21" spans="1:107">
      <c r="A21">
        <f>ROW(Source!A70)</f>
        <v>70</v>
      </c>
      <c r="B21">
        <v>34132744</v>
      </c>
      <c r="C21">
        <v>34232123</v>
      </c>
      <c r="D21">
        <v>29172409</v>
      </c>
      <c r="E21">
        <v>1</v>
      </c>
      <c r="F21">
        <v>1</v>
      </c>
      <c r="G21">
        <v>1</v>
      </c>
      <c r="H21">
        <v>2</v>
      </c>
      <c r="I21" t="s">
        <v>362</v>
      </c>
      <c r="J21" t="s">
        <v>363</v>
      </c>
      <c r="K21" t="s">
        <v>364</v>
      </c>
      <c r="L21">
        <v>1368</v>
      </c>
      <c r="N21">
        <v>1011</v>
      </c>
      <c r="O21" t="s">
        <v>331</v>
      </c>
      <c r="P21" t="s">
        <v>331</v>
      </c>
      <c r="Q21">
        <v>1</v>
      </c>
      <c r="W21">
        <v>0</v>
      </c>
      <c r="X21">
        <v>1494694365</v>
      </c>
      <c r="Y21">
        <v>2.36</v>
      </c>
      <c r="AA21">
        <v>0</v>
      </c>
      <c r="AB21">
        <v>1374.56</v>
      </c>
      <c r="AC21">
        <v>475.92</v>
      </c>
      <c r="AD21">
        <v>0</v>
      </c>
      <c r="AE21">
        <v>0</v>
      </c>
      <c r="AF21">
        <v>175.55</v>
      </c>
      <c r="AG21">
        <v>14.4</v>
      </c>
      <c r="AH21">
        <v>0</v>
      </c>
      <c r="AI21">
        <v>1</v>
      </c>
      <c r="AJ21">
        <v>7.83</v>
      </c>
      <c r="AK21">
        <v>33.049999999999997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2.36</v>
      </c>
      <c r="AU21" t="s">
        <v>3</v>
      </c>
      <c r="AV21">
        <v>0</v>
      </c>
      <c r="AW21">
        <v>2</v>
      </c>
      <c r="AX21">
        <v>34232153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Y21*Source!I70</f>
        <v>0.15104000000000001</v>
      </c>
      <c r="CY21">
        <f t="shared" si="4"/>
        <v>1374.56</v>
      </c>
      <c r="CZ21">
        <f t="shared" si="5"/>
        <v>175.55</v>
      </c>
      <c r="DA21">
        <f t="shared" si="6"/>
        <v>7.83</v>
      </c>
      <c r="DB21">
        <f t="shared" si="2"/>
        <v>414.3</v>
      </c>
      <c r="DC21">
        <f t="shared" si="3"/>
        <v>33.979999999999997</v>
      </c>
    </row>
    <row r="22" spans="1:107">
      <c r="A22">
        <f>ROW(Source!A70)</f>
        <v>70</v>
      </c>
      <c r="B22">
        <v>34132744</v>
      </c>
      <c r="C22">
        <v>34232123</v>
      </c>
      <c r="D22">
        <v>29172498</v>
      </c>
      <c r="E22">
        <v>1</v>
      </c>
      <c r="F22">
        <v>1</v>
      </c>
      <c r="G22">
        <v>1</v>
      </c>
      <c r="H22">
        <v>2</v>
      </c>
      <c r="I22" t="s">
        <v>365</v>
      </c>
      <c r="J22" t="s">
        <v>366</v>
      </c>
      <c r="K22" t="s">
        <v>367</v>
      </c>
      <c r="L22">
        <v>1368</v>
      </c>
      <c r="N22">
        <v>1011</v>
      </c>
      <c r="O22" t="s">
        <v>331</v>
      </c>
      <c r="P22" t="s">
        <v>331</v>
      </c>
      <c r="Q22">
        <v>1</v>
      </c>
      <c r="W22">
        <v>0</v>
      </c>
      <c r="X22">
        <v>2059246442</v>
      </c>
      <c r="Y22">
        <v>0.99</v>
      </c>
      <c r="AA22">
        <v>0</v>
      </c>
      <c r="AB22">
        <v>10.07</v>
      </c>
      <c r="AC22">
        <v>0</v>
      </c>
      <c r="AD22">
        <v>0</v>
      </c>
      <c r="AE22">
        <v>0</v>
      </c>
      <c r="AF22">
        <v>2.37</v>
      </c>
      <c r="AG22">
        <v>0</v>
      </c>
      <c r="AH22">
        <v>0</v>
      </c>
      <c r="AI22">
        <v>1</v>
      </c>
      <c r="AJ22">
        <v>4.25</v>
      </c>
      <c r="AK22">
        <v>33.049999999999997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0.99</v>
      </c>
      <c r="AU22" t="s">
        <v>3</v>
      </c>
      <c r="AV22">
        <v>0</v>
      </c>
      <c r="AW22">
        <v>2</v>
      </c>
      <c r="AX22">
        <v>34232154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Y22*Source!I70</f>
        <v>6.336E-2</v>
      </c>
      <c r="CY22">
        <f t="shared" si="4"/>
        <v>10.07</v>
      </c>
      <c r="CZ22">
        <f t="shared" si="5"/>
        <v>2.37</v>
      </c>
      <c r="DA22">
        <f t="shared" si="6"/>
        <v>4.25</v>
      </c>
      <c r="DB22">
        <f t="shared" si="2"/>
        <v>2.35</v>
      </c>
      <c r="DC22">
        <f t="shared" si="3"/>
        <v>0</v>
      </c>
    </row>
    <row r="23" spans="1:107">
      <c r="A23">
        <f>ROW(Source!A70)</f>
        <v>70</v>
      </c>
      <c r="B23">
        <v>34132744</v>
      </c>
      <c r="C23">
        <v>34232123</v>
      </c>
      <c r="D23">
        <v>29172659</v>
      </c>
      <c r="E23">
        <v>1</v>
      </c>
      <c r="F23">
        <v>1</v>
      </c>
      <c r="G23">
        <v>1</v>
      </c>
      <c r="H23">
        <v>2</v>
      </c>
      <c r="I23" t="s">
        <v>368</v>
      </c>
      <c r="J23" t="s">
        <v>369</v>
      </c>
      <c r="K23" t="s">
        <v>370</v>
      </c>
      <c r="L23">
        <v>1368</v>
      </c>
      <c r="N23">
        <v>1011</v>
      </c>
      <c r="O23" t="s">
        <v>331</v>
      </c>
      <c r="P23" t="s">
        <v>331</v>
      </c>
      <c r="Q23">
        <v>1</v>
      </c>
      <c r="W23">
        <v>0</v>
      </c>
      <c r="X23">
        <v>-664376910</v>
      </c>
      <c r="Y23">
        <v>1.68</v>
      </c>
      <c r="AA23">
        <v>0</v>
      </c>
      <c r="AB23">
        <v>8.5399999999999991</v>
      </c>
      <c r="AC23">
        <v>0</v>
      </c>
      <c r="AD23">
        <v>0</v>
      </c>
      <c r="AE23">
        <v>0</v>
      </c>
      <c r="AF23">
        <v>1.2</v>
      </c>
      <c r="AG23">
        <v>0</v>
      </c>
      <c r="AH23">
        <v>0</v>
      </c>
      <c r="AI23">
        <v>1</v>
      </c>
      <c r="AJ23">
        <v>7.12</v>
      </c>
      <c r="AK23">
        <v>33.049999999999997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1.68</v>
      </c>
      <c r="AU23" t="s">
        <v>3</v>
      </c>
      <c r="AV23">
        <v>0</v>
      </c>
      <c r="AW23">
        <v>2</v>
      </c>
      <c r="AX23">
        <v>34232155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Y23*Source!I70</f>
        <v>0.10752</v>
      </c>
      <c r="CY23">
        <f t="shared" si="4"/>
        <v>8.5399999999999991</v>
      </c>
      <c r="CZ23">
        <f t="shared" si="5"/>
        <v>1.2</v>
      </c>
      <c r="DA23">
        <f t="shared" si="6"/>
        <v>7.12</v>
      </c>
      <c r="DB23">
        <f t="shared" si="2"/>
        <v>2.02</v>
      </c>
      <c r="DC23">
        <f t="shared" si="3"/>
        <v>0</v>
      </c>
    </row>
    <row r="24" spans="1:107">
      <c r="A24">
        <f>ROW(Source!A70)</f>
        <v>70</v>
      </c>
      <c r="B24">
        <v>34132744</v>
      </c>
      <c r="C24">
        <v>34232123</v>
      </c>
      <c r="D24">
        <v>29172669</v>
      </c>
      <c r="E24">
        <v>1</v>
      </c>
      <c r="F24">
        <v>1</v>
      </c>
      <c r="G24">
        <v>1</v>
      </c>
      <c r="H24">
        <v>2</v>
      </c>
      <c r="I24" t="s">
        <v>371</v>
      </c>
      <c r="J24" t="s">
        <v>372</v>
      </c>
      <c r="K24" t="s">
        <v>373</v>
      </c>
      <c r="L24">
        <v>1368</v>
      </c>
      <c r="N24">
        <v>1011</v>
      </c>
      <c r="O24" t="s">
        <v>331</v>
      </c>
      <c r="P24" t="s">
        <v>331</v>
      </c>
      <c r="Q24">
        <v>1</v>
      </c>
      <c r="W24">
        <v>0</v>
      </c>
      <c r="X24">
        <v>341785304</v>
      </c>
      <c r="Y24">
        <v>0.18</v>
      </c>
      <c r="AA24">
        <v>0</v>
      </c>
      <c r="AB24">
        <v>104.14</v>
      </c>
      <c r="AC24">
        <v>0</v>
      </c>
      <c r="AD24">
        <v>0</v>
      </c>
      <c r="AE24">
        <v>0</v>
      </c>
      <c r="AF24">
        <v>12.31</v>
      </c>
      <c r="AG24">
        <v>0</v>
      </c>
      <c r="AH24">
        <v>0</v>
      </c>
      <c r="AI24">
        <v>1</v>
      </c>
      <c r="AJ24">
        <v>8.4600000000000009</v>
      </c>
      <c r="AK24">
        <v>33.049999999999997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0.18</v>
      </c>
      <c r="AU24" t="s">
        <v>3</v>
      </c>
      <c r="AV24">
        <v>0</v>
      </c>
      <c r="AW24">
        <v>2</v>
      </c>
      <c r="AX24">
        <v>34232156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Y24*Source!I70</f>
        <v>1.1519999999999999E-2</v>
      </c>
      <c r="CY24">
        <f t="shared" si="4"/>
        <v>104.14</v>
      </c>
      <c r="CZ24">
        <f t="shared" si="5"/>
        <v>12.31</v>
      </c>
      <c r="DA24">
        <f t="shared" si="6"/>
        <v>8.4600000000000009</v>
      </c>
      <c r="DB24">
        <f t="shared" si="2"/>
        <v>2.2200000000000002</v>
      </c>
      <c r="DC24">
        <f t="shared" si="3"/>
        <v>0</v>
      </c>
    </row>
    <row r="25" spans="1:107">
      <c r="A25">
        <f>ROW(Source!A70)</f>
        <v>70</v>
      </c>
      <c r="B25">
        <v>34132744</v>
      </c>
      <c r="C25">
        <v>34232123</v>
      </c>
      <c r="D25">
        <v>29172679</v>
      </c>
      <c r="E25">
        <v>1</v>
      </c>
      <c r="F25">
        <v>1</v>
      </c>
      <c r="G25">
        <v>1</v>
      </c>
      <c r="H25">
        <v>2</v>
      </c>
      <c r="I25" t="s">
        <v>374</v>
      </c>
      <c r="J25" t="s">
        <v>375</v>
      </c>
      <c r="K25" t="s">
        <v>376</v>
      </c>
      <c r="L25">
        <v>1368</v>
      </c>
      <c r="N25">
        <v>1011</v>
      </c>
      <c r="O25" t="s">
        <v>331</v>
      </c>
      <c r="P25" t="s">
        <v>331</v>
      </c>
      <c r="Q25">
        <v>1</v>
      </c>
      <c r="W25">
        <v>0</v>
      </c>
      <c r="X25">
        <v>12839444</v>
      </c>
      <c r="Y25">
        <v>0.02</v>
      </c>
      <c r="AA25">
        <v>0</v>
      </c>
      <c r="AB25">
        <v>56.75</v>
      </c>
      <c r="AC25">
        <v>0</v>
      </c>
      <c r="AD25">
        <v>0</v>
      </c>
      <c r="AE25">
        <v>0</v>
      </c>
      <c r="AF25">
        <v>6.7</v>
      </c>
      <c r="AG25">
        <v>0</v>
      </c>
      <c r="AH25">
        <v>0</v>
      </c>
      <c r="AI25">
        <v>1</v>
      </c>
      <c r="AJ25">
        <v>8.4700000000000006</v>
      </c>
      <c r="AK25">
        <v>33.049999999999997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0.02</v>
      </c>
      <c r="AU25" t="s">
        <v>3</v>
      </c>
      <c r="AV25">
        <v>0</v>
      </c>
      <c r="AW25">
        <v>2</v>
      </c>
      <c r="AX25">
        <v>34232157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Y25*Source!I70</f>
        <v>1.2800000000000001E-3</v>
      </c>
      <c r="CY25">
        <f t="shared" si="4"/>
        <v>56.75</v>
      </c>
      <c r="CZ25">
        <f t="shared" si="5"/>
        <v>6.7</v>
      </c>
      <c r="DA25">
        <f t="shared" si="6"/>
        <v>8.4700000000000006</v>
      </c>
      <c r="DB25">
        <f t="shared" si="2"/>
        <v>0.13</v>
      </c>
      <c r="DC25">
        <f t="shared" si="3"/>
        <v>0</v>
      </c>
    </row>
    <row r="26" spans="1:107">
      <c r="A26">
        <f>ROW(Source!A70)</f>
        <v>70</v>
      </c>
      <c r="B26">
        <v>34132744</v>
      </c>
      <c r="C26">
        <v>34232123</v>
      </c>
      <c r="D26">
        <v>29174500</v>
      </c>
      <c r="E26">
        <v>1</v>
      </c>
      <c r="F26">
        <v>1</v>
      </c>
      <c r="G26">
        <v>1</v>
      </c>
      <c r="H26">
        <v>2</v>
      </c>
      <c r="I26" t="s">
        <v>377</v>
      </c>
      <c r="J26" t="s">
        <v>378</v>
      </c>
      <c r="K26" t="s">
        <v>379</v>
      </c>
      <c r="L26">
        <v>1368</v>
      </c>
      <c r="N26">
        <v>1011</v>
      </c>
      <c r="O26" t="s">
        <v>331</v>
      </c>
      <c r="P26" t="s">
        <v>331</v>
      </c>
      <c r="Q26">
        <v>1</v>
      </c>
      <c r="W26">
        <v>0</v>
      </c>
      <c r="X26">
        <v>-239831557</v>
      </c>
      <c r="Y26">
        <v>2.41</v>
      </c>
      <c r="AA26">
        <v>0</v>
      </c>
      <c r="AB26">
        <v>7.33</v>
      </c>
      <c r="AC26">
        <v>0</v>
      </c>
      <c r="AD26">
        <v>0</v>
      </c>
      <c r="AE26">
        <v>0</v>
      </c>
      <c r="AF26">
        <v>1.95</v>
      </c>
      <c r="AG26">
        <v>0</v>
      </c>
      <c r="AH26">
        <v>0</v>
      </c>
      <c r="AI26">
        <v>1</v>
      </c>
      <c r="AJ26">
        <v>3.76</v>
      </c>
      <c r="AK26">
        <v>33.049999999999997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2.41</v>
      </c>
      <c r="AU26" t="s">
        <v>3</v>
      </c>
      <c r="AV26">
        <v>0</v>
      </c>
      <c r="AW26">
        <v>2</v>
      </c>
      <c r="AX26">
        <v>34232158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Y26*Source!I70</f>
        <v>0.15424000000000002</v>
      </c>
      <c r="CY26">
        <f t="shared" si="4"/>
        <v>7.33</v>
      </c>
      <c r="CZ26">
        <f t="shared" si="5"/>
        <v>1.95</v>
      </c>
      <c r="DA26">
        <f t="shared" si="6"/>
        <v>3.76</v>
      </c>
      <c r="DB26">
        <f t="shared" si="2"/>
        <v>4.7</v>
      </c>
      <c r="DC26">
        <f t="shared" si="3"/>
        <v>0</v>
      </c>
    </row>
    <row r="27" spans="1:107">
      <c r="A27">
        <f>ROW(Source!A70)</f>
        <v>70</v>
      </c>
      <c r="B27">
        <v>34132744</v>
      </c>
      <c r="C27">
        <v>34232123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342</v>
      </c>
      <c r="J27" t="s">
        <v>343</v>
      </c>
      <c r="K27" t="s">
        <v>344</v>
      </c>
      <c r="L27">
        <v>1368</v>
      </c>
      <c r="N27">
        <v>1011</v>
      </c>
      <c r="O27" t="s">
        <v>331</v>
      </c>
      <c r="P27" t="s">
        <v>331</v>
      </c>
      <c r="Q27">
        <v>1</v>
      </c>
      <c r="W27">
        <v>0</v>
      </c>
      <c r="X27">
        <v>458544584</v>
      </c>
      <c r="Y27">
        <v>0.32</v>
      </c>
      <c r="AA27">
        <v>0</v>
      </c>
      <c r="AB27">
        <v>932.72</v>
      </c>
      <c r="AC27">
        <v>383.38</v>
      </c>
      <c r="AD27">
        <v>0</v>
      </c>
      <c r="AE27">
        <v>0</v>
      </c>
      <c r="AF27">
        <v>87.17</v>
      </c>
      <c r="AG27">
        <v>11.6</v>
      </c>
      <c r="AH27">
        <v>0</v>
      </c>
      <c r="AI27">
        <v>1</v>
      </c>
      <c r="AJ27">
        <v>10.7</v>
      </c>
      <c r="AK27">
        <v>33.049999999999997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0.32</v>
      </c>
      <c r="AU27" t="s">
        <v>3</v>
      </c>
      <c r="AV27">
        <v>0</v>
      </c>
      <c r="AW27">
        <v>2</v>
      </c>
      <c r="AX27">
        <v>34232159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Y27*Source!I70</f>
        <v>2.0480000000000002E-2</v>
      </c>
      <c r="CY27">
        <f t="shared" si="4"/>
        <v>932.72</v>
      </c>
      <c r="CZ27">
        <f t="shared" si="5"/>
        <v>87.17</v>
      </c>
      <c r="DA27">
        <f t="shared" si="6"/>
        <v>10.7</v>
      </c>
      <c r="DB27">
        <f t="shared" si="2"/>
        <v>27.89</v>
      </c>
      <c r="DC27">
        <f t="shared" si="3"/>
        <v>3.71</v>
      </c>
    </row>
    <row r="28" spans="1:107">
      <c r="A28">
        <f>ROW(Source!A70)</f>
        <v>70</v>
      </c>
      <c r="B28">
        <v>34132744</v>
      </c>
      <c r="C28">
        <v>34232123</v>
      </c>
      <c r="D28">
        <v>29107906</v>
      </c>
      <c r="E28">
        <v>1</v>
      </c>
      <c r="F28">
        <v>1</v>
      </c>
      <c r="G28">
        <v>1</v>
      </c>
      <c r="H28">
        <v>3</v>
      </c>
      <c r="I28" t="s">
        <v>380</v>
      </c>
      <c r="J28" t="s">
        <v>381</v>
      </c>
      <c r="K28" t="s">
        <v>382</v>
      </c>
      <c r="L28">
        <v>1348</v>
      </c>
      <c r="N28">
        <v>1009</v>
      </c>
      <c r="O28" t="s">
        <v>26</v>
      </c>
      <c r="P28" t="s">
        <v>26</v>
      </c>
      <c r="Q28">
        <v>1000</v>
      </c>
      <c r="W28">
        <v>0</v>
      </c>
      <c r="X28">
        <v>1503255097</v>
      </c>
      <c r="Y28">
        <v>1.4999999999999999E-4</v>
      </c>
      <c r="AA28">
        <v>191774</v>
      </c>
      <c r="AB28">
        <v>0</v>
      </c>
      <c r="AC28">
        <v>0</v>
      </c>
      <c r="AD28">
        <v>0</v>
      </c>
      <c r="AE28">
        <v>37900</v>
      </c>
      <c r="AF28">
        <v>0</v>
      </c>
      <c r="AG28">
        <v>0</v>
      </c>
      <c r="AH28">
        <v>0</v>
      </c>
      <c r="AI28">
        <v>5.0599999999999996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1.4999999999999999E-4</v>
      </c>
      <c r="AU28" t="s">
        <v>3</v>
      </c>
      <c r="AV28">
        <v>0</v>
      </c>
      <c r="AW28">
        <v>2</v>
      </c>
      <c r="AX28">
        <v>34232160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Y28*Source!I70</f>
        <v>9.5999999999999996E-6</v>
      </c>
      <c r="CY28">
        <f t="shared" ref="CY28:CY40" si="7">AA28</f>
        <v>191774</v>
      </c>
      <c r="CZ28">
        <f t="shared" ref="CZ28:CZ40" si="8">AE28</f>
        <v>37900</v>
      </c>
      <c r="DA28">
        <f t="shared" ref="DA28:DA40" si="9">AI28</f>
        <v>5.0599999999999996</v>
      </c>
      <c r="DB28">
        <f t="shared" si="2"/>
        <v>5.69</v>
      </c>
      <c r="DC28">
        <f t="shared" si="3"/>
        <v>0</v>
      </c>
    </row>
    <row r="29" spans="1:107">
      <c r="A29">
        <f>ROW(Source!A70)</f>
        <v>70</v>
      </c>
      <c r="B29">
        <v>34132744</v>
      </c>
      <c r="C29">
        <v>34232123</v>
      </c>
      <c r="D29">
        <v>29107441</v>
      </c>
      <c r="E29">
        <v>1</v>
      </c>
      <c r="F29">
        <v>1</v>
      </c>
      <c r="G29">
        <v>1</v>
      </c>
      <c r="H29">
        <v>3</v>
      </c>
      <c r="I29" t="s">
        <v>383</v>
      </c>
      <c r="J29" t="s">
        <v>384</v>
      </c>
      <c r="K29" t="s">
        <v>385</v>
      </c>
      <c r="L29">
        <v>1339</v>
      </c>
      <c r="N29">
        <v>1007</v>
      </c>
      <c r="O29" t="s">
        <v>182</v>
      </c>
      <c r="P29" t="s">
        <v>182</v>
      </c>
      <c r="Q29">
        <v>1</v>
      </c>
      <c r="W29">
        <v>0</v>
      </c>
      <c r="X29">
        <v>1086220539</v>
      </c>
      <c r="Y29">
        <v>1.4</v>
      </c>
      <c r="AA29">
        <v>75.069999999999993</v>
      </c>
      <c r="AB29">
        <v>0</v>
      </c>
      <c r="AC29">
        <v>0</v>
      </c>
      <c r="AD29">
        <v>0</v>
      </c>
      <c r="AE29">
        <v>6.23</v>
      </c>
      <c r="AF29">
        <v>0</v>
      </c>
      <c r="AG29">
        <v>0</v>
      </c>
      <c r="AH29">
        <v>0</v>
      </c>
      <c r="AI29">
        <v>12.05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1.4</v>
      </c>
      <c r="AU29" t="s">
        <v>3</v>
      </c>
      <c r="AV29">
        <v>0</v>
      </c>
      <c r="AW29">
        <v>2</v>
      </c>
      <c r="AX29">
        <v>34232161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Y29*Source!I70</f>
        <v>8.9599999999999999E-2</v>
      </c>
      <c r="CY29">
        <f t="shared" si="7"/>
        <v>75.069999999999993</v>
      </c>
      <c r="CZ29">
        <f t="shared" si="8"/>
        <v>6.23</v>
      </c>
      <c r="DA29">
        <f t="shared" si="9"/>
        <v>12.05</v>
      </c>
      <c r="DB29">
        <f t="shared" si="2"/>
        <v>8.7200000000000006</v>
      </c>
      <c r="DC29">
        <f t="shared" si="3"/>
        <v>0</v>
      </c>
    </row>
    <row r="30" spans="1:107">
      <c r="A30">
        <f>ROW(Source!A70)</f>
        <v>70</v>
      </c>
      <c r="B30">
        <v>34132744</v>
      </c>
      <c r="C30">
        <v>34232123</v>
      </c>
      <c r="D30">
        <v>29113598</v>
      </c>
      <c r="E30">
        <v>1</v>
      </c>
      <c r="F30">
        <v>1</v>
      </c>
      <c r="G30">
        <v>1</v>
      </c>
      <c r="H30">
        <v>3</v>
      </c>
      <c r="I30" t="s">
        <v>386</v>
      </c>
      <c r="J30" t="s">
        <v>387</v>
      </c>
      <c r="K30" t="s">
        <v>388</v>
      </c>
      <c r="L30">
        <v>1348</v>
      </c>
      <c r="N30">
        <v>1009</v>
      </c>
      <c r="O30" t="s">
        <v>26</v>
      </c>
      <c r="P30" t="s">
        <v>26</v>
      </c>
      <c r="Q30">
        <v>1000</v>
      </c>
      <c r="W30">
        <v>0</v>
      </c>
      <c r="X30">
        <v>-18179437</v>
      </c>
      <c r="Y30">
        <v>4.0000000000000003E-5</v>
      </c>
      <c r="AA30">
        <v>57338.42</v>
      </c>
      <c r="AB30">
        <v>0</v>
      </c>
      <c r="AC30">
        <v>0</v>
      </c>
      <c r="AD30">
        <v>0</v>
      </c>
      <c r="AE30">
        <v>4455.2</v>
      </c>
      <c r="AF30">
        <v>0</v>
      </c>
      <c r="AG30">
        <v>0</v>
      </c>
      <c r="AH30">
        <v>0</v>
      </c>
      <c r="AI30">
        <v>12.87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4.0000000000000003E-5</v>
      </c>
      <c r="AU30" t="s">
        <v>3</v>
      </c>
      <c r="AV30">
        <v>0</v>
      </c>
      <c r="AW30">
        <v>2</v>
      </c>
      <c r="AX30">
        <v>34232162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Y30*Source!I70</f>
        <v>2.5600000000000001E-6</v>
      </c>
      <c r="CY30">
        <f t="shared" si="7"/>
        <v>57338.42</v>
      </c>
      <c r="CZ30">
        <f t="shared" si="8"/>
        <v>4455.2</v>
      </c>
      <c r="DA30">
        <f t="shared" si="9"/>
        <v>12.87</v>
      </c>
      <c r="DB30">
        <f t="shared" si="2"/>
        <v>0.18</v>
      </c>
      <c r="DC30">
        <f t="shared" si="3"/>
        <v>0</v>
      </c>
    </row>
    <row r="31" spans="1:107">
      <c r="A31">
        <f>ROW(Source!A70)</f>
        <v>70</v>
      </c>
      <c r="B31">
        <v>34132744</v>
      </c>
      <c r="C31">
        <v>34232123</v>
      </c>
      <c r="D31">
        <v>29113797</v>
      </c>
      <c r="E31">
        <v>1</v>
      </c>
      <c r="F31">
        <v>1</v>
      </c>
      <c r="G31">
        <v>1</v>
      </c>
      <c r="H31">
        <v>3</v>
      </c>
      <c r="I31" t="s">
        <v>389</v>
      </c>
      <c r="J31" t="s">
        <v>390</v>
      </c>
      <c r="K31" t="s">
        <v>391</v>
      </c>
      <c r="L31">
        <v>1348</v>
      </c>
      <c r="N31">
        <v>1009</v>
      </c>
      <c r="O31" t="s">
        <v>26</v>
      </c>
      <c r="P31" t="s">
        <v>26</v>
      </c>
      <c r="Q31">
        <v>1000</v>
      </c>
      <c r="W31">
        <v>0</v>
      </c>
      <c r="X31">
        <v>-1732621387</v>
      </c>
      <c r="Y31">
        <v>2.97E-3</v>
      </c>
      <c r="AA31">
        <v>98301.6</v>
      </c>
      <c r="AB31">
        <v>0</v>
      </c>
      <c r="AC31">
        <v>0</v>
      </c>
      <c r="AD31">
        <v>0</v>
      </c>
      <c r="AE31">
        <v>4920</v>
      </c>
      <c r="AF31">
        <v>0</v>
      </c>
      <c r="AG31">
        <v>0</v>
      </c>
      <c r="AH31">
        <v>0</v>
      </c>
      <c r="AI31">
        <v>19.98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2.97E-3</v>
      </c>
      <c r="AU31" t="s">
        <v>3</v>
      </c>
      <c r="AV31">
        <v>0</v>
      </c>
      <c r="AW31">
        <v>2</v>
      </c>
      <c r="AX31">
        <v>34232163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Y31*Source!I70</f>
        <v>1.9008E-4</v>
      </c>
      <c r="CY31">
        <f t="shared" si="7"/>
        <v>98301.6</v>
      </c>
      <c r="CZ31">
        <f t="shared" si="8"/>
        <v>4920</v>
      </c>
      <c r="DA31">
        <f t="shared" si="9"/>
        <v>19.98</v>
      </c>
      <c r="DB31">
        <f t="shared" si="2"/>
        <v>14.61</v>
      </c>
      <c r="DC31">
        <f t="shared" si="3"/>
        <v>0</v>
      </c>
    </row>
    <row r="32" spans="1:107">
      <c r="A32">
        <f>ROW(Source!A70)</f>
        <v>70</v>
      </c>
      <c r="B32">
        <v>34132744</v>
      </c>
      <c r="C32">
        <v>34232123</v>
      </c>
      <c r="D32">
        <v>29113979</v>
      </c>
      <c r="E32">
        <v>1</v>
      </c>
      <c r="F32">
        <v>1</v>
      </c>
      <c r="G32">
        <v>1</v>
      </c>
      <c r="H32">
        <v>3</v>
      </c>
      <c r="I32" t="s">
        <v>392</v>
      </c>
      <c r="J32" t="s">
        <v>393</v>
      </c>
      <c r="K32" t="s">
        <v>394</v>
      </c>
      <c r="L32">
        <v>1348</v>
      </c>
      <c r="N32">
        <v>1009</v>
      </c>
      <c r="O32" t="s">
        <v>26</v>
      </c>
      <c r="P32" t="s">
        <v>26</v>
      </c>
      <c r="Q32">
        <v>1000</v>
      </c>
      <c r="W32">
        <v>0</v>
      </c>
      <c r="X32">
        <v>1352318502</v>
      </c>
      <c r="Y32">
        <v>6.0999999999999997E-4</v>
      </c>
      <c r="AA32">
        <v>89992.41</v>
      </c>
      <c r="AB32">
        <v>0</v>
      </c>
      <c r="AC32">
        <v>0</v>
      </c>
      <c r="AD32">
        <v>0</v>
      </c>
      <c r="AE32">
        <v>9749.99</v>
      </c>
      <c r="AF32">
        <v>0</v>
      </c>
      <c r="AG32">
        <v>0</v>
      </c>
      <c r="AH32">
        <v>0</v>
      </c>
      <c r="AI32">
        <v>9.23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6.0999999999999997E-4</v>
      </c>
      <c r="AU32" t="s">
        <v>3</v>
      </c>
      <c r="AV32">
        <v>0</v>
      </c>
      <c r="AW32">
        <v>2</v>
      </c>
      <c r="AX32">
        <v>34232164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Y32*Source!I70</f>
        <v>3.9039999999999999E-5</v>
      </c>
      <c r="CY32">
        <f t="shared" si="7"/>
        <v>89992.41</v>
      </c>
      <c r="CZ32">
        <f t="shared" si="8"/>
        <v>9749.99</v>
      </c>
      <c r="DA32">
        <f t="shared" si="9"/>
        <v>9.23</v>
      </c>
      <c r="DB32">
        <f t="shared" si="2"/>
        <v>5.95</v>
      </c>
      <c r="DC32">
        <f t="shared" si="3"/>
        <v>0</v>
      </c>
    </row>
    <row r="33" spans="1:107">
      <c r="A33">
        <f>ROW(Source!A70)</f>
        <v>70</v>
      </c>
      <c r="B33">
        <v>34132744</v>
      </c>
      <c r="C33">
        <v>34232123</v>
      </c>
      <c r="D33">
        <v>29114247</v>
      </c>
      <c r="E33">
        <v>1</v>
      </c>
      <c r="F33">
        <v>1</v>
      </c>
      <c r="G33">
        <v>1</v>
      </c>
      <c r="H33">
        <v>3</v>
      </c>
      <c r="I33" t="s">
        <v>395</v>
      </c>
      <c r="J33" t="s">
        <v>396</v>
      </c>
      <c r="K33" t="s">
        <v>397</v>
      </c>
      <c r="L33">
        <v>1348</v>
      </c>
      <c r="N33">
        <v>1009</v>
      </c>
      <c r="O33" t="s">
        <v>26</v>
      </c>
      <c r="P33" t="s">
        <v>26</v>
      </c>
      <c r="Q33">
        <v>1000</v>
      </c>
      <c r="W33">
        <v>0</v>
      </c>
      <c r="X33">
        <v>-2116060276</v>
      </c>
      <c r="Y33">
        <v>2.2000000000000001E-3</v>
      </c>
      <c r="AA33">
        <v>83077.69</v>
      </c>
      <c r="AB33">
        <v>0</v>
      </c>
      <c r="AC33">
        <v>0</v>
      </c>
      <c r="AD33">
        <v>0</v>
      </c>
      <c r="AE33">
        <v>9040.01</v>
      </c>
      <c r="AF33">
        <v>0</v>
      </c>
      <c r="AG33">
        <v>0</v>
      </c>
      <c r="AH33">
        <v>0</v>
      </c>
      <c r="AI33">
        <v>9.19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2.2000000000000001E-3</v>
      </c>
      <c r="AU33" t="s">
        <v>3</v>
      </c>
      <c r="AV33">
        <v>0</v>
      </c>
      <c r="AW33">
        <v>2</v>
      </c>
      <c r="AX33">
        <v>34232165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Y33*Source!I70</f>
        <v>1.4080000000000001E-4</v>
      </c>
      <c r="CY33">
        <f t="shared" si="7"/>
        <v>83077.69</v>
      </c>
      <c r="CZ33">
        <f t="shared" si="8"/>
        <v>9040.01</v>
      </c>
      <c r="DA33">
        <f t="shared" si="9"/>
        <v>9.19</v>
      </c>
      <c r="DB33">
        <f t="shared" si="2"/>
        <v>19.89</v>
      </c>
      <c r="DC33">
        <f t="shared" si="3"/>
        <v>0</v>
      </c>
    </row>
    <row r="34" spans="1:107">
      <c r="A34">
        <f>ROW(Source!A70)</f>
        <v>70</v>
      </c>
      <c r="B34">
        <v>34132744</v>
      </c>
      <c r="C34">
        <v>34232123</v>
      </c>
      <c r="D34">
        <v>29107444</v>
      </c>
      <c r="E34">
        <v>1</v>
      </c>
      <c r="F34">
        <v>1</v>
      </c>
      <c r="G34">
        <v>1</v>
      </c>
      <c r="H34">
        <v>3</v>
      </c>
      <c r="I34" t="s">
        <v>398</v>
      </c>
      <c r="J34" t="s">
        <v>399</v>
      </c>
      <c r="K34" t="s">
        <v>400</v>
      </c>
      <c r="L34">
        <v>1346</v>
      </c>
      <c r="N34">
        <v>1009</v>
      </c>
      <c r="O34" t="s">
        <v>401</v>
      </c>
      <c r="P34" t="s">
        <v>401</v>
      </c>
      <c r="Q34">
        <v>1</v>
      </c>
      <c r="W34">
        <v>0</v>
      </c>
      <c r="X34">
        <v>-1984574147</v>
      </c>
      <c r="Y34">
        <v>0.42</v>
      </c>
      <c r="AA34">
        <v>55.54</v>
      </c>
      <c r="AB34">
        <v>0</v>
      </c>
      <c r="AC34">
        <v>0</v>
      </c>
      <c r="AD34">
        <v>0</v>
      </c>
      <c r="AE34">
        <v>6.09</v>
      </c>
      <c r="AF34">
        <v>0</v>
      </c>
      <c r="AG34">
        <v>0</v>
      </c>
      <c r="AH34">
        <v>0</v>
      </c>
      <c r="AI34">
        <v>9.1199999999999992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0.42</v>
      </c>
      <c r="AU34" t="s">
        <v>3</v>
      </c>
      <c r="AV34">
        <v>0</v>
      </c>
      <c r="AW34">
        <v>2</v>
      </c>
      <c r="AX34">
        <v>34232166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Y34*Source!I70</f>
        <v>2.6880000000000001E-2</v>
      </c>
      <c r="CY34">
        <f t="shared" si="7"/>
        <v>55.54</v>
      </c>
      <c r="CZ34">
        <f t="shared" si="8"/>
        <v>6.09</v>
      </c>
      <c r="DA34">
        <f t="shared" si="9"/>
        <v>9.1199999999999992</v>
      </c>
      <c r="DB34">
        <f t="shared" si="2"/>
        <v>2.56</v>
      </c>
      <c r="DC34">
        <f t="shared" si="3"/>
        <v>0</v>
      </c>
    </row>
    <row r="35" spans="1:107">
      <c r="A35">
        <f>ROW(Source!A70)</f>
        <v>70</v>
      </c>
      <c r="B35">
        <v>34132744</v>
      </c>
      <c r="C35">
        <v>34232123</v>
      </c>
      <c r="D35">
        <v>29110606</v>
      </c>
      <c r="E35">
        <v>1</v>
      </c>
      <c r="F35">
        <v>1</v>
      </c>
      <c r="G35">
        <v>1</v>
      </c>
      <c r="H35">
        <v>3</v>
      </c>
      <c r="I35" t="s">
        <v>402</v>
      </c>
      <c r="J35" t="s">
        <v>403</v>
      </c>
      <c r="K35" t="s">
        <v>404</v>
      </c>
      <c r="L35">
        <v>1348</v>
      </c>
      <c r="N35">
        <v>1009</v>
      </c>
      <c r="O35" t="s">
        <v>26</v>
      </c>
      <c r="P35" t="s">
        <v>26</v>
      </c>
      <c r="Q35">
        <v>1000</v>
      </c>
      <c r="W35">
        <v>0</v>
      </c>
      <c r="X35">
        <v>-1672330871</v>
      </c>
      <c r="Y35">
        <v>9.0000000000000006E-5</v>
      </c>
      <c r="AA35">
        <v>85910.399999999994</v>
      </c>
      <c r="AB35">
        <v>0</v>
      </c>
      <c r="AC35">
        <v>0</v>
      </c>
      <c r="AD35">
        <v>0</v>
      </c>
      <c r="AE35">
        <v>9420</v>
      </c>
      <c r="AF35">
        <v>0</v>
      </c>
      <c r="AG35">
        <v>0</v>
      </c>
      <c r="AH35">
        <v>0</v>
      </c>
      <c r="AI35">
        <v>9.1199999999999992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9.0000000000000006E-5</v>
      </c>
      <c r="AU35" t="s">
        <v>3</v>
      </c>
      <c r="AV35">
        <v>0</v>
      </c>
      <c r="AW35">
        <v>2</v>
      </c>
      <c r="AX35">
        <v>34232167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Y35*Source!I70</f>
        <v>5.7600000000000008E-6</v>
      </c>
      <c r="CY35">
        <f t="shared" si="7"/>
        <v>85910.399999999994</v>
      </c>
      <c r="CZ35">
        <f t="shared" si="8"/>
        <v>9420</v>
      </c>
      <c r="DA35">
        <f t="shared" si="9"/>
        <v>9.1199999999999992</v>
      </c>
      <c r="DB35">
        <f t="shared" si="2"/>
        <v>0.85</v>
      </c>
      <c r="DC35">
        <f t="shared" si="3"/>
        <v>0</v>
      </c>
    </row>
    <row r="36" spans="1:107">
      <c r="A36">
        <f>ROW(Source!A70)</f>
        <v>70</v>
      </c>
      <c r="B36">
        <v>34132744</v>
      </c>
      <c r="C36">
        <v>34232123</v>
      </c>
      <c r="D36">
        <v>29115467</v>
      </c>
      <c r="E36">
        <v>1</v>
      </c>
      <c r="F36">
        <v>1</v>
      </c>
      <c r="G36">
        <v>1</v>
      </c>
      <c r="H36">
        <v>3</v>
      </c>
      <c r="I36" t="s">
        <v>405</v>
      </c>
      <c r="J36" t="s">
        <v>406</v>
      </c>
      <c r="K36" t="s">
        <v>407</v>
      </c>
      <c r="L36">
        <v>1339</v>
      </c>
      <c r="N36">
        <v>1007</v>
      </c>
      <c r="O36" t="s">
        <v>182</v>
      </c>
      <c r="P36" t="s">
        <v>182</v>
      </c>
      <c r="Q36">
        <v>1</v>
      </c>
      <c r="W36">
        <v>0</v>
      </c>
      <c r="X36">
        <v>501780071</v>
      </c>
      <c r="Y36">
        <v>1.2999999999999999E-3</v>
      </c>
      <c r="AA36">
        <v>8397.9500000000007</v>
      </c>
      <c r="AB36">
        <v>0</v>
      </c>
      <c r="AC36">
        <v>0</v>
      </c>
      <c r="AD36">
        <v>0</v>
      </c>
      <c r="AE36">
        <v>1699.99</v>
      </c>
      <c r="AF36">
        <v>0</v>
      </c>
      <c r="AG36">
        <v>0</v>
      </c>
      <c r="AH36">
        <v>0</v>
      </c>
      <c r="AI36">
        <v>4.9400000000000004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1.2999999999999999E-3</v>
      </c>
      <c r="AU36" t="s">
        <v>3</v>
      </c>
      <c r="AV36">
        <v>0</v>
      </c>
      <c r="AW36">
        <v>2</v>
      </c>
      <c r="AX36">
        <v>34232170</v>
      </c>
      <c r="AY36">
        <v>1</v>
      </c>
      <c r="AZ36">
        <v>0</v>
      </c>
      <c r="BA36">
        <v>38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Y36*Source!I70</f>
        <v>8.3200000000000003E-5</v>
      </c>
      <c r="CY36">
        <f t="shared" si="7"/>
        <v>8397.9500000000007</v>
      </c>
      <c r="CZ36">
        <f t="shared" si="8"/>
        <v>1699.99</v>
      </c>
      <c r="DA36">
        <f t="shared" si="9"/>
        <v>4.9400000000000004</v>
      </c>
      <c r="DB36">
        <f t="shared" si="2"/>
        <v>2.21</v>
      </c>
      <c r="DC36">
        <f t="shared" si="3"/>
        <v>0</v>
      </c>
    </row>
    <row r="37" spans="1:107">
      <c r="A37">
        <f>ROW(Source!A70)</f>
        <v>70</v>
      </c>
      <c r="B37">
        <v>34132744</v>
      </c>
      <c r="C37">
        <v>34232123</v>
      </c>
      <c r="D37">
        <v>29122102</v>
      </c>
      <c r="E37">
        <v>1</v>
      </c>
      <c r="F37">
        <v>1</v>
      </c>
      <c r="G37">
        <v>1</v>
      </c>
      <c r="H37">
        <v>3</v>
      </c>
      <c r="I37" t="s">
        <v>408</v>
      </c>
      <c r="J37" t="s">
        <v>409</v>
      </c>
      <c r="K37" t="s">
        <v>410</v>
      </c>
      <c r="L37">
        <v>1348</v>
      </c>
      <c r="N37">
        <v>1009</v>
      </c>
      <c r="O37" t="s">
        <v>26</v>
      </c>
      <c r="P37" t="s">
        <v>26</v>
      </c>
      <c r="Q37">
        <v>1000</v>
      </c>
      <c r="W37">
        <v>0</v>
      </c>
      <c r="X37">
        <v>191355920</v>
      </c>
      <c r="Y37">
        <v>4.6999999999999999E-4</v>
      </c>
      <c r="AA37">
        <v>47641</v>
      </c>
      <c r="AB37">
        <v>0</v>
      </c>
      <c r="AC37">
        <v>0</v>
      </c>
      <c r="AD37">
        <v>0</v>
      </c>
      <c r="AE37">
        <v>15620</v>
      </c>
      <c r="AF37">
        <v>0</v>
      </c>
      <c r="AG37">
        <v>0</v>
      </c>
      <c r="AH37">
        <v>0</v>
      </c>
      <c r="AI37">
        <v>3.05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4.6999999999999999E-4</v>
      </c>
      <c r="AU37" t="s">
        <v>3</v>
      </c>
      <c r="AV37">
        <v>0</v>
      </c>
      <c r="AW37">
        <v>2</v>
      </c>
      <c r="AX37">
        <v>34232171</v>
      </c>
      <c r="AY37">
        <v>1</v>
      </c>
      <c r="AZ37">
        <v>0</v>
      </c>
      <c r="BA37">
        <v>39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Y37*Source!I70</f>
        <v>3.008E-5</v>
      </c>
      <c r="CY37">
        <f t="shared" si="7"/>
        <v>47641</v>
      </c>
      <c r="CZ37">
        <f t="shared" si="8"/>
        <v>15620</v>
      </c>
      <c r="DA37">
        <f t="shared" si="9"/>
        <v>3.05</v>
      </c>
      <c r="DB37">
        <f t="shared" si="2"/>
        <v>7.34</v>
      </c>
      <c r="DC37">
        <f t="shared" si="3"/>
        <v>0</v>
      </c>
    </row>
    <row r="38" spans="1:107">
      <c r="A38">
        <f>ROW(Source!A70)</f>
        <v>70</v>
      </c>
      <c r="B38">
        <v>34132744</v>
      </c>
      <c r="C38">
        <v>34232123</v>
      </c>
      <c r="D38">
        <v>29129276</v>
      </c>
      <c r="E38">
        <v>1</v>
      </c>
      <c r="F38">
        <v>1</v>
      </c>
      <c r="G38">
        <v>1</v>
      </c>
      <c r="H38">
        <v>3</v>
      </c>
      <c r="I38" t="s">
        <v>411</v>
      </c>
      <c r="J38" t="s">
        <v>412</v>
      </c>
      <c r="K38" t="s">
        <v>413</v>
      </c>
      <c r="L38">
        <v>1348</v>
      </c>
      <c r="N38">
        <v>1009</v>
      </c>
      <c r="O38" t="s">
        <v>26</v>
      </c>
      <c r="P38" t="s">
        <v>26</v>
      </c>
      <c r="Q38">
        <v>1000</v>
      </c>
      <c r="W38">
        <v>0</v>
      </c>
      <c r="X38">
        <v>1896961303</v>
      </c>
      <c r="Y38">
        <v>1.0999999999999999E-2</v>
      </c>
      <c r="AA38">
        <v>73418.240000000005</v>
      </c>
      <c r="AB38">
        <v>0</v>
      </c>
      <c r="AC38">
        <v>0</v>
      </c>
      <c r="AD38">
        <v>0</v>
      </c>
      <c r="AE38">
        <v>7712</v>
      </c>
      <c r="AF38">
        <v>0</v>
      </c>
      <c r="AG38">
        <v>0</v>
      </c>
      <c r="AH38">
        <v>0</v>
      </c>
      <c r="AI38">
        <v>9.52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1.0999999999999999E-2</v>
      </c>
      <c r="AU38" t="s">
        <v>3</v>
      </c>
      <c r="AV38">
        <v>0</v>
      </c>
      <c r="AW38">
        <v>2</v>
      </c>
      <c r="AX38">
        <v>34232172</v>
      </c>
      <c r="AY38">
        <v>1</v>
      </c>
      <c r="AZ38">
        <v>0</v>
      </c>
      <c r="BA38">
        <v>40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Y38*Source!I70</f>
        <v>7.0399999999999998E-4</v>
      </c>
      <c r="CY38">
        <f t="shared" si="7"/>
        <v>73418.240000000005</v>
      </c>
      <c r="CZ38">
        <f t="shared" si="8"/>
        <v>7712</v>
      </c>
      <c r="DA38">
        <f t="shared" si="9"/>
        <v>9.52</v>
      </c>
      <c r="DB38">
        <f t="shared" si="2"/>
        <v>84.83</v>
      </c>
      <c r="DC38">
        <f t="shared" si="3"/>
        <v>0</v>
      </c>
    </row>
    <row r="39" spans="1:107">
      <c r="A39">
        <f>ROW(Source!A70)</f>
        <v>70</v>
      </c>
      <c r="B39">
        <v>34132744</v>
      </c>
      <c r="C39">
        <v>34232123</v>
      </c>
      <c r="D39">
        <v>29162764</v>
      </c>
      <c r="E39">
        <v>1</v>
      </c>
      <c r="F39">
        <v>1</v>
      </c>
      <c r="G39">
        <v>1</v>
      </c>
      <c r="H39">
        <v>3</v>
      </c>
      <c r="I39" t="s">
        <v>414</v>
      </c>
      <c r="J39" t="s">
        <v>415</v>
      </c>
      <c r="K39" t="s">
        <v>416</v>
      </c>
      <c r="L39">
        <v>1302</v>
      </c>
      <c r="N39">
        <v>1003</v>
      </c>
      <c r="O39" t="s">
        <v>417</v>
      </c>
      <c r="P39" t="s">
        <v>417</v>
      </c>
      <c r="Q39">
        <v>10</v>
      </c>
      <c r="W39">
        <v>0</v>
      </c>
      <c r="X39">
        <v>-74884692</v>
      </c>
      <c r="Y39">
        <v>1.6E-2</v>
      </c>
      <c r="AA39">
        <v>386.05</v>
      </c>
      <c r="AB39">
        <v>0</v>
      </c>
      <c r="AC39">
        <v>0</v>
      </c>
      <c r="AD39">
        <v>0</v>
      </c>
      <c r="AE39">
        <v>71.489999999999995</v>
      </c>
      <c r="AF39">
        <v>0</v>
      </c>
      <c r="AG39">
        <v>0</v>
      </c>
      <c r="AH39">
        <v>0</v>
      </c>
      <c r="AI39">
        <v>5.4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1.6E-2</v>
      </c>
      <c r="AU39" t="s">
        <v>3</v>
      </c>
      <c r="AV39">
        <v>0</v>
      </c>
      <c r="AW39">
        <v>2</v>
      </c>
      <c r="AX39">
        <v>34232173</v>
      </c>
      <c r="AY39">
        <v>1</v>
      </c>
      <c r="AZ39">
        <v>0</v>
      </c>
      <c r="BA39">
        <v>41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Y39*Source!I70</f>
        <v>1.024E-3</v>
      </c>
      <c r="CY39">
        <f t="shared" si="7"/>
        <v>386.05</v>
      </c>
      <c r="CZ39">
        <f t="shared" si="8"/>
        <v>71.489999999999995</v>
      </c>
      <c r="DA39">
        <f t="shared" si="9"/>
        <v>5.4</v>
      </c>
      <c r="DB39">
        <f t="shared" si="2"/>
        <v>1.1399999999999999</v>
      </c>
      <c r="DC39">
        <f t="shared" si="3"/>
        <v>0</v>
      </c>
    </row>
    <row r="40" spans="1:107">
      <c r="A40">
        <f>ROW(Source!A70)</f>
        <v>70</v>
      </c>
      <c r="B40">
        <v>34132744</v>
      </c>
      <c r="C40">
        <v>34232123</v>
      </c>
      <c r="D40">
        <v>0</v>
      </c>
      <c r="E40">
        <v>1</v>
      </c>
      <c r="F40">
        <v>1</v>
      </c>
      <c r="G40">
        <v>1</v>
      </c>
      <c r="H40">
        <v>3</v>
      </c>
      <c r="I40" t="s">
        <v>115</v>
      </c>
      <c r="J40" t="s">
        <v>3</v>
      </c>
      <c r="K40" t="s">
        <v>116</v>
      </c>
      <c r="L40">
        <v>1354</v>
      </c>
      <c r="N40">
        <v>1010</v>
      </c>
      <c r="O40" t="s">
        <v>117</v>
      </c>
      <c r="P40" t="s">
        <v>117</v>
      </c>
      <c r="Q40">
        <v>1</v>
      </c>
      <c r="W40">
        <v>0</v>
      </c>
      <c r="X40">
        <v>1248498412</v>
      </c>
      <c r="Y40">
        <v>44.444443999999997</v>
      </c>
      <c r="AA40">
        <v>683.33</v>
      </c>
      <c r="AB40">
        <v>0</v>
      </c>
      <c r="AC40">
        <v>0</v>
      </c>
      <c r="AD40">
        <v>0</v>
      </c>
      <c r="AE40">
        <v>683.33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 t="s">
        <v>3</v>
      </c>
      <c r="AT40">
        <v>44.444443999999997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Y40*Source!I70</f>
        <v>2.844444416</v>
      </c>
      <c r="CY40">
        <f t="shared" si="7"/>
        <v>683.33</v>
      </c>
      <c r="CZ40">
        <f t="shared" si="8"/>
        <v>683.33</v>
      </c>
      <c r="DA40">
        <f t="shared" si="9"/>
        <v>1</v>
      </c>
      <c r="DB40">
        <f t="shared" si="2"/>
        <v>30370.22</v>
      </c>
      <c r="DC40">
        <f t="shared" si="3"/>
        <v>0</v>
      </c>
    </row>
    <row r="41" spans="1:107">
      <c r="A41">
        <f>ROW(Source!A72)</f>
        <v>72</v>
      </c>
      <c r="B41">
        <v>34132744</v>
      </c>
      <c r="C41">
        <v>34133052</v>
      </c>
      <c r="D41">
        <v>18413627</v>
      </c>
      <c r="E41">
        <v>1</v>
      </c>
      <c r="F41">
        <v>1</v>
      </c>
      <c r="G41">
        <v>1</v>
      </c>
      <c r="H41">
        <v>1</v>
      </c>
      <c r="I41" t="s">
        <v>418</v>
      </c>
      <c r="J41" t="s">
        <v>3</v>
      </c>
      <c r="K41" t="s">
        <v>419</v>
      </c>
      <c r="L41">
        <v>1369</v>
      </c>
      <c r="N41">
        <v>1013</v>
      </c>
      <c r="O41" t="s">
        <v>323</v>
      </c>
      <c r="P41" t="s">
        <v>323</v>
      </c>
      <c r="Q41">
        <v>1</v>
      </c>
      <c r="W41">
        <v>0</v>
      </c>
      <c r="X41">
        <v>-1366182279</v>
      </c>
      <c r="Y41">
        <v>2.76</v>
      </c>
      <c r="AA41">
        <v>0</v>
      </c>
      <c r="AB41">
        <v>0</v>
      </c>
      <c r="AC41">
        <v>0</v>
      </c>
      <c r="AD41">
        <v>323.88</v>
      </c>
      <c r="AE41">
        <v>0</v>
      </c>
      <c r="AF41">
        <v>0</v>
      </c>
      <c r="AG41">
        <v>0</v>
      </c>
      <c r="AH41">
        <v>323.88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2.4</v>
      </c>
      <c r="AU41" t="s">
        <v>101</v>
      </c>
      <c r="AV41">
        <v>1</v>
      </c>
      <c r="AW41">
        <v>2</v>
      </c>
      <c r="AX41">
        <v>35841282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Y41*Source!I72</f>
        <v>17.663999999999998</v>
      </c>
      <c r="CY41">
        <f>AD41</f>
        <v>323.88</v>
      </c>
      <c r="CZ41">
        <f>AH41</f>
        <v>323.88</v>
      </c>
      <c r="DA41">
        <f>AL41</f>
        <v>1</v>
      </c>
      <c r="DB41">
        <f>ROUND((ROUND(AT41*CZ41,2)*1.15),6)</f>
        <v>893.90650000000005</v>
      </c>
      <c r="DC41">
        <f>ROUND((ROUND(AT41*AG41,2)*1.15),6)</f>
        <v>0</v>
      </c>
    </row>
    <row r="42" spans="1:107">
      <c r="A42">
        <f>ROW(Source!A72)</f>
        <v>72</v>
      </c>
      <c r="B42">
        <v>34132744</v>
      </c>
      <c r="C42">
        <v>34133052</v>
      </c>
      <c r="D42">
        <v>29172657</v>
      </c>
      <c r="E42">
        <v>1</v>
      </c>
      <c r="F42">
        <v>1</v>
      </c>
      <c r="G42">
        <v>1</v>
      </c>
      <c r="H42">
        <v>2</v>
      </c>
      <c r="I42" t="s">
        <v>420</v>
      </c>
      <c r="J42" t="s">
        <v>421</v>
      </c>
      <c r="K42" t="s">
        <v>422</v>
      </c>
      <c r="L42">
        <v>1368</v>
      </c>
      <c r="N42">
        <v>1011</v>
      </c>
      <c r="O42" t="s">
        <v>331</v>
      </c>
      <c r="P42" t="s">
        <v>331</v>
      </c>
      <c r="Q42">
        <v>1</v>
      </c>
      <c r="W42">
        <v>0</v>
      </c>
      <c r="X42">
        <v>-86677160</v>
      </c>
      <c r="Y42">
        <v>0.5</v>
      </c>
      <c r="AA42">
        <v>0</v>
      </c>
      <c r="AB42">
        <v>60.26</v>
      </c>
      <c r="AC42">
        <v>0</v>
      </c>
      <c r="AD42">
        <v>0</v>
      </c>
      <c r="AE42">
        <v>0</v>
      </c>
      <c r="AF42">
        <v>8.1</v>
      </c>
      <c r="AG42">
        <v>0</v>
      </c>
      <c r="AH42">
        <v>0</v>
      </c>
      <c r="AI42">
        <v>1</v>
      </c>
      <c r="AJ42">
        <v>7.44</v>
      </c>
      <c r="AK42">
        <v>33.049999999999997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0.4</v>
      </c>
      <c r="AU42" t="s">
        <v>100</v>
      </c>
      <c r="AV42">
        <v>0</v>
      </c>
      <c r="AW42">
        <v>2</v>
      </c>
      <c r="AX42">
        <v>35841283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Y42*Source!I72</f>
        <v>3.2</v>
      </c>
      <c r="CY42">
        <f>AB42</f>
        <v>60.26</v>
      </c>
      <c r="CZ42">
        <f>AF42</f>
        <v>8.1</v>
      </c>
      <c r="DA42">
        <f>AJ42</f>
        <v>7.44</v>
      </c>
      <c r="DB42">
        <f>ROUND((ROUND(AT42*CZ42,2)*1.25),6)</f>
        <v>4.05</v>
      </c>
      <c r="DC42">
        <f>ROUND((ROUND(AT42*AG42,2)*1.25),6)</f>
        <v>0</v>
      </c>
    </row>
    <row r="43" spans="1:107">
      <c r="A43">
        <f>ROW(Source!A72)</f>
        <v>72</v>
      </c>
      <c r="B43">
        <v>34132744</v>
      </c>
      <c r="C43">
        <v>34133052</v>
      </c>
      <c r="D43">
        <v>29174507</v>
      </c>
      <c r="E43">
        <v>1</v>
      </c>
      <c r="F43">
        <v>1</v>
      </c>
      <c r="G43">
        <v>1</v>
      </c>
      <c r="H43">
        <v>2</v>
      </c>
      <c r="I43" t="s">
        <v>423</v>
      </c>
      <c r="J43" t="s">
        <v>424</v>
      </c>
      <c r="K43" t="s">
        <v>425</v>
      </c>
      <c r="L43">
        <v>1368</v>
      </c>
      <c r="N43">
        <v>1011</v>
      </c>
      <c r="O43" t="s">
        <v>331</v>
      </c>
      <c r="P43" t="s">
        <v>331</v>
      </c>
      <c r="Q43">
        <v>1</v>
      </c>
      <c r="W43">
        <v>0</v>
      </c>
      <c r="X43">
        <v>-1974929952</v>
      </c>
      <c r="Y43">
        <v>0.15</v>
      </c>
      <c r="AA43">
        <v>0</v>
      </c>
      <c r="AB43">
        <v>18.11</v>
      </c>
      <c r="AC43">
        <v>0</v>
      </c>
      <c r="AD43">
        <v>0</v>
      </c>
      <c r="AE43">
        <v>0</v>
      </c>
      <c r="AF43">
        <v>5.13</v>
      </c>
      <c r="AG43">
        <v>0</v>
      </c>
      <c r="AH43">
        <v>0</v>
      </c>
      <c r="AI43">
        <v>1</v>
      </c>
      <c r="AJ43">
        <v>3.53</v>
      </c>
      <c r="AK43">
        <v>33.049999999999997</v>
      </c>
      <c r="AL43">
        <v>1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0.12</v>
      </c>
      <c r="AU43" t="s">
        <v>100</v>
      </c>
      <c r="AV43">
        <v>0</v>
      </c>
      <c r="AW43">
        <v>2</v>
      </c>
      <c r="AX43">
        <v>35841284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Y43*Source!I72</f>
        <v>0.96</v>
      </c>
      <c r="CY43">
        <f>AB43</f>
        <v>18.11</v>
      </c>
      <c r="CZ43">
        <f>AF43</f>
        <v>5.13</v>
      </c>
      <c r="DA43">
        <f>AJ43</f>
        <v>3.53</v>
      </c>
      <c r="DB43">
        <f>ROUND((ROUND(AT43*CZ43,2)*1.25),6)</f>
        <v>0.77500000000000002</v>
      </c>
      <c r="DC43">
        <f>ROUND((ROUND(AT43*AG43,2)*1.25),6)</f>
        <v>0</v>
      </c>
    </row>
    <row r="44" spans="1:107">
      <c r="A44">
        <f>ROW(Source!A72)</f>
        <v>72</v>
      </c>
      <c r="B44">
        <v>34132744</v>
      </c>
      <c r="C44">
        <v>34133052</v>
      </c>
      <c r="D44">
        <v>29174580</v>
      </c>
      <c r="E44">
        <v>1</v>
      </c>
      <c r="F44">
        <v>1</v>
      </c>
      <c r="G44">
        <v>1</v>
      </c>
      <c r="H44">
        <v>2</v>
      </c>
      <c r="I44" t="s">
        <v>426</v>
      </c>
      <c r="J44" t="s">
        <v>427</v>
      </c>
      <c r="K44" t="s">
        <v>428</v>
      </c>
      <c r="L44">
        <v>1368</v>
      </c>
      <c r="N44">
        <v>1011</v>
      </c>
      <c r="O44" t="s">
        <v>331</v>
      </c>
      <c r="P44" t="s">
        <v>331</v>
      </c>
      <c r="Q44">
        <v>1</v>
      </c>
      <c r="W44">
        <v>0</v>
      </c>
      <c r="X44">
        <v>-169468834</v>
      </c>
      <c r="Y44">
        <v>0.23749999999999999</v>
      </c>
      <c r="AA44">
        <v>0</v>
      </c>
      <c r="AB44">
        <v>31.87</v>
      </c>
      <c r="AC44">
        <v>0</v>
      </c>
      <c r="AD44">
        <v>0</v>
      </c>
      <c r="AE44">
        <v>0</v>
      </c>
      <c r="AF44">
        <v>2.08</v>
      </c>
      <c r="AG44">
        <v>0</v>
      </c>
      <c r="AH44">
        <v>0</v>
      </c>
      <c r="AI44">
        <v>1</v>
      </c>
      <c r="AJ44">
        <v>15.32</v>
      </c>
      <c r="AK44">
        <v>33.049999999999997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0.19</v>
      </c>
      <c r="AU44" t="s">
        <v>100</v>
      </c>
      <c r="AV44">
        <v>0</v>
      </c>
      <c r="AW44">
        <v>2</v>
      </c>
      <c r="AX44">
        <v>35841285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Y44*Source!I72</f>
        <v>1.52</v>
      </c>
      <c r="CY44">
        <f>AB44</f>
        <v>31.87</v>
      </c>
      <c r="CZ44">
        <f>AF44</f>
        <v>2.08</v>
      </c>
      <c r="DA44">
        <f>AJ44</f>
        <v>15.32</v>
      </c>
      <c r="DB44">
        <f>ROUND((ROUND(AT44*CZ44,2)*1.25),6)</f>
        <v>0.5</v>
      </c>
      <c r="DC44">
        <f>ROUND((ROUND(AT44*AG44,2)*1.25),6)</f>
        <v>0</v>
      </c>
    </row>
    <row r="45" spans="1:107">
      <c r="A45">
        <f>ROW(Source!A72)</f>
        <v>72</v>
      </c>
      <c r="B45">
        <v>34132744</v>
      </c>
      <c r="C45">
        <v>34133052</v>
      </c>
      <c r="D45">
        <v>29174913</v>
      </c>
      <c r="E45">
        <v>1</v>
      </c>
      <c r="F45">
        <v>1</v>
      </c>
      <c r="G45">
        <v>1</v>
      </c>
      <c r="H45">
        <v>2</v>
      </c>
      <c r="I45" t="s">
        <v>342</v>
      </c>
      <c r="J45" t="s">
        <v>343</v>
      </c>
      <c r="K45" t="s">
        <v>344</v>
      </c>
      <c r="L45">
        <v>1368</v>
      </c>
      <c r="N45">
        <v>1011</v>
      </c>
      <c r="O45" t="s">
        <v>331</v>
      </c>
      <c r="P45" t="s">
        <v>331</v>
      </c>
      <c r="Q45">
        <v>1</v>
      </c>
      <c r="W45">
        <v>0</v>
      </c>
      <c r="X45">
        <v>458544584</v>
      </c>
      <c r="Y45">
        <v>0.21250000000000002</v>
      </c>
      <c r="AA45">
        <v>0</v>
      </c>
      <c r="AB45">
        <v>932.72</v>
      </c>
      <c r="AC45">
        <v>383.38</v>
      </c>
      <c r="AD45">
        <v>0</v>
      </c>
      <c r="AE45">
        <v>0</v>
      </c>
      <c r="AF45">
        <v>87.17</v>
      </c>
      <c r="AG45">
        <v>11.6</v>
      </c>
      <c r="AH45">
        <v>0</v>
      </c>
      <c r="AI45">
        <v>1</v>
      </c>
      <c r="AJ45">
        <v>10.7</v>
      </c>
      <c r="AK45">
        <v>33.049999999999997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0.17</v>
      </c>
      <c r="AU45" t="s">
        <v>100</v>
      </c>
      <c r="AV45">
        <v>0</v>
      </c>
      <c r="AW45">
        <v>2</v>
      </c>
      <c r="AX45">
        <v>35841286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Y45*Source!I72</f>
        <v>1.3600000000000003</v>
      </c>
      <c r="CY45">
        <f>AB45</f>
        <v>932.72</v>
      </c>
      <c r="CZ45">
        <f>AF45</f>
        <v>87.17</v>
      </c>
      <c r="DA45">
        <f>AJ45</f>
        <v>10.7</v>
      </c>
      <c r="DB45">
        <f>ROUND((ROUND(AT45*CZ45,2)*1.25),6)</f>
        <v>18.524999999999999</v>
      </c>
      <c r="DC45">
        <f>ROUND((ROUND(AT45*AG45,2)*1.25),6)</f>
        <v>2.4624999999999999</v>
      </c>
    </row>
    <row r="46" spans="1:107">
      <c r="A46">
        <f>ROW(Source!A72)</f>
        <v>72</v>
      </c>
      <c r="B46">
        <v>34132744</v>
      </c>
      <c r="C46">
        <v>34133052</v>
      </c>
      <c r="D46">
        <v>29113979</v>
      </c>
      <c r="E46">
        <v>1</v>
      </c>
      <c r="F46">
        <v>1</v>
      </c>
      <c r="G46">
        <v>1</v>
      </c>
      <c r="H46">
        <v>3</v>
      </c>
      <c r="I46" t="s">
        <v>392</v>
      </c>
      <c r="J46" t="s">
        <v>393</v>
      </c>
      <c r="K46" t="s">
        <v>394</v>
      </c>
      <c r="L46">
        <v>1348</v>
      </c>
      <c r="N46">
        <v>1009</v>
      </c>
      <c r="O46" t="s">
        <v>26</v>
      </c>
      <c r="P46" t="s">
        <v>26</v>
      </c>
      <c r="Q46">
        <v>1000</v>
      </c>
      <c r="W46">
        <v>0</v>
      </c>
      <c r="X46">
        <v>1352318502</v>
      </c>
      <c r="Y46">
        <v>1E-4</v>
      </c>
      <c r="AA46">
        <v>89992.41</v>
      </c>
      <c r="AB46">
        <v>0</v>
      </c>
      <c r="AC46">
        <v>0</v>
      </c>
      <c r="AD46">
        <v>0</v>
      </c>
      <c r="AE46">
        <v>9749.99</v>
      </c>
      <c r="AF46">
        <v>0</v>
      </c>
      <c r="AG46">
        <v>0</v>
      </c>
      <c r="AH46">
        <v>0</v>
      </c>
      <c r="AI46">
        <v>9.23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1E-4</v>
      </c>
      <c r="AU46" t="s">
        <v>3</v>
      </c>
      <c r="AV46">
        <v>0</v>
      </c>
      <c r="AW46">
        <v>2</v>
      </c>
      <c r="AX46">
        <v>35841287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Y46*Source!I72</f>
        <v>6.4000000000000005E-4</v>
      </c>
      <c r="CY46">
        <f>AA46</f>
        <v>89992.41</v>
      </c>
      <c r="CZ46">
        <f>AE46</f>
        <v>9749.99</v>
      </c>
      <c r="DA46">
        <f>AI46</f>
        <v>9.23</v>
      </c>
      <c r="DB46">
        <f>ROUND(ROUND(AT46*CZ46,2),6)</f>
        <v>0.97</v>
      </c>
      <c r="DC46">
        <f>ROUND(ROUND(AT46*AG46,2),6)</f>
        <v>0</v>
      </c>
    </row>
    <row r="47" spans="1:107">
      <c r="A47">
        <f>ROW(Source!A72)</f>
        <v>72</v>
      </c>
      <c r="B47">
        <v>34132744</v>
      </c>
      <c r="C47">
        <v>34133052</v>
      </c>
      <c r="D47">
        <v>29107991</v>
      </c>
      <c r="E47">
        <v>1</v>
      </c>
      <c r="F47">
        <v>1</v>
      </c>
      <c r="G47">
        <v>1</v>
      </c>
      <c r="H47">
        <v>3</v>
      </c>
      <c r="I47" t="s">
        <v>429</v>
      </c>
      <c r="J47" t="s">
        <v>430</v>
      </c>
      <c r="K47" t="s">
        <v>431</v>
      </c>
      <c r="L47">
        <v>1354</v>
      </c>
      <c r="N47">
        <v>1010</v>
      </c>
      <c r="O47" t="s">
        <v>117</v>
      </c>
      <c r="P47" t="s">
        <v>117</v>
      </c>
      <c r="Q47">
        <v>1</v>
      </c>
      <c r="W47">
        <v>0</v>
      </c>
      <c r="X47">
        <v>-759618800</v>
      </c>
      <c r="Y47">
        <v>0.1</v>
      </c>
      <c r="AA47">
        <v>184.91</v>
      </c>
      <c r="AB47">
        <v>0</v>
      </c>
      <c r="AC47">
        <v>0</v>
      </c>
      <c r="AD47">
        <v>0</v>
      </c>
      <c r="AE47">
        <v>72.8</v>
      </c>
      <c r="AF47">
        <v>0</v>
      </c>
      <c r="AG47">
        <v>0</v>
      </c>
      <c r="AH47">
        <v>0</v>
      </c>
      <c r="AI47">
        <v>2.54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0.1</v>
      </c>
      <c r="AU47" t="s">
        <v>3</v>
      </c>
      <c r="AV47">
        <v>0</v>
      </c>
      <c r="AW47">
        <v>2</v>
      </c>
      <c r="AX47">
        <v>35841288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Y47*Source!I72</f>
        <v>0.64000000000000012</v>
      </c>
      <c r="CY47">
        <f>AA47</f>
        <v>184.91</v>
      </c>
      <c r="CZ47">
        <f>AE47</f>
        <v>72.8</v>
      </c>
      <c r="DA47">
        <f>AI47</f>
        <v>2.54</v>
      </c>
      <c r="DB47">
        <f>ROUND(ROUND(AT47*CZ47,2),6)</f>
        <v>7.28</v>
      </c>
      <c r="DC47">
        <f>ROUND(ROUND(AT47*AG47,2),6)</f>
        <v>0</v>
      </c>
    </row>
    <row r="48" spans="1:107">
      <c r="A48">
        <f>ROW(Source!A72)</f>
        <v>72</v>
      </c>
      <c r="B48">
        <v>34132744</v>
      </c>
      <c r="C48">
        <v>34133052</v>
      </c>
      <c r="D48">
        <v>29130595</v>
      </c>
      <c r="E48">
        <v>1</v>
      </c>
      <c r="F48">
        <v>1</v>
      </c>
      <c r="G48">
        <v>1</v>
      </c>
      <c r="H48">
        <v>3</v>
      </c>
      <c r="I48" t="s">
        <v>125</v>
      </c>
      <c r="J48" t="s">
        <v>127</v>
      </c>
      <c r="K48" t="s">
        <v>126</v>
      </c>
      <c r="L48">
        <v>1354</v>
      </c>
      <c r="N48">
        <v>1010</v>
      </c>
      <c r="O48" t="s">
        <v>117</v>
      </c>
      <c r="P48" t="s">
        <v>117</v>
      </c>
      <c r="Q48">
        <v>1</v>
      </c>
      <c r="W48">
        <v>0</v>
      </c>
      <c r="X48">
        <v>304209852</v>
      </c>
      <c r="Y48">
        <v>0.3125</v>
      </c>
      <c r="AA48">
        <v>10929.57</v>
      </c>
      <c r="AB48">
        <v>0</v>
      </c>
      <c r="AC48">
        <v>0</v>
      </c>
      <c r="AD48">
        <v>0</v>
      </c>
      <c r="AE48">
        <v>2906.8</v>
      </c>
      <c r="AF48">
        <v>0</v>
      </c>
      <c r="AG48">
        <v>0</v>
      </c>
      <c r="AH48">
        <v>0</v>
      </c>
      <c r="AI48">
        <v>3.76</v>
      </c>
      <c r="AJ48">
        <v>1</v>
      </c>
      <c r="AK48">
        <v>1</v>
      </c>
      <c r="AL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3</v>
      </c>
      <c r="AT48">
        <v>0.3125</v>
      </c>
      <c r="AU48" t="s">
        <v>3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Y48*Source!I72</f>
        <v>2</v>
      </c>
      <c r="CY48">
        <f>AA48</f>
        <v>10929.57</v>
      </c>
      <c r="CZ48">
        <f>AE48</f>
        <v>2906.8</v>
      </c>
      <c r="DA48">
        <f>AI48</f>
        <v>3.76</v>
      </c>
      <c r="DB48">
        <f>ROUND(ROUND(AT48*CZ48,2),6)</f>
        <v>908.38</v>
      </c>
      <c r="DC48">
        <f>ROUND(ROUND(AT48*AG48,2),6)</f>
        <v>0</v>
      </c>
    </row>
    <row r="49" spans="1:107">
      <c r="A49">
        <f>ROW(Source!A72)</f>
        <v>72</v>
      </c>
      <c r="B49">
        <v>34132744</v>
      </c>
      <c r="C49">
        <v>34133052</v>
      </c>
      <c r="D49">
        <v>29130620</v>
      </c>
      <c r="E49">
        <v>1</v>
      </c>
      <c r="F49">
        <v>1</v>
      </c>
      <c r="G49">
        <v>1</v>
      </c>
      <c r="H49">
        <v>3</v>
      </c>
      <c r="I49" t="s">
        <v>129</v>
      </c>
      <c r="J49" t="s">
        <v>131</v>
      </c>
      <c r="K49" t="s">
        <v>130</v>
      </c>
      <c r="L49">
        <v>1354</v>
      </c>
      <c r="N49">
        <v>1010</v>
      </c>
      <c r="O49" t="s">
        <v>117</v>
      </c>
      <c r="P49" t="s">
        <v>117</v>
      </c>
      <c r="Q49">
        <v>1</v>
      </c>
      <c r="W49">
        <v>0</v>
      </c>
      <c r="X49">
        <v>-1458162200</v>
      </c>
      <c r="Y49">
        <v>0.3125</v>
      </c>
      <c r="AA49">
        <v>25357.46</v>
      </c>
      <c r="AB49">
        <v>0</v>
      </c>
      <c r="AC49">
        <v>0</v>
      </c>
      <c r="AD49">
        <v>0</v>
      </c>
      <c r="AE49">
        <v>5418.26</v>
      </c>
      <c r="AF49">
        <v>0</v>
      </c>
      <c r="AG49">
        <v>0</v>
      </c>
      <c r="AH49">
        <v>0</v>
      </c>
      <c r="AI49">
        <v>4.68</v>
      </c>
      <c r="AJ49">
        <v>1</v>
      </c>
      <c r="AK49">
        <v>1</v>
      </c>
      <c r="AL49">
        <v>1</v>
      </c>
      <c r="AN49">
        <v>0</v>
      </c>
      <c r="AO49">
        <v>0</v>
      </c>
      <c r="AP49">
        <v>0</v>
      </c>
      <c r="AQ49">
        <v>0</v>
      </c>
      <c r="AR49">
        <v>0</v>
      </c>
      <c r="AS49" t="s">
        <v>3</v>
      </c>
      <c r="AT49">
        <v>0.3125</v>
      </c>
      <c r="AU49" t="s">
        <v>3</v>
      </c>
      <c r="AV49">
        <v>0</v>
      </c>
      <c r="AW49">
        <v>1</v>
      </c>
      <c r="AX49">
        <v>-1</v>
      </c>
      <c r="AY49">
        <v>0</v>
      </c>
      <c r="AZ49">
        <v>0</v>
      </c>
      <c r="BA49" t="s">
        <v>3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Y49*Source!I72</f>
        <v>2</v>
      </c>
      <c r="CY49">
        <f>AA49</f>
        <v>25357.46</v>
      </c>
      <c r="CZ49">
        <f>AE49</f>
        <v>5418.26</v>
      </c>
      <c r="DA49">
        <f>AI49</f>
        <v>4.68</v>
      </c>
      <c r="DB49">
        <f>ROUND(ROUND(AT49*CZ49,2),6)</f>
        <v>1693.21</v>
      </c>
      <c r="DC49">
        <f>ROUND(ROUND(AT49*AG49,2),6)</f>
        <v>0</v>
      </c>
    </row>
    <row r="50" spans="1:107">
      <c r="A50">
        <f>ROW(Source!A72)</f>
        <v>72</v>
      </c>
      <c r="B50">
        <v>34132744</v>
      </c>
      <c r="C50">
        <v>34133052</v>
      </c>
      <c r="D50">
        <v>29131398</v>
      </c>
      <c r="E50">
        <v>1</v>
      </c>
      <c r="F50">
        <v>1</v>
      </c>
      <c r="G50">
        <v>1</v>
      </c>
      <c r="H50">
        <v>3</v>
      </c>
      <c r="I50" t="s">
        <v>432</v>
      </c>
      <c r="J50" t="s">
        <v>433</v>
      </c>
      <c r="K50" t="s">
        <v>434</v>
      </c>
      <c r="L50">
        <v>1348</v>
      </c>
      <c r="N50">
        <v>1009</v>
      </c>
      <c r="O50" t="s">
        <v>26</v>
      </c>
      <c r="P50" t="s">
        <v>26</v>
      </c>
      <c r="Q50">
        <v>1000</v>
      </c>
      <c r="W50">
        <v>0</v>
      </c>
      <c r="X50">
        <v>1821910107</v>
      </c>
      <c r="Y50">
        <v>3.0000000000000001E-3</v>
      </c>
      <c r="AA50">
        <v>43007.64</v>
      </c>
      <c r="AB50">
        <v>0</v>
      </c>
      <c r="AC50">
        <v>0</v>
      </c>
      <c r="AD50">
        <v>0</v>
      </c>
      <c r="AE50">
        <v>5804</v>
      </c>
      <c r="AF50">
        <v>0</v>
      </c>
      <c r="AG50">
        <v>0</v>
      </c>
      <c r="AH50">
        <v>0</v>
      </c>
      <c r="AI50">
        <v>7.41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3.0000000000000001E-3</v>
      </c>
      <c r="AU50" t="s">
        <v>3</v>
      </c>
      <c r="AV50">
        <v>0</v>
      </c>
      <c r="AW50">
        <v>2</v>
      </c>
      <c r="AX50">
        <v>35841291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Y50*Source!I72</f>
        <v>1.9200000000000002E-2</v>
      </c>
      <c r="CY50">
        <f>AA50</f>
        <v>43007.64</v>
      </c>
      <c r="CZ50">
        <f>AE50</f>
        <v>5804</v>
      </c>
      <c r="DA50">
        <f>AI50</f>
        <v>7.41</v>
      </c>
      <c r="DB50">
        <f>ROUND(ROUND(AT50*CZ50,2),6)</f>
        <v>17.41</v>
      </c>
      <c r="DC50">
        <f>ROUND(ROUND(AT50*AG50,2),6)</f>
        <v>0</v>
      </c>
    </row>
    <row r="51" spans="1:107">
      <c r="A51">
        <f>ROW(Source!A75)</f>
        <v>75</v>
      </c>
      <c r="B51">
        <v>34132744</v>
      </c>
      <c r="C51">
        <v>35832069</v>
      </c>
      <c r="D51">
        <v>18413230</v>
      </c>
      <c r="E51">
        <v>1</v>
      </c>
      <c r="F51">
        <v>1</v>
      </c>
      <c r="G51">
        <v>1</v>
      </c>
      <c r="H51">
        <v>1</v>
      </c>
      <c r="I51" t="s">
        <v>435</v>
      </c>
      <c r="J51" t="s">
        <v>3</v>
      </c>
      <c r="K51" t="s">
        <v>436</v>
      </c>
      <c r="L51">
        <v>1369</v>
      </c>
      <c r="N51">
        <v>1013</v>
      </c>
      <c r="O51" t="s">
        <v>323</v>
      </c>
      <c r="P51" t="s">
        <v>323</v>
      </c>
      <c r="Q51">
        <v>1</v>
      </c>
      <c r="W51">
        <v>0</v>
      </c>
      <c r="X51">
        <v>355262106</v>
      </c>
      <c r="Y51">
        <v>119.922</v>
      </c>
      <c r="AA51">
        <v>0</v>
      </c>
      <c r="AB51">
        <v>0</v>
      </c>
      <c r="AC51">
        <v>0</v>
      </c>
      <c r="AD51">
        <v>299.72000000000003</v>
      </c>
      <c r="AE51">
        <v>0</v>
      </c>
      <c r="AF51">
        <v>0</v>
      </c>
      <c r="AG51">
        <v>0</v>
      </c>
      <c r="AH51">
        <v>299.72000000000003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104.28</v>
      </c>
      <c r="AU51" t="s">
        <v>101</v>
      </c>
      <c r="AV51">
        <v>1</v>
      </c>
      <c r="AW51">
        <v>2</v>
      </c>
      <c r="AX51">
        <v>35832070</v>
      </c>
      <c r="AY51">
        <v>1</v>
      </c>
      <c r="AZ51">
        <v>0</v>
      </c>
      <c r="BA51">
        <v>52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Y51*Source!I75</f>
        <v>7.1953199999999997</v>
      </c>
      <c r="CY51">
        <f>AD51</f>
        <v>299.72000000000003</v>
      </c>
      <c r="CZ51">
        <f>AH51</f>
        <v>299.72000000000003</v>
      </c>
      <c r="DA51">
        <f>AL51</f>
        <v>1</v>
      </c>
      <c r="DB51">
        <f>ROUND((ROUND(AT51*CZ51,2)*1.15),6)</f>
        <v>35943.019999999997</v>
      </c>
      <c r="DC51">
        <f>ROUND((ROUND(AT51*AG51,2)*1.15),6)</f>
        <v>0</v>
      </c>
    </row>
    <row r="52" spans="1:107">
      <c r="A52">
        <f>ROW(Source!A75)</f>
        <v>75</v>
      </c>
      <c r="B52">
        <v>34132744</v>
      </c>
      <c r="C52">
        <v>35832069</v>
      </c>
      <c r="D52">
        <v>121548</v>
      </c>
      <c r="E52">
        <v>1</v>
      </c>
      <c r="F52">
        <v>1</v>
      </c>
      <c r="G52">
        <v>1</v>
      </c>
      <c r="H52">
        <v>1</v>
      </c>
      <c r="I52" t="s">
        <v>28</v>
      </c>
      <c r="J52" t="s">
        <v>3</v>
      </c>
      <c r="K52" t="s">
        <v>326</v>
      </c>
      <c r="L52">
        <v>608254</v>
      </c>
      <c r="N52">
        <v>1013</v>
      </c>
      <c r="O52" t="s">
        <v>327</v>
      </c>
      <c r="P52" t="s">
        <v>327</v>
      </c>
      <c r="Q52">
        <v>1</v>
      </c>
      <c r="W52">
        <v>0</v>
      </c>
      <c r="X52">
        <v>-185737400</v>
      </c>
      <c r="Y52">
        <v>14.1875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11.35</v>
      </c>
      <c r="AU52" t="s">
        <v>100</v>
      </c>
      <c r="AV52">
        <v>2</v>
      </c>
      <c r="AW52">
        <v>2</v>
      </c>
      <c r="AX52">
        <v>35832071</v>
      </c>
      <c r="AY52">
        <v>1</v>
      </c>
      <c r="AZ52">
        <v>0</v>
      </c>
      <c r="BA52">
        <v>53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Y52*Source!I75</f>
        <v>0.85124999999999995</v>
      </c>
      <c r="CY52">
        <f>AD52</f>
        <v>0</v>
      </c>
      <c r="CZ52">
        <f>AH52</f>
        <v>0</v>
      </c>
      <c r="DA52">
        <f>AL52</f>
        <v>1</v>
      </c>
      <c r="DB52">
        <f>ROUND((ROUND(AT52*CZ52,2)*1.25),6)</f>
        <v>0</v>
      </c>
      <c r="DC52">
        <f>ROUND((ROUND(AT52*AG52,2)*1.25),6)</f>
        <v>0</v>
      </c>
    </row>
    <row r="53" spans="1:107">
      <c r="A53">
        <f>ROW(Source!A75)</f>
        <v>75</v>
      </c>
      <c r="B53">
        <v>34132744</v>
      </c>
      <c r="C53">
        <v>35832069</v>
      </c>
      <c r="D53">
        <v>29172268</v>
      </c>
      <c r="E53">
        <v>1</v>
      </c>
      <c r="F53">
        <v>1</v>
      </c>
      <c r="G53">
        <v>1</v>
      </c>
      <c r="H53">
        <v>2</v>
      </c>
      <c r="I53" t="s">
        <v>437</v>
      </c>
      <c r="J53" t="s">
        <v>438</v>
      </c>
      <c r="K53" t="s">
        <v>439</v>
      </c>
      <c r="L53">
        <v>1368</v>
      </c>
      <c r="N53">
        <v>1011</v>
      </c>
      <c r="O53" t="s">
        <v>331</v>
      </c>
      <c r="P53" t="s">
        <v>331</v>
      </c>
      <c r="Q53">
        <v>1</v>
      </c>
      <c r="W53">
        <v>0</v>
      </c>
      <c r="X53">
        <v>-1117034689</v>
      </c>
      <c r="Y53">
        <v>12.112499999999999</v>
      </c>
      <c r="AA53">
        <v>0</v>
      </c>
      <c r="AB53">
        <v>889.06</v>
      </c>
      <c r="AC53">
        <v>446.18</v>
      </c>
      <c r="AD53">
        <v>0</v>
      </c>
      <c r="AE53">
        <v>0</v>
      </c>
      <c r="AF53">
        <v>86.4</v>
      </c>
      <c r="AG53">
        <v>13.5</v>
      </c>
      <c r="AH53">
        <v>0</v>
      </c>
      <c r="AI53">
        <v>1</v>
      </c>
      <c r="AJ53">
        <v>10.29</v>
      </c>
      <c r="AK53">
        <v>33.049999999999997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9.69</v>
      </c>
      <c r="AU53" t="s">
        <v>100</v>
      </c>
      <c r="AV53">
        <v>0</v>
      </c>
      <c r="AW53">
        <v>2</v>
      </c>
      <c r="AX53">
        <v>35832072</v>
      </c>
      <c r="AY53">
        <v>1</v>
      </c>
      <c r="AZ53">
        <v>0</v>
      </c>
      <c r="BA53">
        <v>54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Y53*Source!I75</f>
        <v>0.7267499999999999</v>
      </c>
      <c r="CY53">
        <f>AB53</f>
        <v>889.06</v>
      </c>
      <c r="CZ53">
        <f>AF53</f>
        <v>86.4</v>
      </c>
      <c r="DA53">
        <f>AJ53</f>
        <v>10.29</v>
      </c>
      <c r="DB53">
        <f>ROUND((ROUND(AT53*CZ53,2)*1.25),6)</f>
        <v>1046.5250000000001</v>
      </c>
      <c r="DC53">
        <f>ROUND((ROUND(AT53*AG53,2)*1.25),6)</f>
        <v>163.52500000000001</v>
      </c>
    </row>
    <row r="54" spans="1:107">
      <c r="A54">
        <f>ROW(Source!A75)</f>
        <v>75</v>
      </c>
      <c r="B54">
        <v>34132744</v>
      </c>
      <c r="C54">
        <v>35832069</v>
      </c>
      <c r="D54">
        <v>29172379</v>
      </c>
      <c r="E54">
        <v>1</v>
      </c>
      <c r="F54">
        <v>1</v>
      </c>
      <c r="G54">
        <v>1</v>
      </c>
      <c r="H54">
        <v>2</v>
      </c>
      <c r="I54" t="s">
        <v>359</v>
      </c>
      <c r="J54" t="s">
        <v>360</v>
      </c>
      <c r="K54" t="s">
        <v>361</v>
      </c>
      <c r="L54">
        <v>1368</v>
      </c>
      <c r="N54">
        <v>1011</v>
      </c>
      <c r="O54" t="s">
        <v>331</v>
      </c>
      <c r="P54" t="s">
        <v>331</v>
      </c>
      <c r="Q54">
        <v>1</v>
      </c>
      <c r="W54">
        <v>0</v>
      </c>
      <c r="X54">
        <v>-151619853</v>
      </c>
      <c r="Y54">
        <v>2.0749999999999997</v>
      </c>
      <c r="AA54">
        <v>0</v>
      </c>
      <c r="AB54">
        <v>1102.08</v>
      </c>
      <c r="AC54">
        <v>446.18</v>
      </c>
      <c r="AD54">
        <v>0</v>
      </c>
      <c r="AE54">
        <v>0</v>
      </c>
      <c r="AF54">
        <v>112</v>
      </c>
      <c r="AG54">
        <v>13.5</v>
      </c>
      <c r="AH54">
        <v>0</v>
      </c>
      <c r="AI54">
        <v>1</v>
      </c>
      <c r="AJ54">
        <v>9.84</v>
      </c>
      <c r="AK54">
        <v>33.049999999999997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1.66</v>
      </c>
      <c r="AU54" t="s">
        <v>100</v>
      </c>
      <c r="AV54">
        <v>0</v>
      </c>
      <c r="AW54">
        <v>2</v>
      </c>
      <c r="AX54">
        <v>35832073</v>
      </c>
      <c r="AY54">
        <v>1</v>
      </c>
      <c r="AZ54">
        <v>0</v>
      </c>
      <c r="BA54">
        <v>55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Y54*Source!I75</f>
        <v>0.12449999999999999</v>
      </c>
      <c r="CY54">
        <f>AB54</f>
        <v>1102.08</v>
      </c>
      <c r="CZ54">
        <f>AF54</f>
        <v>112</v>
      </c>
      <c r="DA54">
        <f>AJ54</f>
        <v>9.84</v>
      </c>
      <c r="DB54">
        <f>ROUND((ROUND(AT54*CZ54,2)*1.25),6)</f>
        <v>232.4</v>
      </c>
      <c r="DC54">
        <f>ROUND((ROUND(AT54*AG54,2)*1.25),6)</f>
        <v>28.012499999999999</v>
      </c>
    </row>
    <row r="55" spans="1:107">
      <c r="A55">
        <f>ROW(Source!A75)</f>
        <v>75</v>
      </c>
      <c r="B55">
        <v>34132744</v>
      </c>
      <c r="C55">
        <v>35832069</v>
      </c>
      <c r="D55">
        <v>29173252</v>
      </c>
      <c r="E55">
        <v>1</v>
      </c>
      <c r="F55">
        <v>1</v>
      </c>
      <c r="G55">
        <v>1</v>
      </c>
      <c r="H55">
        <v>2</v>
      </c>
      <c r="I55" t="s">
        <v>440</v>
      </c>
      <c r="J55" t="s">
        <v>441</v>
      </c>
      <c r="K55" t="s">
        <v>442</v>
      </c>
      <c r="L55">
        <v>1368</v>
      </c>
      <c r="N55">
        <v>1011</v>
      </c>
      <c r="O55" t="s">
        <v>331</v>
      </c>
      <c r="P55" t="s">
        <v>331</v>
      </c>
      <c r="Q55">
        <v>1</v>
      </c>
      <c r="W55">
        <v>0</v>
      </c>
      <c r="X55">
        <v>1507480458</v>
      </c>
      <c r="Y55">
        <v>2.2374999999999998</v>
      </c>
      <c r="AA55">
        <v>0</v>
      </c>
      <c r="AB55">
        <v>124.8</v>
      </c>
      <c r="AC55">
        <v>0</v>
      </c>
      <c r="AD55">
        <v>0</v>
      </c>
      <c r="AE55">
        <v>0</v>
      </c>
      <c r="AF55">
        <v>30</v>
      </c>
      <c r="AG55">
        <v>0</v>
      </c>
      <c r="AH55">
        <v>0</v>
      </c>
      <c r="AI55">
        <v>1</v>
      </c>
      <c r="AJ55">
        <v>4.16</v>
      </c>
      <c r="AK55">
        <v>33.049999999999997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1.79</v>
      </c>
      <c r="AU55" t="s">
        <v>100</v>
      </c>
      <c r="AV55">
        <v>0</v>
      </c>
      <c r="AW55">
        <v>2</v>
      </c>
      <c r="AX55">
        <v>35832074</v>
      </c>
      <c r="AY55">
        <v>1</v>
      </c>
      <c r="AZ55">
        <v>0</v>
      </c>
      <c r="BA55">
        <v>56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Y55*Source!I75</f>
        <v>0.13424999999999998</v>
      </c>
      <c r="CY55">
        <f>AB55</f>
        <v>124.8</v>
      </c>
      <c r="CZ55">
        <f>AF55</f>
        <v>30</v>
      </c>
      <c r="DA55">
        <f>AJ55</f>
        <v>4.16</v>
      </c>
      <c r="DB55">
        <f>ROUND((ROUND(AT55*CZ55,2)*1.25),6)</f>
        <v>67.125</v>
      </c>
      <c r="DC55">
        <f>ROUND((ROUND(AT55*AG55,2)*1.25),6)</f>
        <v>0</v>
      </c>
    </row>
    <row r="56" spans="1:107">
      <c r="A56">
        <f>ROW(Source!A75)</f>
        <v>75</v>
      </c>
      <c r="B56">
        <v>34132744</v>
      </c>
      <c r="C56">
        <v>35832069</v>
      </c>
      <c r="D56">
        <v>29174913</v>
      </c>
      <c r="E56">
        <v>1</v>
      </c>
      <c r="F56">
        <v>1</v>
      </c>
      <c r="G56">
        <v>1</v>
      </c>
      <c r="H56">
        <v>2</v>
      </c>
      <c r="I56" t="s">
        <v>342</v>
      </c>
      <c r="J56" t="s">
        <v>343</v>
      </c>
      <c r="K56" t="s">
        <v>344</v>
      </c>
      <c r="L56">
        <v>1368</v>
      </c>
      <c r="N56">
        <v>1011</v>
      </c>
      <c r="O56" t="s">
        <v>331</v>
      </c>
      <c r="P56" t="s">
        <v>331</v>
      </c>
      <c r="Q56">
        <v>1</v>
      </c>
      <c r="W56">
        <v>0</v>
      </c>
      <c r="X56">
        <v>458544584</v>
      </c>
      <c r="Y56">
        <v>2.4874999999999998</v>
      </c>
      <c r="AA56">
        <v>0</v>
      </c>
      <c r="AB56">
        <v>932.72</v>
      </c>
      <c r="AC56">
        <v>383.38</v>
      </c>
      <c r="AD56">
        <v>0</v>
      </c>
      <c r="AE56">
        <v>0</v>
      </c>
      <c r="AF56">
        <v>87.17</v>
      </c>
      <c r="AG56">
        <v>11.6</v>
      </c>
      <c r="AH56">
        <v>0</v>
      </c>
      <c r="AI56">
        <v>1</v>
      </c>
      <c r="AJ56">
        <v>10.7</v>
      </c>
      <c r="AK56">
        <v>33.049999999999997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1.99</v>
      </c>
      <c r="AU56" t="s">
        <v>100</v>
      </c>
      <c r="AV56">
        <v>0</v>
      </c>
      <c r="AW56">
        <v>2</v>
      </c>
      <c r="AX56">
        <v>35832075</v>
      </c>
      <c r="AY56">
        <v>1</v>
      </c>
      <c r="AZ56">
        <v>0</v>
      </c>
      <c r="BA56">
        <v>57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Y56*Source!I75</f>
        <v>0.14924999999999999</v>
      </c>
      <c r="CY56">
        <f>AB56</f>
        <v>932.72</v>
      </c>
      <c r="CZ56">
        <f>AF56</f>
        <v>87.17</v>
      </c>
      <c r="DA56">
        <f>AJ56</f>
        <v>10.7</v>
      </c>
      <c r="DB56">
        <f>ROUND((ROUND(AT56*CZ56,2)*1.25),6)</f>
        <v>216.83750000000001</v>
      </c>
      <c r="DC56">
        <f>ROUND((ROUND(AT56*AG56,2)*1.25),6)</f>
        <v>28.85</v>
      </c>
    </row>
    <row r="57" spans="1:107">
      <c r="A57">
        <f>ROW(Source!A75)</f>
        <v>75</v>
      </c>
      <c r="B57">
        <v>34132744</v>
      </c>
      <c r="C57">
        <v>35832069</v>
      </c>
      <c r="D57">
        <v>29114395</v>
      </c>
      <c r="E57">
        <v>1</v>
      </c>
      <c r="F57">
        <v>1</v>
      </c>
      <c r="G57">
        <v>1</v>
      </c>
      <c r="H57">
        <v>3</v>
      </c>
      <c r="I57" t="s">
        <v>443</v>
      </c>
      <c r="J57" t="s">
        <v>444</v>
      </c>
      <c r="K57" t="s">
        <v>445</v>
      </c>
      <c r="L57">
        <v>1348</v>
      </c>
      <c r="N57">
        <v>1009</v>
      </c>
      <c r="O57" t="s">
        <v>26</v>
      </c>
      <c r="P57" t="s">
        <v>26</v>
      </c>
      <c r="Q57">
        <v>1000</v>
      </c>
      <c r="W57">
        <v>0</v>
      </c>
      <c r="X57">
        <v>60514000</v>
      </c>
      <c r="Y57">
        <v>2.0999999999999999E-3</v>
      </c>
      <c r="AA57">
        <v>69749.25</v>
      </c>
      <c r="AB57">
        <v>0</v>
      </c>
      <c r="AC57">
        <v>0</v>
      </c>
      <c r="AD57">
        <v>0</v>
      </c>
      <c r="AE57">
        <v>8475</v>
      </c>
      <c r="AF57">
        <v>0</v>
      </c>
      <c r="AG57">
        <v>0</v>
      </c>
      <c r="AH57">
        <v>0</v>
      </c>
      <c r="AI57">
        <v>8.23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2.0999999999999999E-3</v>
      </c>
      <c r="AU57" t="s">
        <v>3</v>
      </c>
      <c r="AV57">
        <v>0</v>
      </c>
      <c r="AW57">
        <v>2</v>
      </c>
      <c r="AX57">
        <v>35832076</v>
      </c>
      <c r="AY57">
        <v>1</v>
      </c>
      <c r="AZ57">
        <v>0</v>
      </c>
      <c r="BA57">
        <v>58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Y57*Source!I75</f>
        <v>1.26E-4</v>
      </c>
      <c r="CY57">
        <f t="shared" ref="CY57:CY67" si="10">AA57</f>
        <v>69749.25</v>
      </c>
      <c r="CZ57">
        <f t="shared" ref="CZ57:CZ67" si="11">AE57</f>
        <v>8475</v>
      </c>
      <c r="DA57">
        <f t="shared" ref="DA57:DA67" si="12">AI57</f>
        <v>8.23</v>
      </c>
      <c r="DB57">
        <f t="shared" ref="DB57:DB67" si="13">ROUND(ROUND(AT57*CZ57,2),6)</f>
        <v>17.8</v>
      </c>
      <c r="DC57">
        <f t="shared" ref="DC57:DC67" si="14">ROUND(ROUND(AT57*AG57,2),6)</f>
        <v>0</v>
      </c>
    </row>
    <row r="58" spans="1:107">
      <c r="A58">
        <f>ROW(Source!A75)</f>
        <v>75</v>
      </c>
      <c r="B58">
        <v>34132744</v>
      </c>
      <c r="C58">
        <v>35832069</v>
      </c>
      <c r="D58">
        <v>29111762</v>
      </c>
      <c r="E58">
        <v>1</v>
      </c>
      <c r="F58">
        <v>1</v>
      </c>
      <c r="G58">
        <v>1</v>
      </c>
      <c r="H58">
        <v>3</v>
      </c>
      <c r="I58" t="s">
        <v>446</v>
      </c>
      <c r="J58" t="s">
        <v>447</v>
      </c>
      <c r="K58" t="s">
        <v>448</v>
      </c>
      <c r="L58">
        <v>1348</v>
      </c>
      <c r="N58">
        <v>1009</v>
      </c>
      <c r="O58" t="s">
        <v>26</v>
      </c>
      <c r="P58" t="s">
        <v>26</v>
      </c>
      <c r="Q58">
        <v>1000</v>
      </c>
      <c r="W58">
        <v>0</v>
      </c>
      <c r="X58">
        <v>-538696133</v>
      </c>
      <c r="Y58">
        <v>2.3599999999999999E-2</v>
      </c>
      <c r="AA58">
        <v>4271.37</v>
      </c>
      <c r="AB58">
        <v>0</v>
      </c>
      <c r="AC58">
        <v>0</v>
      </c>
      <c r="AD58">
        <v>0</v>
      </c>
      <c r="AE58">
        <v>1694.99</v>
      </c>
      <c r="AF58">
        <v>0</v>
      </c>
      <c r="AG58">
        <v>0</v>
      </c>
      <c r="AH58">
        <v>0</v>
      </c>
      <c r="AI58">
        <v>2.52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2.3599999999999999E-2</v>
      </c>
      <c r="AU58" t="s">
        <v>3</v>
      </c>
      <c r="AV58">
        <v>0</v>
      </c>
      <c r="AW58">
        <v>2</v>
      </c>
      <c r="AX58">
        <v>35832077</v>
      </c>
      <c r="AY58">
        <v>1</v>
      </c>
      <c r="AZ58">
        <v>0</v>
      </c>
      <c r="BA58">
        <v>59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Y58*Source!I75</f>
        <v>1.4159999999999999E-3</v>
      </c>
      <c r="CY58">
        <f t="shared" si="10"/>
        <v>4271.37</v>
      </c>
      <c r="CZ58">
        <f t="shared" si="11"/>
        <v>1694.99</v>
      </c>
      <c r="DA58">
        <f t="shared" si="12"/>
        <v>2.52</v>
      </c>
      <c r="DB58">
        <f t="shared" si="13"/>
        <v>40</v>
      </c>
      <c r="DC58">
        <f t="shared" si="14"/>
        <v>0</v>
      </c>
    </row>
    <row r="59" spans="1:107">
      <c r="A59">
        <f>ROW(Source!A75)</f>
        <v>75</v>
      </c>
      <c r="B59">
        <v>34132744</v>
      </c>
      <c r="C59">
        <v>35832069</v>
      </c>
      <c r="D59">
        <v>29109162</v>
      </c>
      <c r="E59">
        <v>1</v>
      </c>
      <c r="F59">
        <v>1</v>
      </c>
      <c r="G59">
        <v>1</v>
      </c>
      <c r="H59">
        <v>3</v>
      </c>
      <c r="I59" t="s">
        <v>449</v>
      </c>
      <c r="J59" t="s">
        <v>450</v>
      </c>
      <c r="K59" t="s">
        <v>451</v>
      </c>
      <c r="L59">
        <v>1327</v>
      </c>
      <c r="N59">
        <v>1005</v>
      </c>
      <c r="O59" t="s">
        <v>140</v>
      </c>
      <c r="P59" t="s">
        <v>140</v>
      </c>
      <c r="Q59">
        <v>1</v>
      </c>
      <c r="W59">
        <v>0</v>
      </c>
      <c r="X59">
        <v>2002905425</v>
      </c>
      <c r="Y59">
        <v>89</v>
      </c>
      <c r="AA59">
        <v>33.75</v>
      </c>
      <c r="AB59">
        <v>0</v>
      </c>
      <c r="AC59">
        <v>0</v>
      </c>
      <c r="AD59">
        <v>0</v>
      </c>
      <c r="AE59">
        <v>5.71</v>
      </c>
      <c r="AF59">
        <v>0</v>
      </c>
      <c r="AG59">
        <v>0</v>
      </c>
      <c r="AH59">
        <v>0</v>
      </c>
      <c r="AI59">
        <v>5.91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89</v>
      </c>
      <c r="AU59" t="s">
        <v>3</v>
      </c>
      <c r="AV59">
        <v>0</v>
      </c>
      <c r="AW59">
        <v>2</v>
      </c>
      <c r="AX59">
        <v>35832078</v>
      </c>
      <c r="AY59">
        <v>1</v>
      </c>
      <c r="AZ59">
        <v>0</v>
      </c>
      <c r="BA59">
        <v>60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Y59*Source!I75</f>
        <v>5.34</v>
      </c>
      <c r="CY59">
        <f t="shared" si="10"/>
        <v>33.75</v>
      </c>
      <c r="CZ59">
        <f t="shared" si="11"/>
        <v>5.71</v>
      </c>
      <c r="DA59">
        <f t="shared" si="12"/>
        <v>5.91</v>
      </c>
      <c r="DB59">
        <f t="shared" si="13"/>
        <v>508.19</v>
      </c>
      <c r="DC59">
        <f t="shared" si="14"/>
        <v>0</v>
      </c>
    </row>
    <row r="60" spans="1:107">
      <c r="A60">
        <f>ROW(Source!A75)</f>
        <v>75</v>
      </c>
      <c r="B60">
        <v>34132744</v>
      </c>
      <c r="C60">
        <v>35832069</v>
      </c>
      <c r="D60">
        <v>29112547</v>
      </c>
      <c r="E60">
        <v>1</v>
      </c>
      <c r="F60">
        <v>1</v>
      </c>
      <c r="G60">
        <v>1</v>
      </c>
      <c r="H60">
        <v>3</v>
      </c>
      <c r="I60" t="s">
        <v>452</v>
      </c>
      <c r="J60" t="s">
        <v>453</v>
      </c>
      <c r="K60" t="s">
        <v>454</v>
      </c>
      <c r="L60">
        <v>1346</v>
      </c>
      <c r="N60">
        <v>1009</v>
      </c>
      <c r="O60" t="s">
        <v>401</v>
      </c>
      <c r="P60" t="s">
        <v>401</v>
      </c>
      <c r="Q60">
        <v>1</v>
      </c>
      <c r="W60">
        <v>0</v>
      </c>
      <c r="X60">
        <v>666451371</v>
      </c>
      <c r="Y60">
        <v>37.5</v>
      </c>
      <c r="AA60">
        <v>71.819999999999993</v>
      </c>
      <c r="AB60">
        <v>0</v>
      </c>
      <c r="AC60">
        <v>0</v>
      </c>
      <c r="AD60">
        <v>0</v>
      </c>
      <c r="AE60">
        <v>10.26</v>
      </c>
      <c r="AF60">
        <v>0</v>
      </c>
      <c r="AG60">
        <v>0</v>
      </c>
      <c r="AH60">
        <v>0</v>
      </c>
      <c r="AI60">
        <v>7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37.5</v>
      </c>
      <c r="AU60" t="s">
        <v>3</v>
      </c>
      <c r="AV60">
        <v>0</v>
      </c>
      <c r="AW60">
        <v>2</v>
      </c>
      <c r="AX60">
        <v>35832079</v>
      </c>
      <c r="AY60">
        <v>1</v>
      </c>
      <c r="AZ60">
        <v>0</v>
      </c>
      <c r="BA60">
        <v>61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Y60*Source!I75</f>
        <v>2.25</v>
      </c>
      <c r="CY60">
        <f t="shared" si="10"/>
        <v>71.819999999999993</v>
      </c>
      <c r="CZ60">
        <f t="shared" si="11"/>
        <v>10.26</v>
      </c>
      <c r="DA60">
        <f t="shared" si="12"/>
        <v>7</v>
      </c>
      <c r="DB60">
        <f t="shared" si="13"/>
        <v>384.75</v>
      </c>
      <c r="DC60">
        <f t="shared" si="14"/>
        <v>0</v>
      </c>
    </row>
    <row r="61" spans="1:107">
      <c r="A61">
        <f>ROW(Source!A75)</f>
        <v>75</v>
      </c>
      <c r="B61">
        <v>34132744</v>
      </c>
      <c r="C61">
        <v>35832069</v>
      </c>
      <c r="D61">
        <v>29114332</v>
      </c>
      <c r="E61">
        <v>1</v>
      </c>
      <c r="F61">
        <v>1</v>
      </c>
      <c r="G61">
        <v>1</v>
      </c>
      <c r="H61">
        <v>3</v>
      </c>
      <c r="I61" t="s">
        <v>345</v>
      </c>
      <c r="J61" t="s">
        <v>346</v>
      </c>
      <c r="K61" t="s">
        <v>347</v>
      </c>
      <c r="L61">
        <v>1348</v>
      </c>
      <c r="N61">
        <v>1009</v>
      </c>
      <c r="O61" t="s">
        <v>26</v>
      </c>
      <c r="P61" t="s">
        <v>26</v>
      </c>
      <c r="Q61">
        <v>1000</v>
      </c>
      <c r="W61">
        <v>0</v>
      </c>
      <c r="X61">
        <v>233971917</v>
      </c>
      <c r="Y61">
        <v>4.13E-3</v>
      </c>
      <c r="AA61">
        <v>54619.68</v>
      </c>
      <c r="AB61">
        <v>0</v>
      </c>
      <c r="AC61">
        <v>0</v>
      </c>
      <c r="AD61">
        <v>0</v>
      </c>
      <c r="AE61">
        <v>11978</v>
      </c>
      <c r="AF61">
        <v>0</v>
      </c>
      <c r="AG61">
        <v>0</v>
      </c>
      <c r="AH61">
        <v>0</v>
      </c>
      <c r="AI61">
        <v>4.5599999999999996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4.13E-3</v>
      </c>
      <c r="AU61" t="s">
        <v>3</v>
      </c>
      <c r="AV61">
        <v>0</v>
      </c>
      <c r="AW61">
        <v>2</v>
      </c>
      <c r="AX61">
        <v>35832080</v>
      </c>
      <c r="AY61">
        <v>1</v>
      </c>
      <c r="AZ61">
        <v>0</v>
      </c>
      <c r="BA61">
        <v>62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Y61*Source!I75</f>
        <v>2.4780000000000001E-4</v>
      </c>
      <c r="CY61">
        <f t="shared" si="10"/>
        <v>54619.68</v>
      </c>
      <c r="CZ61">
        <f t="shared" si="11"/>
        <v>11978</v>
      </c>
      <c r="DA61">
        <f t="shared" si="12"/>
        <v>4.5599999999999996</v>
      </c>
      <c r="DB61">
        <f t="shared" si="13"/>
        <v>49.47</v>
      </c>
      <c r="DC61">
        <f t="shared" si="14"/>
        <v>0</v>
      </c>
    </row>
    <row r="62" spans="1:107">
      <c r="A62">
        <f>ROW(Source!A75)</f>
        <v>75</v>
      </c>
      <c r="B62">
        <v>34132744</v>
      </c>
      <c r="C62">
        <v>35832069</v>
      </c>
      <c r="D62">
        <v>29107989</v>
      </c>
      <c r="E62">
        <v>1</v>
      </c>
      <c r="F62">
        <v>1</v>
      </c>
      <c r="G62">
        <v>1</v>
      </c>
      <c r="H62">
        <v>3</v>
      </c>
      <c r="I62" t="s">
        <v>455</v>
      </c>
      <c r="J62" t="s">
        <v>456</v>
      </c>
      <c r="K62" t="s">
        <v>457</v>
      </c>
      <c r="L62">
        <v>1296</v>
      </c>
      <c r="N62">
        <v>1002</v>
      </c>
      <c r="O62" t="s">
        <v>458</v>
      </c>
      <c r="P62" t="s">
        <v>458</v>
      </c>
      <c r="Q62">
        <v>1</v>
      </c>
      <c r="W62">
        <v>0</v>
      </c>
      <c r="X62">
        <v>1001129492</v>
      </c>
      <c r="Y62">
        <v>32.4</v>
      </c>
      <c r="AA62">
        <v>162.62</v>
      </c>
      <c r="AB62">
        <v>0</v>
      </c>
      <c r="AC62">
        <v>0</v>
      </c>
      <c r="AD62">
        <v>0</v>
      </c>
      <c r="AE62">
        <v>47</v>
      </c>
      <c r="AF62">
        <v>0</v>
      </c>
      <c r="AG62">
        <v>0</v>
      </c>
      <c r="AH62">
        <v>0</v>
      </c>
      <c r="AI62">
        <v>3.46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32.4</v>
      </c>
      <c r="AU62" t="s">
        <v>3</v>
      </c>
      <c r="AV62">
        <v>0</v>
      </c>
      <c r="AW62">
        <v>2</v>
      </c>
      <c r="AX62">
        <v>35832081</v>
      </c>
      <c r="AY62">
        <v>1</v>
      </c>
      <c r="AZ62">
        <v>0</v>
      </c>
      <c r="BA62">
        <v>63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Y62*Source!I75</f>
        <v>1.944</v>
      </c>
      <c r="CY62">
        <f t="shared" si="10"/>
        <v>162.62</v>
      </c>
      <c r="CZ62">
        <f t="shared" si="11"/>
        <v>47</v>
      </c>
      <c r="DA62">
        <f t="shared" si="12"/>
        <v>3.46</v>
      </c>
      <c r="DB62">
        <f t="shared" si="13"/>
        <v>1522.8</v>
      </c>
      <c r="DC62">
        <f t="shared" si="14"/>
        <v>0</v>
      </c>
    </row>
    <row r="63" spans="1:107">
      <c r="A63">
        <f>ROW(Source!A75)</f>
        <v>75</v>
      </c>
      <c r="B63">
        <v>34132744</v>
      </c>
      <c r="C63">
        <v>35832069</v>
      </c>
      <c r="D63">
        <v>29115642</v>
      </c>
      <c r="E63">
        <v>1</v>
      </c>
      <c r="F63">
        <v>1</v>
      </c>
      <c r="G63">
        <v>1</v>
      </c>
      <c r="H63">
        <v>3</v>
      </c>
      <c r="I63" t="s">
        <v>459</v>
      </c>
      <c r="J63" t="s">
        <v>460</v>
      </c>
      <c r="K63" t="s">
        <v>461</v>
      </c>
      <c r="L63">
        <v>1339</v>
      </c>
      <c r="N63">
        <v>1007</v>
      </c>
      <c r="O63" t="s">
        <v>182</v>
      </c>
      <c r="P63" t="s">
        <v>182</v>
      </c>
      <c r="Q63">
        <v>1</v>
      </c>
      <c r="W63">
        <v>0</v>
      </c>
      <c r="X63">
        <v>974112350</v>
      </c>
      <c r="Y63">
        <v>0.08</v>
      </c>
      <c r="AA63">
        <v>5720</v>
      </c>
      <c r="AB63">
        <v>0</v>
      </c>
      <c r="AC63">
        <v>0</v>
      </c>
      <c r="AD63">
        <v>0</v>
      </c>
      <c r="AE63">
        <v>1100</v>
      </c>
      <c r="AF63">
        <v>0</v>
      </c>
      <c r="AG63">
        <v>0</v>
      </c>
      <c r="AH63">
        <v>0</v>
      </c>
      <c r="AI63">
        <v>5.2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0.08</v>
      </c>
      <c r="AU63" t="s">
        <v>3</v>
      </c>
      <c r="AV63">
        <v>0</v>
      </c>
      <c r="AW63">
        <v>2</v>
      </c>
      <c r="AX63">
        <v>35832083</v>
      </c>
      <c r="AY63">
        <v>1</v>
      </c>
      <c r="AZ63">
        <v>0</v>
      </c>
      <c r="BA63">
        <v>65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Y63*Source!I75</f>
        <v>4.7999999999999996E-3</v>
      </c>
      <c r="CY63">
        <f t="shared" si="10"/>
        <v>5720</v>
      </c>
      <c r="CZ63">
        <f t="shared" si="11"/>
        <v>1100</v>
      </c>
      <c r="DA63">
        <f t="shared" si="12"/>
        <v>5.2</v>
      </c>
      <c r="DB63">
        <f t="shared" si="13"/>
        <v>88</v>
      </c>
      <c r="DC63">
        <f t="shared" si="14"/>
        <v>0</v>
      </c>
    </row>
    <row r="64" spans="1:107">
      <c r="A64">
        <f>ROW(Source!A75)</f>
        <v>75</v>
      </c>
      <c r="B64">
        <v>34132744</v>
      </c>
      <c r="C64">
        <v>35832069</v>
      </c>
      <c r="D64">
        <v>29130561</v>
      </c>
      <c r="E64">
        <v>1</v>
      </c>
      <c r="F64">
        <v>1</v>
      </c>
      <c r="G64">
        <v>1</v>
      </c>
      <c r="H64">
        <v>3</v>
      </c>
      <c r="I64" t="s">
        <v>462</v>
      </c>
      <c r="J64" t="s">
        <v>463</v>
      </c>
      <c r="K64" t="s">
        <v>464</v>
      </c>
      <c r="L64">
        <v>1327</v>
      </c>
      <c r="N64">
        <v>1005</v>
      </c>
      <c r="O64" t="s">
        <v>140</v>
      </c>
      <c r="P64" t="s">
        <v>140</v>
      </c>
      <c r="Q64">
        <v>1</v>
      </c>
      <c r="W64">
        <v>0</v>
      </c>
      <c r="X64">
        <v>-172969429</v>
      </c>
      <c r="Y64">
        <v>100</v>
      </c>
      <c r="AA64">
        <v>1039.1400000000001</v>
      </c>
      <c r="AB64">
        <v>0</v>
      </c>
      <c r="AC64">
        <v>0</v>
      </c>
      <c r="AD64">
        <v>0</v>
      </c>
      <c r="AE64">
        <v>207</v>
      </c>
      <c r="AF64">
        <v>0</v>
      </c>
      <c r="AG64">
        <v>0</v>
      </c>
      <c r="AH64">
        <v>0</v>
      </c>
      <c r="AI64">
        <v>5.0199999999999996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100</v>
      </c>
      <c r="AU64" t="s">
        <v>3</v>
      </c>
      <c r="AV64">
        <v>0</v>
      </c>
      <c r="AW64">
        <v>2</v>
      </c>
      <c r="AX64">
        <v>35832084</v>
      </c>
      <c r="AY64">
        <v>1</v>
      </c>
      <c r="AZ64">
        <v>0</v>
      </c>
      <c r="BA64">
        <v>66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Y64*Source!I75</f>
        <v>6</v>
      </c>
      <c r="CY64">
        <f t="shared" si="10"/>
        <v>1039.1400000000001</v>
      </c>
      <c r="CZ64">
        <f t="shared" si="11"/>
        <v>207</v>
      </c>
      <c r="DA64">
        <f t="shared" si="12"/>
        <v>5.0199999999999996</v>
      </c>
      <c r="DB64">
        <f t="shared" si="13"/>
        <v>20700</v>
      </c>
      <c r="DC64">
        <f t="shared" si="14"/>
        <v>0</v>
      </c>
    </row>
    <row r="65" spans="1:107">
      <c r="A65">
        <f>ROW(Source!A75)</f>
        <v>75</v>
      </c>
      <c r="B65">
        <v>34132744</v>
      </c>
      <c r="C65">
        <v>35832069</v>
      </c>
      <c r="D65">
        <v>29130340</v>
      </c>
      <c r="E65">
        <v>1</v>
      </c>
      <c r="F65">
        <v>1</v>
      </c>
      <c r="G65">
        <v>1</v>
      </c>
      <c r="H65">
        <v>3</v>
      </c>
      <c r="I65" t="s">
        <v>138</v>
      </c>
      <c r="J65" t="s">
        <v>141</v>
      </c>
      <c r="K65" t="s">
        <v>139</v>
      </c>
      <c r="L65">
        <v>1327</v>
      </c>
      <c r="N65">
        <v>1005</v>
      </c>
      <c r="O65" t="s">
        <v>140</v>
      </c>
      <c r="P65" t="s">
        <v>140</v>
      </c>
      <c r="Q65">
        <v>1</v>
      </c>
      <c r="W65">
        <v>0</v>
      </c>
      <c r="X65">
        <v>2094041149</v>
      </c>
      <c r="Y65">
        <v>100</v>
      </c>
      <c r="AA65">
        <v>5276.13</v>
      </c>
      <c r="AB65">
        <v>0</v>
      </c>
      <c r="AC65">
        <v>0</v>
      </c>
      <c r="AD65">
        <v>0</v>
      </c>
      <c r="AE65">
        <v>3663.98</v>
      </c>
      <c r="AF65">
        <v>0</v>
      </c>
      <c r="AG65">
        <v>0</v>
      </c>
      <c r="AH65">
        <v>0</v>
      </c>
      <c r="AI65">
        <v>1.44</v>
      </c>
      <c r="AJ65">
        <v>1</v>
      </c>
      <c r="AK65">
        <v>1</v>
      </c>
      <c r="AL65">
        <v>1</v>
      </c>
      <c r="AN65">
        <v>0</v>
      </c>
      <c r="AO65">
        <v>0</v>
      </c>
      <c r="AP65">
        <v>0</v>
      </c>
      <c r="AQ65">
        <v>0</v>
      </c>
      <c r="AR65">
        <v>0</v>
      </c>
      <c r="AS65" t="s">
        <v>3</v>
      </c>
      <c r="AT65">
        <v>100</v>
      </c>
      <c r="AU65" t="s">
        <v>3</v>
      </c>
      <c r="AV65">
        <v>0</v>
      </c>
      <c r="AW65">
        <v>1</v>
      </c>
      <c r="AX65">
        <v>-1</v>
      </c>
      <c r="AY65">
        <v>0</v>
      </c>
      <c r="AZ65">
        <v>0</v>
      </c>
      <c r="BA65" t="s">
        <v>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Y65*Source!I75</f>
        <v>6</v>
      </c>
      <c r="CY65">
        <f t="shared" si="10"/>
        <v>5276.13</v>
      </c>
      <c r="CZ65">
        <f t="shared" si="11"/>
        <v>3663.98</v>
      </c>
      <c r="DA65">
        <f t="shared" si="12"/>
        <v>1.44</v>
      </c>
      <c r="DB65">
        <f t="shared" si="13"/>
        <v>366398</v>
      </c>
      <c r="DC65">
        <f t="shared" si="14"/>
        <v>0</v>
      </c>
    </row>
    <row r="66" spans="1:107">
      <c r="A66">
        <f>ROW(Source!A75)</f>
        <v>75</v>
      </c>
      <c r="B66">
        <v>34132744</v>
      </c>
      <c r="C66">
        <v>35832069</v>
      </c>
      <c r="D66">
        <v>29145217</v>
      </c>
      <c r="E66">
        <v>1</v>
      </c>
      <c r="F66">
        <v>1</v>
      </c>
      <c r="G66">
        <v>1</v>
      </c>
      <c r="H66">
        <v>3</v>
      </c>
      <c r="I66" t="s">
        <v>465</v>
      </c>
      <c r="J66" t="s">
        <v>466</v>
      </c>
      <c r="K66" t="s">
        <v>467</v>
      </c>
      <c r="L66">
        <v>1339</v>
      </c>
      <c r="N66">
        <v>1007</v>
      </c>
      <c r="O66" t="s">
        <v>182</v>
      </c>
      <c r="P66" t="s">
        <v>182</v>
      </c>
      <c r="Q66">
        <v>1</v>
      </c>
      <c r="W66">
        <v>0</v>
      </c>
      <c r="X66">
        <v>1316607068</v>
      </c>
      <c r="Y66">
        <v>0.105</v>
      </c>
      <c r="AA66">
        <v>3402.94</v>
      </c>
      <c r="AB66">
        <v>0</v>
      </c>
      <c r="AC66">
        <v>0</v>
      </c>
      <c r="AD66">
        <v>0</v>
      </c>
      <c r="AE66">
        <v>458</v>
      </c>
      <c r="AF66">
        <v>0</v>
      </c>
      <c r="AG66">
        <v>0</v>
      </c>
      <c r="AH66">
        <v>0</v>
      </c>
      <c r="AI66">
        <v>7.43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0.105</v>
      </c>
      <c r="AU66" t="s">
        <v>3</v>
      </c>
      <c r="AV66">
        <v>0</v>
      </c>
      <c r="AW66">
        <v>2</v>
      </c>
      <c r="AX66">
        <v>35832085</v>
      </c>
      <c r="AY66">
        <v>1</v>
      </c>
      <c r="AZ66">
        <v>0</v>
      </c>
      <c r="BA66">
        <v>67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Y66*Source!I75</f>
        <v>6.2999999999999992E-3</v>
      </c>
      <c r="CY66">
        <f t="shared" si="10"/>
        <v>3402.94</v>
      </c>
      <c r="CZ66">
        <f t="shared" si="11"/>
        <v>458</v>
      </c>
      <c r="DA66">
        <f t="shared" si="12"/>
        <v>7.43</v>
      </c>
      <c r="DB66">
        <f t="shared" si="13"/>
        <v>48.09</v>
      </c>
      <c r="DC66">
        <f t="shared" si="14"/>
        <v>0</v>
      </c>
    </row>
    <row r="67" spans="1:107">
      <c r="A67">
        <f>ROW(Source!A75)</f>
        <v>75</v>
      </c>
      <c r="B67">
        <v>34132744</v>
      </c>
      <c r="C67">
        <v>35832069</v>
      </c>
      <c r="D67">
        <v>29149204</v>
      </c>
      <c r="E67">
        <v>1</v>
      </c>
      <c r="F67">
        <v>1</v>
      </c>
      <c r="G67">
        <v>1</v>
      </c>
      <c r="H67">
        <v>3</v>
      </c>
      <c r="I67" t="s">
        <v>468</v>
      </c>
      <c r="J67" t="s">
        <v>469</v>
      </c>
      <c r="K67" t="s">
        <v>470</v>
      </c>
      <c r="L67">
        <v>1348</v>
      </c>
      <c r="N67">
        <v>1009</v>
      </c>
      <c r="O67" t="s">
        <v>26</v>
      </c>
      <c r="P67" t="s">
        <v>26</v>
      </c>
      <c r="Q67">
        <v>1000</v>
      </c>
      <c r="W67">
        <v>0</v>
      </c>
      <c r="X67">
        <v>-1132764130</v>
      </c>
      <c r="Y67">
        <v>1.6E-2</v>
      </c>
      <c r="AA67">
        <v>4978.46</v>
      </c>
      <c r="AB67">
        <v>0</v>
      </c>
      <c r="AC67">
        <v>0</v>
      </c>
      <c r="AD67">
        <v>0</v>
      </c>
      <c r="AE67">
        <v>729.98</v>
      </c>
      <c r="AF67">
        <v>0</v>
      </c>
      <c r="AG67">
        <v>0</v>
      </c>
      <c r="AH67">
        <v>0</v>
      </c>
      <c r="AI67">
        <v>6.82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1.6E-2</v>
      </c>
      <c r="AU67" t="s">
        <v>3</v>
      </c>
      <c r="AV67">
        <v>0</v>
      </c>
      <c r="AW67">
        <v>2</v>
      </c>
      <c r="AX67">
        <v>35832086</v>
      </c>
      <c r="AY67">
        <v>1</v>
      </c>
      <c r="AZ67">
        <v>0</v>
      </c>
      <c r="BA67">
        <v>68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Y67*Source!I75</f>
        <v>9.6000000000000002E-4</v>
      </c>
      <c r="CY67">
        <f t="shared" si="10"/>
        <v>4978.46</v>
      </c>
      <c r="CZ67">
        <f t="shared" si="11"/>
        <v>729.98</v>
      </c>
      <c r="DA67">
        <f t="shared" si="12"/>
        <v>6.82</v>
      </c>
      <c r="DB67">
        <f t="shared" si="13"/>
        <v>11.68</v>
      </c>
      <c r="DC67">
        <f t="shared" si="14"/>
        <v>0</v>
      </c>
    </row>
    <row r="68" spans="1:107">
      <c r="A68">
        <f>ROW(Source!A77)</f>
        <v>77</v>
      </c>
      <c r="B68">
        <v>34132744</v>
      </c>
      <c r="C68">
        <v>34133135</v>
      </c>
      <c r="D68">
        <v>18410244</v>
      </c>
      <c r="E68">
        <v>1</v>
      </c>
      <c r="F68">
        <v>1</v>
      </c>
      <c r="G68">
        <v>1</v>
      </c>
      <c r="H68">
        <v>1</v>
      </c>
      <c r="I68" t="s">
        <v>471</v>
      </c>
      <c r="J68" t="s">
        <v>3</v>
      </c>
      <c r="K68" t="s">
        <v>472</v>
      </c>
      <c r="L68">
        <v>1369</v>
      </c>
      <c r="N68">
        <v>1013</v>
      </c>
      <c r="O68" t="s">
        <v>323</v>
      </c>
      <c r="P68" t="s">
        <v>323</v>
      </c>
      <c r="Q68">
        <v>1</v>
      </c>
      <c r="W68">
        <v>0</v>
      </c>
      <c r="X68">
        <v>-1803619151</v>
      </c>
      <c r="Y68">
        <v>234.66899999999998</v>
      </c>
      <c r="AA68">
        <v>0</v>
      </c>
      <c r="AB68">
        <v>0</v>
      </c>
      <c r="AC68">
        <v>0</v>
      </c>
      <c r="AD68">
        <v>303.32</v>
      </c>
      <c r="AE68">
        <v>0</v>
      </c>
      <c r="AF68">
        <v>0</v>
      </c>
      <c r="AG68">
        <v>0</v>
      </c>
      <c r="AH68">
        <v>303.32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204.06</v>
      </c>
      <c r="AU68" t="s">
        <v>147</v>
      </c>
      <c r="AV68">
        <v>1</v>
      </c>
      <c r="AW68">
        <v>2</v>
      </c>
      <c r="AX68">
        <v>34133136</v>
      </c>
      <c r="AY68">
        <v>2</v>
      </c>
      <c r="AZ68">
        <v>131072</v>
      </c>
      <c r="BA68">
        <v>69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Y68*Source!I77</f>
        <v>30.506969999999999</v>
      </c>
      <c r="CY68">
        <f>AD68</f>
        <v>303.32</v>
      </c>
      <c r="CZ68">
        <f>AH68</f>
        <v>303.32</v>
      </c>
      <c r="DA68">
        <f>AL68</f>
        <v>1</v>
      </c>
      <c r="DB68">
        <f>ROUND((ROUND(AT68*CZ68,2)*1.15),6)</f>
        <v>71179.801999999996</v>
      </c>
      <c r="DC68">
        <f>ROUND((ROUND(AT68*AG68,2)*1.15),6)</f>
        <v>0</v>
      </c>
    </row>
    <row r="69" spans="1:107">
      <c r="A69">
        <f>ROW(Source!A77)</f>
        <v>77</v>
      </c>
      <c r="B69">
        <v>34132744</v>
      </c>
      <c r="C69">
        <v>34133135</v>
      </c>
      <c r="D69">
        <v>121548</v>
      </c>
      <c r="E69">
        <v>1</v>
      </c>
      <c r="F69">
        <v>1</v>
      </c>
      <c r="G69">
        <v>1</v>
      </c>
      <c r="H69">
        <v>1</v>
      </c>
      <c r="I69" t="s">
        <v>28</v>
      </c>
      <c r="J69" t="s">
        <v>3</v>
      </c>
      <c r="K69" t="s">
        <v>326</v>
      </c>
      <c r="L69">
        <v>608254</v>
      </c>
      <c r="N69">
        <v>1013</v>
      </c>
      <c r="O69" t="s">
        <v>327</v>
      </c>
      <c r="P69" t="s">
        <v>327</v>
      </c>
      <c r="Q69">
        <v>1</v>
      </c>
      <c r="W69">
        <v>0</v>
      </c>
      <c r="X69">
        <v>-185737400</v>
      </c>
      <c r="Y69">
        <v>2.5750000000000002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2.06</v>
      </c>
      <c r="AU69" t="s">
        <v>112</v>
      </c>
      <c r="AV69">
        <v>2</v>
      </c>
      <c r="AW69">
        <v>2</v>
      </c>
      <c r="AX69">
        <v>34133137</v>
      </c>
      <c r="AY69">
        <v>1</v>
      </c>
      <c r="AZ69">
        <v>0</v>
      </c>
      <c r="BA69">
        <v>70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Y69*Source!I77</f>
        <v>0.33475000000000005</v>
      </c>
      <c r="CY69">
        <f>AD69</f>
        <v>0</v>
      </c>
      <c r="CZ69">
        <f>AH69</f>
        <v>0</v>
      </c>
      <c r="DA69">
        <f>AL69</f>
        <v>1</v>
      </c>
      <c r="DB69">
        <f>ROUND((ROUND(AT69*CZ69,2)*1.25),6)</f>
        <v>0</v>
      </c>
      <c r="DC69">
        <f>ROUND((ROUND(AT69*AG69,2)*1.25),6)</f>
        <v>0</v>
      </c>
    </row>
    <row r="70" spans="1:107">
      <c r="A70">
        <f>ROW(Source!A77)</f>
        <v>77</v>
      </c>
      <c r="B70">
        <v>34132744</v>
      </c>
      <c r="C70">
        <v>34133135</v>
      </c>
      <c r="D70">
        <v>29172556</v>
      </c>
      <c r="E70">
        <v>1</v>
      </c>
      <c r="F70">
        <v>1</v>
      </c>
      <c r="G70">
        <v>1</v>
      </c>
      <c r="H70">
        <v>2</v>
      </c>
      <c r="I70" t="s">
        <v>337</v>
      </c>
      <c r="J70" t="s">
        <v>338</v>
      </c>
      <c r="K70" t="s">
        <v>339</v>
      </c>
      <c r="L70">
        <v>1368</v>
      </c>
      <c r="N70">
        <v>1011</v>
      </c>
      <c r="O70" t="s">
        <v>331</v>
      </c>
      <c r="P70" t="s">
        <v>331</v>
      </c>
      <c r="Q70">
        <v>1</v>
      </c>
      <c r="W70">
        <v>0</v>
      </c>
      <c r="X70">
        <v>-1302720870</v>
      </c>
      <c r="Y70">
        <v>2.5750000000000002</v>
      </c>
      <c r="AA70">
        <v>0</v>
      </c>
      <c r="AB70">
        <v>466.71</v>
      </c>
      <c r="AC70">
        <v>446.18</v>
      </c>
      <c r="AD70">
        <v>0</v>
      </c>
      <c r="AE70">
        <v>0</v>
      </c>
      <c r="AF70">
        <v>31.26</v>
      </c>
      <c r="AG70">
        <v>13.5</v>
      </c>
      <c r="AH70">
        <v>0</v>
      </c>
      <c r="AI70">
        <v>1</v>
      </c>
      <c r="AJ70">
        <v>14.93</v>
      </c>
      <c r="AK70">
        <v>33.049999999999997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2.06</v>
      </c>
      <c r="AU70" t="s">
        <v>112</v>
      </c>
      <c r="AV70">
        <v>0</v>
      </c>
      <c r="AW70">
        <v>2</v>
      </c>
      <c r="AX70">
        <v>34133138</v>
      </c>
      <c r="AY70">
        <v>1</v>
      </c>
      <c r="AZ70">
        <v>0</v>
      </c>
      <c r="BA70">
        <v>71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Y70*Source!I77</f>
        <v>0.33475000000000005</v>
      </c>
      <c r="CY70">
        <f>AB70</f>
        <v>466.71</v>
      </c>
      <c r="CZ70">
        <f>AF70</f>
        <v>31.26</v>
      </c>
      <c r="DA70">
        <f>AJ70</f>
        <v>14.93</v>
      </c>
      <c r="DB70">
        <f>ROUND((ROUND(AT70*CZ70,2)*1.25),6)</f>
        <v>80.5</v>
      </c>
      <c r="DC70">
        <f>ROUND((ROUND(AT70*AG70,2)*1.25),6)</f>
        <v>34.762500000000003</v>
      </c>
    </row>
    <row r="71" spans="1:107">
      <c r="A71">
        <f>ROW(Source!A77)</f>
        <v>77</v>
      </c>
      <c r="B71">
        <v>34132744</v>
      </c>
      <c r="C71">
        <v>34133135</v>
      </c>
      <c r="D71">
        <v>29145213</v>
      </c>
      <c r="E71">
        <v>1</v>
      </c>
      <c r="F71">
        <v>1</v>
      </c>
      <c r="G71">
        <v>1</v>
      </c>
      <c r="H71">
        <v>3</v>
      </c>
      <c r="I71" t="s">
        <v>473</v>
      </c>
      <c r="J71" t="s">
        <v>474</v>
      </c>
      <c r="K71" t="s">
        <v>475</v>
      </c>
      <c r="L71">
        <v>1339</v>
      </c>
      <c r="N71">
        <v>1007</v>
      </c>
      <c r="O71" t="s">
        <v>182</v>
      </c>
      <c r="P71" t="s">
        <v>182</v>
      </c>
      <c r="Q71">
        <v>1</v>
      </c>
      <c r="W71">
        <v>0</v>
      </c>
      <c r="X71">
        <v>-1951829887</v>
      </c>
      <c r="Y71">
        <v>0.1</v>
      </c>
      <c r="AA71">
        <v>3402.54</v>
      </c>
      <c r="AB71">
        <v>0</v>
      </c>
      <c r="AC71">
        <v>0</v>
      </c>
      <c r="AD71">
        <v>0</v>
      </c>
      <c r="AE71">
        <v>517.89</v>
      </c>
      <c r="AF71">
        <v>0</v>
      </c>
      <c r="AG71">
        <v>0</v>
      </c>
      <c r="AH71">
        <v>0</v>
      </c>
      <c r="AI71">
        <v>6.57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0.1</v>
      </c>
      <c r="AU71" t="s">
        <v>3</v>
      </c>
      <c r="AV71">
        <v>0</v>
      </c>
      <c r="AW71">
        <v>2</v>
      </c>
      <c r="AX71">
        <v>34133139</v>
      </c>
      <c r="AY71">
        <v>1</v>
      </c>
      <c r="AZ71">
        <v>0</v>
      </c>
      <c r="BA71">
        <v>72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Y71*Source!I77</f>
        <v>1.3000000000000001E-2</v>
      </c>
      <c r="CY71">
        <f>AA71</f>
        <v>3402.54</v>
      </c>
      <c r="CZ71">
        <f>AE71</f>
        <v>517.89</v>
      </c>
      <c r="DA71">
        <f>AI71</f>
        <v>6.57</v>
      </c>
      <c r="DB71">
        <f>ROUND(ROUND(AT71*CZ71,2),6)</f>
        <v>51.79</v>
      </c>
      <c r="DC71">
        <f>ROUND(ROUND(AT71*AG71,2),6)</f>
        <v>0</v>
      </c>
    </row>
    <row r="72" spans="1:107">
      <c r="A72">
        <f>ROW(Source!A77)</f>
        <v>77</v>
      </c>
      <c r="B72">
        <v>34132744</v>
      </c>
      <c r="C72">
        <v>34133135</v>
      </c>
      <c r="D72">
        <v>29145216</v>
      </c>
      <c r="E72">
        <v>1</v>
      </c>
      <c r="F72">
        <v>1</v>
      </c>
      <c r="G72">
        <v>1</v>
      </c>
      <c r="H72">
        <v>3</v>
      </c>
      <c r="I72" t="s">
        <v>476</v>
      </c>
      <c r="J72" t="s">
        <v>477</v>
      </c>
      <c r="K72" t="s">
        <v>478</v>
      </c>
      <c r="L72">
        <v>1339</v>
      </c>
      <c r="N72">
        <v>1007</v>
      </c>
      <c r="O72" t="s">
        <v>182</v>
      </c>
      <c r="P72" t="s">
        <v>182</v>
      </c>
      <c r="Q72">
        <v>1</v>
      </c>
      <c r="W72">
        <v>0</v>
      </c>
      <c r="X72">
        <v>1492286678</v>
      </c>
      <c r="Y72">
        <v>4.3</v>
      </c>
      <c r="AA72">
        <v>3485.75</v>
      </c>
      <c r="AB72">
        <v>0</v>
      </c>
      <c r="AC72">
        <v>0</v>
      </c>
      <c r="AD72">
        <v>0</v>
      </c>
      <c r="AE72">
        <v>477.5</v>
      </c>
      <c r="AF72">
        <v>0</v>
      </c>
      <c r="AG72">
        <v>0</v>
      </c>
      <c r="AH72">
        <v>0</v>
      </c>
      <c r="AI72">
        <v>7.3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4.3</v>
      </c>
      <c r="AU72" t="s">
        <v>3</v>
      </c>
      <c r="AV72">
        <v>0</v>
      </c>
      <c r="AW72">
        <v>2</v>
      </c>
      <c r="AX72">
        <v>34133140</v>
      </c>
      <c r="AY72">
        <v>1</v>
      </c>
      <c r="AZ72">
        <v>0</v>
      </c>
      <c r="BA72">
        <v>73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Y72*Source!I77</f>
        <v>0.55899999999999994</v>
      </c>
      <c r="CY72">
        <f>AA72</f>
        <v>3485.75</v>
      </c>
      <c r="CZ72">
        <f>AE72</f>
        <v>477.5</v>
      </c>
      <c r="DA72">
        <f>AI72</f>
        <v>7.3</v>
      </c>
      <c r="DB72">
        <f>ROUND(ROUND(AT72*CZ72,2),6)</f>
        <v>2053.25</v>
      </c>
      <c r="DC72">
        <f>ROUND(ROUND(AT72*AG72,2),6)</f>
        <v>0</v>
      </c>
    </row>
    <row r="73" spans="1:107">
      <c r="A73">
        <f>ROW(Source!A78)</f>
        <v>78</v>
      </c>
      <c r="B73">
        <v>34132744</v>
      </c>
      <c r="C73">
        <v>36151158</v>
      </c>
      <c r="D73">
        <v>18410171</v>
      </c>
      <c r="E73">
        <v>1</v>
      </c>
      <c r="F73">
        <v>1</v>
      </c>
      <c r="G73">
        <v>1</v>
      </c>
      <c r="H73">
        <v>1</v>
      </c>
      <c r="I73" t="s">
        <v>479</v>
      </c>
      <c r="J73" t="s">
        <v>3</v>
      </c>
      <c r="K73" t="s">
        <v>480</v>
      </c>
      <c r="L73">
        <v>1369</v>
      </c>
      <c r="N73">
        <v>1013</v>
      </c>
      <c r="O73" t="s">
        <v>323</v>
      </c>
      <c r="P73" t="s">
        <v>323</v>
      </c>
      <c r="Q73">
        <v>1</v>
      </c>
      <c r="W73">
        <v>0</v>
      </c>
      <c r="X73">
        <v>1151098980</v>
      </c>
      <c r="Y73">
        <v>49.334999999999994</v>
      </c>
      <c r="AA73">
        <v>0</v>
      </c>
      <c r="AB73">
        <v>0</v>
      </c>
      <c r="AC73">
        <v>0</v>
      </c>
      <c r="AD73">
        <v>292.87</v>
      </c>
      <c r="AE73">
        <v>0</v>
      </c>
      <c r="AF73">
        <v>0</v>
      </c>
      <c r="AG73">
        <v>0</v>
      </c>
      <c r="AH73">
        <v>292.87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42.9</v>
      </c>
      <c r="AU73" t="s">
        <v>101</v>
      </c>
      <c r="AV73">
        <v>1</v>
      </c>
      <c r="AW73">
        <v>2</v>
      </c>
      <c r="AX73">
        <v>36151159</v>
      </c>
      <c r="AY73">
        <v>1</v>
      </c>
      <c r="AZ73">
        <v>0</v>
      </c>
      <c r="BA73">
        <v>74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Y73*Source!I78</f>
        <v>6.413549999999999</v>
      </c>
      <c r="CY73">
        <f>AD73</f>
        <v>292.87</v>
      </c>
      <c r="CZ73">
        <f>AH73</f>
        <v>292.87</v>
      </c>
      <c r="DA73">
        <f>AL73</f>
        <v>1</v>
      </c>
      <c r="DB73">
        <f>ROUND((ROUND(AT73*CZ73,2)*1.15),6)</f>
        <v>14448.737999999999</v>
      </c>
      <c r="DC73">
        <f>ROUND((ROUND(AT73*AG73,2)*1.15),6)</f>
        <v>0</v>
      </c>
    </row>
    <row r="74" spans="1:107">
      <c r="A74">
        <f>ROW(Source!A78)</f>
        <v>78</v>
      </c>
      <c r="B74">
        <v>34132744</v>
      </c>
      <c r="C74">
        <v>36151158</v>
      </c>
      <c r="D74">
        <v>121548</v>
      </c>
      <c r="E74">
        <v>1</v>
      </c>
      <c r="F74">
        <v>1</v>
      </c>
      <c r="G74">
        <v>1</v>
      </c>
      <c r="H74">
        <v>1</v>
      </c>
      <c r="I74" t="s">
        <v>28</v>
      </c>
      <c r="J74" t="s">
        <v>3</v>
      </c>
      <c r="K74" t="s">
        <v>326</v>
      </c>
      <c r="L74">
        <v>608254</v>
      </c>
      <c r="N74">
        <v>1013</v>
      </c>
      <c r="O74" t="s">
        <v>327</v>
      </c>
      <c r="P74" t="s">
        <v>327</v>
      </c>
      <c r="Q74">
        <v>1</v>
      </c>
      <c r="W74">
        <v>0</v>
      </c>
      <c r="X74">
        <v>-185737400</v>
      </c>
      <c r="Y74">
        <v>2.5000000000000001E-2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0.02</v>
      </c>
      <c r="AU74" t="s">
        <v>100</v>
      </c>
      <c r="AV74">
        <v>2</v>
      </c>
      <c r="AW74">
        <v>2</v>
      </c>
      <c r="AX74">
        <v>36151160</v>
      </c>
      <c r="AY74">
        <v>1</v>
      </c>
      <c r="AZ74">
        <v>0</v>
      </c>
      <c r="BA74">
        <v>75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Y74*Source!I78</f>
        <v>3.2500000000000003E-3</v>
      </c>
      <c r="CY74">
        <f>AD74</f>
        <v>0</v>
      </c>
      <c r="CZ74">
        <f>AH74</f>
        <v>0</v>
      </c>
      <c r="DA74">
        <f>AL74</f>
        <v>1</v>
      </c>
      <c r="DB74">
        <f>ROUND((ROUND(AT74*CZ74,2)*1.25),6)</f>
        <v>0</v>
      </c>
      <c r="DC74">
        <f>ROUND((ROUND(AT74*AG74,2)*1.25),6)</f>
        <v>0</v>
      </c>
    </row>
    <row r="75" spans="1:107">
      <c r="A75">
        <f>ROW(Source!A78)</f>
        <v>78</v>
      </c>
      <c r="B75">
        <v>34132744</v>
      </c>
      <c r="C75">
        <v>36151158</v>
      </c>
      <c r="D75">
        <v>29172556</v>
      </c>
      <c r="E75">
        <v>1</v>
      </c>
      <c r="F75">
        <v>1</v>
      </c>
      <c r="G75">
        <v>1</v>
      </c>
      <c r="H75">
        <v>2</v>
      </c>
      <c r="I75" t="s">
        <v>337</v>
      </c>
      <c r="J75" t="s">
        <v>338</v>
      </c>
      <c r="K75" t="s">
        <v>339</v>
      </c>
      <c r="L75">
        <v>1368</v>
      </c>
      <c r="N75">
        <v>1011</v>
      </c>
      <c r="O75" t="s">
        <v>331</v>
      </c>
      <c r="P75" t="s">
        <v>331</v>
      </c>
      <c r="Q75">
        <v>1</v>
      </c>
      <c r="W75">
        <v>0</v>
      </c>
      <c r="X75">
        <v>-1302720870</v>
      </c>
      <c r="Y75">
        <v>2.5000000000000001E-2</v>
      </c>
      <c r="AA75">
        <v>0</v>
      </c>
      <c r="AB75">
        <v>466.71</v>
      </c>
      <c r="AC75">
        <v>446.18</v>
      </c>
      <c r="AD75">
        <v>0</v>
      </c>
      <c r="AE75">
        <v>0</v>
      </c>
      <c r="AF75">
        <v>31.26</v>
      </c>
      <c r="AG75">
        <v>13.5</v>
      </c>
      <c r="AH75">
        <v>0</v>
      </c>
      <c r="AI75">
        <v>1</v>
      </c>
      <c r="AJ75">
        <v>14.93</v>
      </c>
      <c r="AK75">
        <v>33.049999999999997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0.02</v>
      </c>
      <c r="AU75" t="s">
        <v>100</v>
      </c>
      <c r="AV75">
        <v>0</v>
      </c>
      <c r="AW75">
        <v>2</v>
      </c>
      <c r="AX75">
        <v>36151161</v>
      </c>
      <c r="AY75">
        <v>1</v>
      </c>
      <c r="AZ75">
        <v>0</v>
      </c>
      <c r="BA75">
        <v>76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Y75*Source!I78</f>
        <v>3.2500000000000003E-3</v>
      </c>
      <c r="CY75">
        <f>AB75</f>
        <v>466.71</v>
      </c>
      <c r="CZ75">
        <f>AF75</f>
        <v>31.26</v>
      </c>
      <c r="DA75">
        <f>AJ75</f>
        <v>14.93</v>
      </c>
      <c r="DB75">
        <f>ROUND((ROUND(AT75*CZ75,2)*1.25),6)</f>
        <v>0.78749999999999998</v>
      </c>
      <c r="DC75">
        <f>ROUND((ROUND(AT75*AG75,2)*1.25),6)</f>
        <v>0.33750000000000002</v>
      </c>
    </row>
    <row r="76" spans="1:107">
      <c r="A76">
        <f>ROW(Source!A78)</f>
        <v>78</v>
      </c>
      <c r="B76">
        <v>34132744</v>
      </c>
      <c r="C76">
        <v>36151158</v>
      </c>
      <c r="D76">
        <v>29174913</v>
      </c>
      <c r="E76">
        <v>1</v>
      </c>
      <c r="F76">
        <v>1</v>
      </c>
      <c r="G76">
        <v>1</v>
      </c>
      <c r="H76">
        <v>2</v>
      </c>
      <c r="I76" t="s">
        <v>342</v>
      </c>
      <c r="J76" t="s">
        <v>343</v>
      </c>
      <c r="K76" t="s">
        <v>344</v>
      </c>
      <c r="L76">
        <v>1368</v>
      </c>
      <c r="N76">
        <v>1011</v>
      </c>
      <c r="O76" t="s">
        <v>331</v>
      </c>
      <c r="P76" t="s">
        <v>331</v>
      </c>
      <c r="Q76">
        <v>1</v>
      </c>
      <c r="W76">
        <v>0</v>
      </c>
      <c r="X76">
        <v>458544584</v>
      </c>
      <c r="Y76">
        <v>0.1875</v>
      </c>
      <c r="AA76">
        <v>0</v>
      </c>
      <c r="AB76">
        <v>932.72</v>
      </c>
      <c r="AC76">
        <v>383.38</v>
      </c>
      <c r="AD76">
        <v>0</v>
      </c>
      <c r="AE76">
        <v>0</v>
      </c>
      <c r="AF76">
        <v>87.17</v>
      </c>
      <c r="AG76">
        <v>11.6</v>
      </c>
      <c r="AH76">
        <v>0</v>
      </c>
      <c r="AI76">
        <v>1</v>
      </c>
      <c r="AJ76">
        <v>10.7</v>
      </c>
      <c r="AK76">
        <v>33.049999999999997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0.15</v>
      </c>
      <c r="AU76" t="s">
        <v>100</v>
      </c>
      <c r="AV76">
        <v>0</v>
      </c>
      <c r="AW76">
        <v>2</v>
      </c>
      <c r="AX76">
        <v>36151162</v>
      </c>
      <c r="AY76">
        <v>1</v>
      </c>
      <c r="AZ76">
        <v>0</v>
      </c>
      <c r="BA76">
        <v>77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Y76*Source!I78</f>
        <v>2.4375000000000001E-2</v>
      </c>
      <c r="CY76">
        <f>AB76</f>
        <v>932.72</v>
      </c>
      <c r="CZ76">
        <f>AF76</f>
        <v>87.17</v>
      </c>
      <c r="DA76">
        <f>AJ76</f>
        <v>10.7</v>
      </c>
      <c r="DB76">
        <f>ROUND((ROUND(AT76*CZ76,2)*1.25),6)</f>
        <v>16.350000000000001</v>
      </c>
      <c r="DC76">
        <f>ROUND((ROUND(AT76*AG76,2)*1.25),6)</f>
        <v>2.1749999999999998</v>
      </c>
    </row>
    <row r="77" spans="1:107">
      <c r="A77">
        <f>ROW(Source!A78)</f>
        <v>78</v>
      </c>
      <c r="B77">
        <v>34132744</v>
      </c>
      <c r="C77">
        <v>36151158</v>
      </c>
      <c r="D77">
        <v>29107779</v>
      </c>
      <c r="E77">
        <v>1</v>
      </c>
      <c r="F77">
        <v>1</v>
      </c>
      <c r="G77">
        <v>1</v>
      </c>
      <c r="H77">
        <v>3</v>
      </c>
      <c r="I77" t="s">
        <v>481</v>
      </c>
      <c r="J77" t="s">
        <v>482</v>
      </c>
      <c r="K77" t="s">
        <v>483</v>
      </c>
      <c r="L77">
        <v>1327</v>
      </c>
      <c r="N77">
        <v>1005</v>
      </c>
      <c r="O77" t="s">
        <v>140</v>
      </c>
      <c r="P77" t="s">
        <v>140</v>
      </c>
      <c r="Q77">
        <v>1</v>
      </c>
      <c r="W77">
        <v>0</v>
      </c>
      <c r="X77">
        <v>2125256490</v>
      </c>
      <c r="Y77">
        <v>0.84</v>
      </c>
      <c r="AA77">
        <v>203.19</v>
      </c>
      <c r="AB77">
        <v>0</v>
      </c>
      <c r="AC77">
        <v>0</v>
      </c>
      <c r="AD77">
        <v>0</v>
      </c>
      <c r="AE77">
        <v>72.31</v>
      </c>
      <c r="AF77">
        <v>0</v>
      </c>
      <c r="AG77">
        <v>0</v>
      </c>
      <c r="AH77">
        <v>0</v>
      </c>
      <c r="AI77">
        <v>2.81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0.84</v>
      </c>
      <c r="AU77" t="s">
        <v>3</v>
      </c>
      <c r="AV77">
        <v>0</v>
      </c>
      <c r="AW77">
        <v>2</v>
      </c>
      <c r="AX77">
        <v>36151163</v>
      </c>
      <c r="AY77">
        <v>1</v>
      </c>
      <c r="AZ77">
        <v>0</v>
      </c>
      <c r="BA77">
        <v>78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Y77*Source!I78</f>
        <v>0.10920000000000001</v>
      </c>
      <c r="CY77">
        <f>AA77</f>
        <v>203.19</v>
      </c>
      <c r="CZ77">
        <f>AE77</f>
        <v>72.31</v>
      </c>
      <c r="DA77">
        <f>AI77</f>
        <v>2.81</v>
      </c>
      <c r="DB77">
        <f>ROUND(ROUND(AT77*CZ77,2),6)</f>
        <v>60.74</v>
      </c>
      <c r="DC77">
        <f>ROUND(ROUND(AT77*AG77,2),6)</f>
        <v>0</v>
      </c>
    </row>
    <row r="78" spans="1:107">
      <c r="A78">
        <f>ROW(Source!A78)</f>
        <v>78</v>
      </c>
      <c r="B78">
        <v>34132744</v>
      </c>
      <c r="C78">
        <v>36151158</v>
      </c>
      <c r="D78">
        <v>29109797</v>
      </c>
      <c r="E78">
        <v>1</v>
      </c>
      <c r="F78">
        <v>1</v>
      </c>
      <c r="G78">
        <v>1</v>
      </c>
      <c r="H78">
        <v>3</v>
      </c>
      <c r="I78" t="s">
        <v>484</v>
      </c>
      <c r="J78" t="s">
        <v>485</v>
      </c>
      <c r="K78" t="s">
        <v>486</v>
      </c>
      <c r="L78">
        <v>1348</v>
      </c>
      <c r="N78">
        <v>1009</v>
      </c>
      <c r="O78" t="s">
        <v>26</v>
      </c>
      <c r="P78" t="s">
        <v>26</v>
      </c>
      <c r="Q78">
        <v>1000</v>
      </c>
      <c r="W78">
        <v>0</v>
      </c>
      <c r="X78">
        <v>671224001</v>
      </c>
      <c r="Y78">
        <v>5.0999999999999997E-2</v>
      </c>
      <c r="AA78">
        <v>19924.25</v>
      </c>
      <c r="AB78">
        <v>0</v>
      </c>
      <c r="AC78">
        <v>0</v>
      </c>
      <c r="AD78">
        <v>0</v>
      </c>
      <c r="AE78">
        <v>4294.0200000000004</v>
      </c>
      <c r="AF78">
        <v>0</v>
      </c>
      <c r="AG78">
        <v>0</v>
      </c>
      <c r="AH78">
        <v>0</v>
      </c>
      <c r="AI78">
        <v>4.6399999999999997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5.0999999999999997E-2</v>
      </c>
      <c r="AU78" t="s">
        <v>3</v>
      </c>
      <c r="AV78">
        <v>0</v>
      </c>
      <c r="AW78">
        <v>2</v>
      </c>
      <c r="AX78">
        <v>36151164</v>
      </c>
      <c r="AY78">
        <v>1</v>
      </c>
      <c r="AZ78">
        <v>0</v>
      </c>
      <c r="BA78">
        <v>79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Y78*Source!I78</f>
        <v>6.6299999999999996E-3</v>
      </c>
      <c r="CY78">
        <f>AA78</f>
        <v>19924.25</v>
      </c>
      <c r="CZ78">
        <f>AE78</f>
        <v>4294.0200000000004</v>
      </c>
      <c r="DA78">
        <f>AI78</f>
        <v>4.6399999999999997</v>
      </c>
      <c r="DB78">
        <f>ROUND(ROUND(AT78*CZ78,2),6)</f>
        <v>219</v>
      </c>
      <c r="DC78">
        <f>ROUND(ROUND(AT78*AG78,2),6)</f>
        <v>0</v>
      </c>
    </row>
    <row r="79" spans="1:107">
      <c r="A79">
        <f>ROW(Source!A78)</f>
        <v>78</v>
      </c>
      <c r="B79">
        <v>34132744</v>
      </c>
      <c r="C79">
        <v>36151158</v>
      </c>
      <c r="D79">
        <v>29107800</v>
      </c>
      <c r="E79">
        <v>1</v>
      </c>
      <c r="F79">
        <v>1</v>
      </c>
      <c r="G79">
        <v>1</v>
      </c>
      <c r="H79">
        <v>3</v>
      </c>
      <c r="I79" t="s">
        <v>487</v>
      </c>
      <c r="J79" t="s">
        <v>488</v>
      </c>
      <c r="K79" t="s">
        <v>489</v>
      </c>
      <c r="L79">
        <v>1346</v>
      </c>
      <c r="N79">
        <v>1009</v>
      </c>
      <c r="O79" t="s">
        <v>401</v>
      </c>
      <c r="P79" t="s">
        <v>401</v>
      </c>
      <c r="Q79">
        <v>1</v>
      </c>
      <c r="W79">
        <v>0</v>
      </c>
      <c r="X79">
        <v>-1570619850</v>
      </c>
      <c r="Y79">
        <v>0.31</v>
      </c>
      <c r="AA79">
        <v>46.61</v>
      </c>
      <c r="AB79">
        <v>0</v>
      </c>
      <c r="AC79">
        <v>0</v>
      </c>
      <c r="AD79">
        <v>0</v>
      </c>
      <c r="AE79">
        <v>1.81</v>
      </c>
      <c r="AF79">
        <v>0</v>
      </c>
      <c r="AG79">
        <v>0</v>
      </c>
      <c r="AH79">
        <v>0</v>
      </c>
      <c r="AI79">
        <v>25.75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0.31</v>
      </c>
      <c r="AU79" t="s">
        <v>3</v>
      </c>
      <c r="AV79">
        <v>0</v>
      </c>
      <c r="AW79">
        <v>2</v>
      </c>
      <c r="AX79">
        <v>36151165</v>
      </c>
      <c r="AY79">
        <v>1</v>
      </c>
      <c r="AZ79">
        <v>0</v>
      </c>
      <c r="BA79">
        <v>80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Y79*Source!I78</f>
        <v>4.0300000000000002E-2</v>
      </c>
      <c r="CY79">
        <f>AA79</f>
        <v>46.61</v>
      </c>
      <c r="CZ79">
        <f>AE79</f>
        <v>1.81</v>
      </c>
      <c r="DA79">
        <f>AI79</f>
        <v>25.75</v>
      </c>
      <c r="DB79">
        <f>ROUND(ROUND(AT79*CZ79,2),6)</f>
        <v>0.56000000000000005</v>
      </c>
      <c r="DC79">
        <f>ROUND(ROUND(AT79*AG79,2),6)</f>
        <v>0</v>
      </c>
    </row>
    <row r="80" spans="1:107">
      <c r="A80">
        <f>ROW(Source!A78)</f>
        <v>78</v>
      </c>
      <c r="B80">
        <v>34132744</v>
      </c>
      <c r="C80">
        <v>36151158</v>
      </c>
      <c r="D80">
        <v>29110439</v>
      </c>
      <c r="E80">
        <v>1</v>
      </c>
      <c r="F80">
        <v>1</v>
      </c>
      <c r="G80">
        <v>1</v>
      </c>
      <c r="H80">
        <v>3</v>
      </c>
      <c r="I80" t="s">
        <v>490</v>
      </c>
      <c r="J80" t="s">
        <v>491</v>
      </c>
      <c r="K80" t="s">
        <v>492</v>
      </c>
      <c r="L80">
        <v>1348</v>
      </c>
      <c r="N80">
        <v>1009</v>
      </c>
      <c r="O80" t="s">
        <v>26</v>
      </c>
      <c r="P80" t="s">
        <v>26</v>
      </c>
      <c r="Q80">
        <v>1000</v>
      </c>
      <c r="W80">
        <v>0</v>
      </c>
      <c r="X80">
        <v>728140085</v>
      </c>
      <c r="Y80">
        <v>6.3E-2</v>
      </c>
      <c r="AA80">
        <v>60221.13</v>
      </c>
      <c r="AB80">
        <v>0</v>
      </c>
      <c r="AC80">
        <v>0</v>
      </c>
      <c r="AD80">
        <v>0</v>
      </c>
      <c r="AE80">
        <v>15481.01</v>
      </c>
      <c r="AF80">
        <v>0</v>
      </c>
      <c r="AG80">
        <v>0</v>
      </c>
      <c r="AH80">
        <v>0</v>
      </c>
      <c r="AI80">
        <v>3.89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6.3E-2</v>
      </c>
      <c r="AU80" t="s">
        <v>3</v>
      </c>
      <c r="AV80">
        <v>0</v>
      </c>
      <c r="AW80">
        <v>2</v>
      </c>
      <c r="AX80">
        <v>36151166</v>
      </c>
      <c r="AY80">
        <v>1</v>
      </c>
      <c r="AZ80">
        <v>0</v>
      </c>
      <c r="BA80">
        <v>81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Y80*Source!I78</f>
        <v>8.1900000000000011E-3</v>
      </c>
      <c r="CY80">
        <f>AA80</f>
        <v>60221.13</v>
      </c>
      <c r="CZ80">
        <f>AE80</f>
        <v>15481.01</v>
      </c>
      <c r="DA80">
        <f>AI80</f>
        <v>3.89</v>
      </c>
      <c r="DB80">
        <f>ROUND(ROUND(AT80*CZ80,2),6)</f>
        <v>975.3</v>
      </c>
      <c r="DC80">
        <f>ROUND(ROUND(AT80*AG80,2),6)</f>
        <v>0</v>
      </c>
    </row>
    <row r="81" spans="1:107">
      <c r="A81">
        <f>ROW(Source!A79)</f>
        <v>79</v>
      </c>
      <c r="B81">
        <v>34132744</v>
      </c>
      <c r="C81">
        <v>35833274</v>
      </c>
      <c r="D81">
        <v>18411771</v>
      </c>
      <c r="E81">
        <v>1</v>
      </c>
      <c r="F81">
        <v>1</v>
      </c>
      <c r="G81">
        <v>1</v>
      </c>
      <c r="H81">
        <v>1</v>
      </c>
      <c r="I81" t="s">
        <v>321</v>
      </c>
      <c r="J81" t="s">
        <v>3</v>
      </c>
      <c r="K81" t="s">
        <v>322</v>
      </c>
      <c r="L81">
        <v>1369</v>
      </c>
      <c r="N81">
        <v>1013</v>
      </c>
      <c r="O81" t="s">
        <v>323</v>
      </c>
      <c r="P81" t="s">
        <v>323</v>
      </c>
      <c r="Q81">
        <v>1</v>
      </c>
      <c r="W81">
        <v>0</v>
      </c>
      <c r="X81">
        <v>922534627</v>
      </c>
      <c r="Y81">
        <v>0.57499999999999996</v>
      </c>
      <c r="AA81">
        <v>0</v>
      </c>
      <c r="AB81">
        <v>0</v>
      </c>
      <c r="AC81">
        <v>0</v>
      </c>
      <c r="AD81">
        <v>259.24</v>
      </c>
      <c r="AE81">
        <v>0</v>
      </c>
      <c r="AF81">
        <v>0</v>
      </c>
      <c r="AG81">
        <v>0</v>
      </c>
      <c r="AH81">
        <v>259.24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0.5</v>
      </c>
      <c r="AU81" t="s">
        <v>101</v>
      </c>
      <c r="AV81">
        <v>1</v>
      </c>
      <c r="AW81">
        <v>2</v>
      </c>
      <c r="AX81">
        <v>35833275</v>
      </c>
      <c r="AY81">
        <v>1</v>
      </c>
      <c r="AZ81">
        <v>0</v>
      </c>
      <c r="BA81">
        <v>82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Y81*Source!I79</f>
        <v>3.4499999999999996E-2</v>
      </c>
      <c r="CY81">
        <f>AD81</f>
        <v>259.24</v>
      </c>
      <c r="CZ81">
        <f>AH81</f>
        <v>259.24</v>
      </c>
      <c r="DA81">
        <f>AL81</f>
        <v>1</v>
      </c>
      <c r="DB81">
        <f>ROUND((ROUND(AT81*CZ81,2)*1.15),6)</f>
        <v>149.06299999999999</v>
      </c>
      <c r="DC81">
        <f>ROUND((ROUND(AT81*AG81,2)*1.15),6)</f>
        <v>0</v>
      </c>
    </row>
    <row r="82" spans="1:107">
      <c r="A82">
        <f>ROW(Source!A79)</f>
        <v>79</v>
      </c>
      <c r="B82">
        <v>34132744</v>
      </c>
      <c r="C82">
        <v>35833274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28</v>
      </c>
      <c r="J82" t="s">
        <v>3</v>
      </c>
      <c r="K82" t="s">
        <v>326</v>
      </c>
      <c r="L82">
        <v>608254</v>
      </c>
      <c r="N82">
        <v>1013</v>
      </c>
      <c r="O82" t="s">
        <v>327</v>
      </c>
      <c r="P82" t="s">
        <v>327</v>
      </c>
      <c r="Q82">
        <v>1</v>
      </c>
      <c r="W82">
        <v>0</v>
      </c>
      <c r="X82">
        <v>-185737400</v>
      </c>
      <c r="Y82">
        <v>0.26250000000000001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0.21</v>
      </c>
      <c r="AU82" t="s">
        <v>100</v>
      </c>
      <c r="AV82">
        <v>2</v>
      </c>
      <c r="AW82">
        <v>2</v>
      </c>
      <c r="AX82">
        <v>35833276</v>
      </c>
      <c r="AY82">
        <v>1</v>
      </c>
      <c r="AZ82">
        <v>0</v>
      </c>
      <c r="BA82">
        <v>83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Y82*Source!I79</f>
        <v>1.575E-2</v>
      </c>
      <c r="CY82">
        <f>AD82</f>
        <v>0</v>
      </c>
      <c r="CZ82">
        <f>AH82</f>
        <v>0</v>
      </c>
      <c r="DA82">
        <f>AL82</f>
        <v>1</v>
      </c>
      <c r="DB82">
        <f>ROUND((ROUND(AT82*CZ82,2)*1.25),6)</f>
        <v>0</v>
      </c>
      <c r="DC82">
        <f>ROUND((ROUND(AT82*AG82,2)*1.25),6)</f>
        <v>0</v>
      </c>
    </row>
    <row r="83" spans="1:107">
      <c r="A83">
        <f>ROW(Source!A79)</f>
        <v>79</v>
      </c>
      <c r="B83">
        <v>34132744</v>
      </c>
      <c r="C83">
        <v>35833274</v>
      </c>
      <c r="D83">
        <v>29172556</v>
      </c>
      <c r="E83">
        <v>1</v>
      </c>
      <c r="F83">
        <v>1</v>
      </c>
      <c r="G83">
        <v>1</v>
      </c>
      <c r="H83">
        <v>2</v>
      </c>
      <c r="I83" t="s">
        <v>337</v>
      </c>
      <c r="J83" t="s">
        <v>338</v>
      </c>
      <c r="K83" t="s">
        <v>339</v>
      </c>
      <c r="L83">
        <v>1368</v>
      </c>
      <c r="N83">
        <v>1011</v>
      </c>
      <c r="O83" t="s">
        <v>331</v>
      </c>
      <c r="P83" t="s">
        <v>331</v>
      </c>
      <c r="Q83">
        <v>1</v>
      </c>
      <c r="W83">
        <v>0</v>
      </c>
      <c r="X83">
        <v>-1302720870</v>
      </c>
      <c r="Y83">
        <v>0.26250000000000001</v>
      </c>
      <c r="AA83">
        <v>0</v>
      </c>
      <c r="AB83">
        <v>466.71</v>
      </c>
      <c r="AC83">
        <v>446.18</v>
      </c>
      <c r="AD83">
        <v>0</v>
      </c>
      <c r="AE83">
        <v>0</v>
      </c>
      <c r="AF83">
        <v>31.26</v>
      </c>
      <c r="AG83">
        <v>13.5</v>
      </c>
      <c r="AH83">
        <v>0</v>
      </c>
      <c r="AI83">
        <v>1</v>
      </c>
      <c r="AJ83">
        <v>14.93</v>
      </c>
      <c r="AK83">
        <v>33.049999999999997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0.21</v>
      </c>
      <c r="AU83" t="s">
        <v>100</v>
      </c>
      <c r="AV83">
        <v>0</v>
      </c>
      <c r="AW83">
        <v>2</v>
      </c>
      <c r="AX83">
        <v>35833277</v>
      </c>
      <c r="AY83">
        <v>1</v>
      </c>
      <c r="AZ83">
        <v>0</v>
      </c>
      <c r="BA83">
        <v>84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Y83*Source!I79</f>
        <v>1.575E-2</v>
      </c>
      <c r="CY83">
        <f>AB83</f>
        <v>466.71</v>
      </c>
      <c r="CZ83">
        <f>AF83</f>
        <v>31.26</v>
      </c>
      <c r="DA83">
        <f>AJ83</f>
        <v>14.93</v>
      </c>
      <c r="DB83">
        <f>ROUND((ROUND(AT83*CZ83,2)*1.25),6)</f>
        <v>8.1999999999999993</v>
      </c>
      <c r="DC83">
        <f>ROUND((ROUND(AT83*AG83,2)*1.25),6)</f>
        <v>3.55</v>
      </c>
    </row>
    <row r="84" spans="1:107">
      <c r="A84">
        <f>ROW(Source!A79)</f>
        <v>79</v>
      </c>
      <c r="B84">
        <v>34132744</v>
      </c>
      <c r="C84">
        <v>35833274</v>
      </c>
      <c r="D84">
        <v>29173152</v>
      </c>
      <c r="E84">
        <v>1</v>
      </c>
      <c r="F84">
        <v>1</v>
      </c>
      <c r="G84">
        <v>1</v>
      </c>
      <c r="H84">
        <v>2</v>
      </c>
      <c r="I84" t="s">
        <v>493</v>
      </c>
      <c r="J84" t="s">
        <v>494</v>
      </c>
      <c r="K84" t="s">
        <v>495</v>
      </c>
      <c r="L84">
        <v>1368</v>
      </c>
      <c r="N84">
        <v>1011</v>
      </c>
      <c r="O84" t="s">
        <v>331</v>
      </c>
      <c r="P84" t="s">
        <v>331</v>
      </c>
      <c r="Q84">
        <v>1</v>
      </c>
      <c r="W84">
        <v>0</v>
      </c>
      <c r="X84">
        <v>1729392141</v>
      </c>
      <c r="Y84">
        <v>2.9</v>
      </c>
      <c r="AA84">
        <v>0</v>
      </c>
      <c r="AB84">
        <v>4.1100000000000003</v>
      </c>
      <c r="AC84">
        <v>0</v>
      </c>
      <c r="AD84">
        <v>0</v>
      </c>
      <c r="AE84">
        <v>0</v>
      </c>
      <c r="AF84">
        <v>0.5</v>
      </c>
      <c r="AG84">
        <v>0</v>
      </c>
      <c r="AH84">
        <v>0</v>
      </c>
      <c r="AI84">
        <v>1</v>
      </c>
      <c r="AJ84">
        <v>8.2200000000000006</v>
      </c>
      <c r="AK84">
        <v>33.049999999999997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2.3199999999999998</v>
      </c>
      <c r="AU84" t="s">
        <v>100</v>
      </c>
      <c r="AV84">
        <v>0</v>
      </c>
      <c r="AW84">
        <v>2</v>
      </c>
      <c r="AX84">
        <v>35833278</v>
      </c>
      <c r="AY84">
        <v>1</v>
      </c>
      <c r="AZ84">
        <v>0</v>
      </c>
      <c r="BA84">
        <v>85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Y84*Source!I79</f>
        <v>0.17399999999999999</v>
      </c>
      <c r="CY84">
        <f>AB84</f>
        <v>4.1100000000000003</v>
      </c>
      <c r="CZ84">
        <f>AF84</f>
        <v>0.5</v>
      </c>
      <c r="DA84">
        <f>AJ84</f>
        <v>8.2200000000000006</v>
      </c>
      <c r="DB84">
        <f>ROUND((ROUND(AT84*CZ84,2)*1.25),6)</f>
        <v>1.45</v>
      </c>
      <c r="DC84">
        <f>ROUND((ROUND(AT84*AG84,2)*1.25),6)</f>
        <v>0</v>
      </c>
    </row>
    <row r="85" spans="1:107">
      <c r="A85">
        <f>ROW(Source!A79)</f>
        <v>79</v>
      </c>
      <c r="B85">
        <v>34132744</v>
      </c>
      <c r="C85">
        <v>35833274</v>
      </c>
      <c r="D85">
        <v>29145158</v>
      </c>
      <c r="E85">
        <v>1</v>
      </c>
      <c r="F85">
        <v>1</v>
      </c>
      <c r="G85">
        <v>1</v>
      </c>
      <c r="H85">
        <v>3</v>
      </c>
      <c r="I85" t="s">
        <v>496</v>
      </c>
      <c r="J85" t="s">
        <v>497</v>
      </c>
      <c r="K85" t="s">
        <v>498</v>
      </c>
      <c r="L85">
        <v>1339</v>
      </c>
      <c r="N85">
        <v>1007</v>
      </c>
      <c r="O85" t="s">
        <v>182</v>
      </c>
      <c r="P85" t="s">
        <v>182</v>
      </c>
      <c r="Q85">
        <v>1</v>
      </c>
      <c r="W85">
        <v>0</v>
      </c>
      <c r="X85">
        <v>-1225348186</v>
      </c>
      <c r="Y85">
        <v>0.51</v>
      </c>
      <c r="AA85">
        <v>3399.46</v>
      </c>
      <c r="AB85">
        <v>0</v>
      </c>
      <c r="AC85">
        <v>0</v>
      </c>
      <c r="AD85">
        <v>0</v>
      </c>
      <c r="AE85">
        <v>548.29999999999995</v>
      </c>
      <c r="AF85">
        <v>0</v>
      </c>
      <c r="AG85">
        <v>0</v>
      </c>
      <c r="AH85">
        <v>0</v>
      </c>
      <c r="AI85">
        <v>6.2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0.51</v>
      </c>
      <c r="AU85" t="s">
        <v>3</v>
      </c>
      <c r="AV85">
        <v>0</v>
      </c>
      <c r="AW85">
        <v>2</v>
      </c>
      <c r="AX85">
        <v>35833279</v>
      </c>
      <c r="AY85">
        <v>1</v>
      </c>
      <c r="AZ85">
        <v>0</v>
      </c>
      <c r="BA85">
        <v>86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Y85*Source!I79</f>
        <v>3.0599999999999999E-2</v>
      </c>
      <c r="CY85">
        <f>AA85</f>
        <v>3399.46</v>
      </c>
      <c r="CZ85">
        <f>AE85</f>
        <v>548.29999999999995</v>
      </c>
      <c r="DA85">
        <f>AI85</f>
        <v>6.2</v>
      </c>
      <c r="DB85">
        <f>ROUND(ROUND(AT85*CZ85,2),6)</f>
        <v>279.63</v>
      </c>
      <c r="DC85">
        <f>ROUND(ROUND(AT85*AG85,2),6)</f>
        <v>0</v>
      </c>
    </row>
    <row r="86" spans="1:107">
      <c r="A86">
        <f>ROW(Source!A80)</f>
        <v>80</v>
      </c>
      <c r="B86">
        <v>34132744</v>
      </c>
      <c r="C86">
        <v>34133113</v>
      </c>
      <c r="D86">
        <v>18410572</v>
      </c>
      <c r="E86">
        <v>1</v>
      </c>
      <c r="F86">
        <v>1</v>
      </c>
      <c r="G86">
        <v>1</v>
      </c>
      <c r="H86">
        <v>1</v>
      </c>
      <c r="I86" t="s">
        <v>354</v>
      </c>
      <c r="J86" t="s">
        <v>3</v>
      </c>
      <c r="K86" t="s">
        <v>355</v>
      </c>
      <c r="L86">
        <v>1369</v>
      </c>
      <c r="N86">
        <v>1013</v>
      </c>
      <c r="O86" t="s">
        <v>323</v>
      </c>
      <c r="P86" t="s">
        <v>323</v>
      </c>
      <c r="Q86">
        <v>1</v>
      </c>
      <c r="W86">
        <v>0</v>
      </c>
      <c r="X86">
        <v>-546915240</v>
      </c>
      <c r="Y86">
        <v>356.983</v>
      </c>
      <c r="AA86">
        <v>0</v>
      </c>
      <c r="AB86">
        <v>0</v>
      </c>
      <c r="AC86">
        <v>0</v>
      </c>
      <c r="AD86">
        <v>285.36</v>
      </c>
      <c r="AE86">
        <v>0</v>
      </c>
      <c r="AF86">
        <v>0</v>
      </c>
      <c r="AG86">
        <v>0</v>
      </c>
      <c r="AH86">
        <v>285.36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310.42</v>
      </c>
      <c r="AU86" t="s">
        <v>101</v>
      </c>
      <c r="AV86">
        <v>1</v>
      </c>
      <c r="AW86">
        <v>2</v>
      </c>
      <c r="AX86">
        <v>34133114</v>
      </c>
      <c r="AY86">
        <v>2</v>
      </c>
      <c r="AZ86">
        <v>131072</v>
      </c>
      <c r="BA86">
        <v>87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Y86*Source!I80</f>
        <v>21.418979999999998</v>
      </c>
      <c r="CY86">
        <f>AD86</f>
        <v>285.36</v>
      </c>
      <c r="CZ86">
        <f>AH86</f>
        <v>285.36</v>
      </c>
      <c r="DA86">
        <f>AL86</f>
        <v>1</v>
      </c>
      <c r="DB86">
        <f>ROUND((ROUND(AT86*CZ86,2)*1.15),6)</f>
        <v>101868.6675</v>
      </c>
      <c r="DC86">
        <f>ROUND((ROUND(AT86*AG86,2)*1.15),6)</f>
        <v>0</v>
      </c>
    </row>
    <row r="87" spans="1:107">
      <c r="A87">
        <f>ROW(Source!A80)</f>
        <v>80</v>
      </c>
      <c r="B87">
        <v>34132744</v>
      </c>
      <c r="C87">
        <v>34133113</v>
      </c>
      <c r="D87">
        <v>121548</v>
      </c>
      <c r="E87">
        <v>1</v>
      </c>
      <c r="F87">
        <v>1</v>
      </c>
      <c r="G87">
        <v>1</v>
      </c>
      <c r="H87">
        <v>1</v>
      </c>
      <c r="I87" t="s">
        <v>28</v>
      </c>
      <c r="J87" t="s">
        <v>3</v>
      </c>
      <c r="K87" t="s">
        <v>326</v>
      </c>
      <c r="L87">
        <v>608254</v>
      </c>
      <c r="N87">
        <v>1013</v>
      </c>
      <c r="O87" t="s">
        <v>327</v>
      </c>
      <c r="P87" t="s">
        <v>327</v>
      </c>
      <c r="Q87">
        <v>1</v>
      </c>
      <c r="W87">
        <v>0</v>
      </c>
      <c r="X87">
        <v>-185737400</v>
      </c>
      <c r="Y87">
        <v>2.15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1.72</v>
      </c>
      <c r="AU87" t="s">
        <v>100</v>
      </c>
      <c r="AV87">
        <v>2</v>
      </c>
      <c r="AW87">
        <v>2</v>
      </c>
      <c r="AX87">
        <v>34133115</v>
      </c>
      <c r="AY87">
        <v>1</v>
      </c>
      <c r="AZ87">
        <v>0</v>
      </c>
      <c r="BA87">
        <v>88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Y87*Source!I80</f>
        <v>0.129</v>
      </c>
      <c r="CY87">
        <f>AD87</f>
        <v>0</v>
      </c>
      <c r="CZ87">
        <f>AH87</f>
        <v>0</v>
      </c>
      <c r="DA87">
        <f>AL87</f>
        <v>1</v>
      </c>
      <c r="DB87">
        <f t="shared" ref="DB87:DB92" si="15">ROUND((ROUND(AT87*CZ87,2)*1.25),6)</f>
        <v>0</v>
      </c>
      <c r="DC87">
        <f t="shared" ref="DC87:DC92" si="16">ROUND((ROUND(AT87*AG87,2)*1.25),6)</f>
        <v>0</v>
      </c>
    </row>
    <row r="88" spans="1:107">
      <c r="A88">
        <f>ROW(Source!A80)</f>
        <v>80</v>
      </c>
      <c r="B88">
        <v>34132744</v>
      </c>
      <c r="C88">
        <v>34133113</v>
      </c>
      <c r="D88">
        <v>29172267</v>
      </c>
      <c r="E88">
        <v>1</v>
      </c>
      <c r="F88">
        <v>1</v>
      </c>
      <c r="G88">
        <v>1</v>
      </c>
      <c r="H88">
        <v>2</v>
      </c>
      <c r="I88" t="s">
        <v>499</v>
      </c>
      <c r="J88" t="s">
        <v>500</v>
      </c>
      <c r="K88" t="s">
        <v>501</v>
      </c>
      <c r="L88">
        <v>1368</v>
      </c>
      <c r="N88">
        <v>1011</v>
      </c>
      <c r="O88" t="s">
        <v>331</v>
      </c>
      <c r="P88" t="s">
        <v>331</v>
      </c>
      <c r="Q88">
        <v>1</v>
      </c>
      <c r="W88">
        <v>0</v>
      </c>
      <c r="X88">
        <v>892994112</v>
      </c>
      <c r="Y88">
        <v>2.5000000000000001E-2</v>
      </c>
      <c r="AA88">
        <v>0</v>
      </c>
      <c r="AB88">
        <v>848.48</v>
      </c>
      <c r="AC88">
        <v>446.18</v>
      </c>
      <c r="AD88">
        <v>0</v>
      </c>
      <c r="AE88">
        <v>0</v>
      </c>
      <c r="AF88">
        <v>83.43</v>
      </c>
      <c r="AG88">
        <v>13.5</v>
      </c>
      <c r="AH88">
        <v>0</v>
      </c>
      <c r="AI88">
        <v>1</v>
      </c>
      <c r="AJ88">
        <v>10.17</v>
      </c>
      <c r="AK88">
        <v>33.049999999999997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0.02</v>
      </c>
      <c r="AU88" t="s">
        <v>100</v>
      </c>
      <c r="AV88">
        <v>0</v>
      </c>
      <c r="AW88">
        <v>2</v>
      </c>
      <c r="AX88">
        <v>34133116</v>
      </c>
      <c r="AY88">
        <v>1</v>
      </c>
      <c r="AZ88">
        <v>0</v>
      </c>
      <c r="BA88">
        <v>89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Y88*Source!I80</f>
        <v>1.5E-3</v>
      </c>
      <c r="CY88">
        <f>AB88</f>
        <v>848.48</v>
      </c>
      <c r="CZ88">
        <f>AF88</f>
        <v>83.43</v>
      </c>
      <c r="DA88">
        <f>AJ88</f>
        <v>10.17</v>
      </c>
      <c r="DB88">
        <f t="shared" si="15"/>
        <v>2.0874999999999999</v>
      </c>
      <c r="DC88">
        <f t="shared" si="16"/>
        <v>0.33750000000000002</v>
      </c>
    </row>
    <row r="89" spans="1:107">
      <c r="A89">
        <f>ROW(Source!A80)</f>
        <v>80</v>
      </c>
      <c r="B89">
        <v>34132744</v>
      </c>
      <c r="C89">
        <v>34133113</v>
      </c>
      <c r="D89">
        <v>29172378</v>
      </c>
      <c r="E89">
        <v>1</v>
      </c>
      <c r="F89">
        <v>1</v>
      </c>
      <c r="G89">
        <v>1</v>
      </c>
      <c r="H89">
        <v>2</v>
      </c>
      <c r="I89" t="s">
        <v>502</v>
      </c>
      <c r="J89" t="s">
        <v>503</v>
      </c>
      <c r="K89" t="s">
        <v>504</v>
      </c>
      <c r="L89">
        <v>1368</v>
      </c>
      <c r="N89">
        <v>1011</v>
      </c>
      <c r="O89" t="s">
        <v>331</v>
      </c>
      <c r="P89" t="s">
        <v>331</v>
      </c>
      <c r="Q89">
        <v>1</v>
      </c>
      <c r="W89">
        <v>0</v>
      </c>
      <c r="X89">
        <v>912204425</v>
      </c>
      <c r="Y89">
        <v>1.2500000000000001E-2</v>
      </c>
      <c r="AA89">
        <v>0</v>
      </c>
      <c r="AB89">
        <v>955.79</v>
      </c>
      <c r="AC89">
        <v>383.38</v>
      </c>
      <c r="AD89">
        <v>0</v>
      </c>
      <c r="AE89">
        <v>0</v>
      </c>
      <c r="AF89">
        <v>88.01</v>
      </c>
      <c r="AG89">
        <v>11.6</v>
      </c>
      <c r="AH89">
        <v>0</v>
      </c>
      <c r="AI89">
        <v>1</v>
      </c>
      <c r="AJ89">
        <v>10.86</v>
      </c>
      <c r="AK89">
        <v>33.049999999999997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0.01</v>
      </c>
      <c r="AU89" t="s">
        <v>100</v>
      </c>
      <c r="AV89">
        <v>0</v>
      </c>
      <c r="AW89">
        <v>2</v>
      </c>
      <c r="AX89">
        <v>34133117</v>
      </c>
      <c r="AY89">
        <v>1</v>
      </c>
      <c r="AZ89">
        <v>0</v>
      </c>
      <c r="BA89">
        <v>90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Y89*Source!I80</f>
        <v>7.5000000000000002E-4</v>
      </c>
      <c r="CY89">
        <f>AB89</f>
        <v>955.79</v>
      </c>
      <c r="CZ89">
        <f>AF89</f>
        <v>88.01</v>
      </c>
      <c r="DA89">
        <f>AJ89</f>
        <v>10.86</v>
      </c>
      <c r="DB89">
        <f t="shared" si="15"/>
        <v>1.1000000000000001</v>
      </c>
      <c r="DC89">
        <f t="shared" si="16"/>
        <v>0.15</v>
      </c>
    </row>
    <row r="90" spans="1:107">
      <c r="A90">
        <f>ROW(Source!A80)</f>
        <v>80</v>
      </c>
      <c r="B90">
        <v>34132744</v>
      </c>
      <c r="C90">
        <v>34133113</v>
      </c>
      <c r="D90">
        <v>29173141</v>
      </c>
      <c r="E90">
        <v>1</v>
      </c>
      <c r="F90">
        <v>1</v>
      </c>
      <c r="G90">
        <v>1</v>
      </c>
      <c r="H90">
        <v>2</v>
      </c>
      <c r="I90" t="s">
        <v>505</v>
      </c>
      <c r="J90" t="s">
        <v>506</v>
      </c>
      <c r="K90" t="s">
        <v>507</v>
      </c>
      <c r="L90">
        <v>1368</v>
      </c>
      <c r="N90">
        <v>1011</v>
      </c>
      <c r="O90" t="s">
        <v>331</v>
      </c>
      <c r="P90" t="s">
        <v>331</v>
      </c>
      <c r="Q90">
        <v>1</v>
      </c>
      <c r="W90">
        <v>0</v>
      </c>
      <c r="X90">
        <v>1314032473</v>
      </c>
      <c r="Y90">
        <v>2.1124999999999998</v>
      </c>
      <c r="AA90">
        <v>0</v>
      </c>
      <c r="AB90">
        <v>364.68</v>
      </c>
      <c r="AC90">
        <v>332.48</v>
      </c>
      <c r="AD90">
        <v>0</v>
      </c>
      <c r="AE90">
        <v>0</v>
      </c>
      <c r="AF90">
        <v>12.4</v>
      </c>
      <c r="AG90">
        <v>10.06</v>
      </c>
      <c r="AH90">
        <v>0</v>
      </c>
      <c r="AI90">
        <v>1</v>
      </c>
      <c r="AJ90">
        <v>29.41</v>
      </c>
      <c r="AK90">
        <v>33.049999999999997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1.69</v>
      </c>
      <c r="AU90" t="s">
        <v>100</v>
      </c>
      <c r="AV90">
        <v>0</v>
      </c>
      <c r="AW90">
        <v>2</v>
      </c>
      <c r="AX90">
        <v>34133118</v>
      </c>
      <c r="AY90">
        <v>1</v>
      </c>
      <c r="AZ90">
        <v>0</v>
      </c>
      <c r="BA90">
        <v>91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Y90*Source!I80</f>
        <v>0.12674999999999997</v>
      </c>
      <c r="CY90">
        <f>AB90</f>
        <v>364.68</v>
      </c>
      <c r="CZ90">
        <f>AF90</f>
        <v>12.4</v>
      </c>
      <c r="DA90">
        <f>AJ90</f>
        <v>29.41</v>
      </c>
      <c r="DB90">
        <f t="shared" si="15"/>
        <v>26.2</v>
      </c>
      <c r="DC90">
        <f t="shared" si="16"/>
        <v>21.25</v>
      </c>
    </row>
    <row r="91" spans="1:107">
      <c r="A91">
        <f>ROW(Source!A80)</f>
        <v>80</v>
      </c>
      <c r="B91">
        <v>34132744</v>
      </c>
      <c r="C91">
        <v>34133113</v>
      </c>
      <c r="D91">
        <v>29174638</v>
      </c>
      <c r="E91">
        <v>1</v>
      </c>
      <c r="F91">
        <v>1</v>
      </c>
      <c r="G91">
        <v>1</v>
      </c>
      <c r="H91">
        <v>2</v>
      </c>
      <c r="I91" t="s">
        <v>508</v>
      </c>
      <c r="J91" t="s">
        <v>509</v>
      </c>
      <c r="K91" t="s">
        <v>510</v>
      </c>
      <c r="L91">
        <v>1368</v>
      </c>
      <c r="N91">
        <v>1011</v>
      </c>
      <c r="O91" t="s">
        <v>331</v>
      </c>
      <c r="P91" t="s">
        <v>331</v>
      </c>
      <c r="Q91">
        <v>1</v>
      </c>
      <c r="W91">
        <v>0</v>
      </c>
      <c r="X91">
        <v>-2119287708</v>
      </c>
      <c r="Y91">
        <v>6.25E-2</v>
      </c>
      <c r="AA91">
        <v>0</v>
      </c>
      <c r="AB91">
        <v>17.45</v>
      </c>
      <c r="AC91">
        <v>0</v>
      </c>
      <c r="AD91">
        <v>0</v>
      </c>
      <c r="AE91">
        <v>0</v>
      </c>
      <c r="AF91">
        <v>9.9700000000000006</v>
      </c>
      <c r="AG91">
        <v>0</v>
      </c>
      <c r="AH91">
        <v>0</v>
      </c>
      <c r="AI91">
        <v>1</v>
      </c>
      <c r="AJ91">
        <v>1.75</v>
      </c>
      <c r="AK91">
        <v>33.049999999999997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0.05</v>
      </c>
      <c r="AU91" t="s">
        <v>100</v>
      </c>
      <c r="AV91">
        <v>0</v>
      </c>
      <c r="AW91">
        <v>2</v>
      </c>
      <c r="AX91">
        <v>34133119</v>
      </c>
      <c r="AY91">
        <v>1</v>
      </c>
      <c r="AZ91">
        <v>0</v>
      </c>
      <c r="BA91">
        <v>92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Y91*Source!I80</f>
        <v>3.7499999999999999E-3</v>
      </c>
      <c r="CY91">
        <f>AB91</f>
        <v>17.45</v>
      </c>
      <c r="CZ91">
        <f>AF91</f>
        <v>9.9700000000000006</v>
      </c>
      <c r="DA91">
        <f>AJ91</f>
        <v>1.75</v>
      </c>
      <c r="DB91">
        <f t="shared" si="15"/>
        <v>0.625</v>
      </c>
      <c r="DC91">
        <f t="shared" si="16"/>
        <v>0</v>
      </c>
    </row>
    <row r="92" spans="1:107">
      <c r="A92">
        <f>ROW(Source!A80)</f>
        <v>80</v>
      </c>
      <c r="B92">
        <v>34132744</v>
      </c>
      <c r="C92">
        <v>34133113</v>
      </c>
      <c r="D92">
        <v>29174913</v>
      </c>
      <c r="E92">
        <v>1</v>
      </c>
      <c r="F92">
        <v>1</v>
      </c>
      <c r="G92">
        <v>1</v>
      </c>
      <c r="H92">
        <v>2</v>
      </c>
      <c r="I92" t="s">
        <v>342</v>
      </c>
      <c r="J92" t="s">
        <v>343</v>
      </c>
      <c r="K92" t="s">
        <v>344</v>
      </c>
      <c r="L92">
        <v>1368</v>
      </c>
      <c r="N92">
        <v>1011</v>
      </c>
      <c r="O92" t="s">
        <v>331</v>
      </c>
      <c r="P92" t="s">
        <v>331</v>
      </c>
      <c r="Q92">
        <v>1</v>
      </c>
      <c r="W92">
        <v>0</v>
      </c>
      <c r="X92">
        <v>458544584</v>
      </c>
      <c r="Y92">
        <v>1.2500000000000001E-2</v>
      </c>
      <c r="AA92">
        <v>0</v>
      </c>
      <c r="AB92">
        <v>932.72</v>
      </c>
      <c r="AC92">
        <v>383.38</v>
      </c>
      <c r="AD92">
        <v>0</v>
      </c>
      <c r="AE92">
        <v>0</v>
      </c>
      <c r="AF92">
        <v>87.17</v>
      </c>
      <c r="AG92">
        <v>11.6</v>
      </c>
      <c r="AH92">
        <v>0</v>
      </c>
      <c r="AI92">
        <v>1</v>
      </c>
      <c r="AJ92">
        <v>10.7</v>
      </c>
      <c r="AK92">
        <v>33.049999999999997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0.01</v>
      </c>
      <c r="AU92" t="s">
        <v>100</v>
      </c>
      <c r="AV92">
        <v>0</v>
      </c>
      <c r="AW92">
        <v>2</v>
      </c>
      <c r="AX92">
        <v>34133120</v>
      </c>
      <c r="AY92">
        <v>1</v>
      </c>
      <c r="AZ92">
        <v>0</v>
      </c>
      <c r="BA92">
        <v>93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Y92*Source!I80</f>
        <v>7.5000000000000002E-4</v>
      </c>
      <c r="CY92">
        <f>AB92</f>
        <v>932.72</v>
      </c>
      <c r="CZ92">
        <f>AF92</f>
        <v>87.17</v>
      </c>
      <c r="DA92">
        <f>AJ92</f>
        <v>10.7</v>
      </c>
      <c r="DB92">
        <f t="shared" si="15"/>
        <v>1.0874999999999999</v>
      </c>
      <c r="DC92">
        <f t="shared" si="16"/>
        <v>0.15</v>
      </c>
    </row>
    <row r="93" spans="1:107">
      <c r="A93">
        <f>ROW(Source!A80)</f>
        <v>80</v>
      </c>
      <c r="B93">
        <v>34132744</v>
      </c>
      <c r="C93">
        <v>34133113</v>
      </c>
      <c r="D93">
        <v>29107863</v>
      </c>
      <c r="E93">
        <v>1</v>
      </c>
      <c r="F93">
        <v>1</v>
      </c>
      <c r="G93">
        <v>1</v>
      </c>
      <c r="H93">
        <v>3</v>
      </c>
      <c r="I93" t="s">
        <v>511</v>
      </c>
      <c r="J93" t="s">
        <v>512</v>
      </c>
      <c r="K93" t="s">
        <v>513</v>
      </c>
      <c r="L93">
        <v>1348</v>
      </c>
      <c r="N93">
        <v>1009</v>
      </c>
      <c r="O93" t="s">
        <v>26</v>
      </c>
      <c r="P93" t="s">
        <v>26</v>
      </c>
      <c r="Q93">
        <v>1000</v>
      </c>
      <c r="W93">
        <v>0</v>
      </c>
      <c r="X93">
        <v>362594991</v>
      </c>
      <c r="Y93">
        <v>1.2999999999999999E-2</v>
      </c>
      <c r="AA93">
        <v>38737.9</v>
      </c>
      <c r="AB93">
        <v>0</v>
      </c>
      <c r="AC93">
        <v>0</v>
      </c>
      <c r="AD93">
        <v>0</v>
      </c>
      <c r="AE93">
        <v>6532.53</v>
      </c>
      <c r="AF93">
        <v>0</v>
      </c>
      <c r="AG93">
        <v>0</v>
      </c>
      <c r="AH93">
        <v>0</v>
      </c>
      <c r="AI93">
        <v>5.93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1.2999999999999999E-2</v>
      </c>
      <c r="AU93" t="s">
        <v>3</v>
      </c>
      <c r="AV93">
        <v>0</v>
      </c>
      <c r="AW93">
        <v>2</v>
      </c>
      <c r="AX93">
        <v>34133121</v>
      </c>
      <c r="AY93">
        <v>1</v>
      </c>
      <c r="AZ93">
        <v>0</v>
      </c>
      <c r="BA93">
        <v>94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Y93*Source!I80</f>
        <v>7.7999999999999999E-4</v>
      </c>
      <c r="CY93">
        <f>AA93</f>
        <v>38737.9</v>
      </c>
      <c r="CZ93">
        <f>AE93</f>
        <v>6532.53</v>
      </c>
      <c r="DA93">
        <f>AI93</f>
        <v>5.93</v>
      </c>
      <c r="DB93">
        <f>ROUND(ROUND(AT93*CZ93,2),6)</f>
        <v>84.92</v>
      </c>
      <c r="DC93">
        <f>ROUND(ROUND(AT93*AG93,2),6)</f>
        <v>0</v>
      </c>
    </row>
    <row r="94" spans="1:107">
      <c r="A94">
        <f>ROW(Source!A80)</f>
        <v>80</v>
      </c>
      <c r="B94">
        <v>34132744</v>
      </c>
      <c r="C94">
        <v>34133113</v>
      </c>
      <c r="D94">
        <v>29109437</v>
      </c>
      <c r="E94">
        <v>1</v>
      </c>
      <c r="F94">
        <v>1</v>
      </c>
      <c r="G94">
        <v>1</v>
      </c>
      <c r="H94">
        <v>3</v>
      </c>
      <c r="I94" t="s">
        <v>514</v>
      </c>
      <c r="J94" t="s">
        <v>515</v>
      </c>
      <c r="K94" t="s">
        <v>516</v>
      </c>
      <c r="L94">
        <v>1346</v>
      </c>
      <c r="N94">
        <v>1009</v>
      </c>
      <c r="O94" t="s">
        <v>401</v>
      </c>
      <c r="P94" t="s">
        <v>401</v>
      </c>
      <c r="Q94">
        <v>1</v>
      </c>
      <c r="W94">
        <v>0</v>
      </c>
      <c r="X94">
        <v>-1940067584</v>
      </c>
      <c r="Y94">
        <v>1200</v>
      </c>
      <c r="AA94">
        <v>15.98</v>
      </c>
      <c r="AB94">
        <v>0</v>
      </c>
      <c r="AC94">
        <v>0</v>
      </c>
      <c r="AD94">
        <v>0</v>
      </c>
      <c r="AE94">
        <v>3.86</v>
      </c>
      <c r="AF94">
        <v>0</v>
      </c>
      <c r="AG94">
        <v>0</v>
      </c>
      <c r="AH94">
        <v>0</v>
      </c>
      <c r="AI94">
        <v>4.1399999999999997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1200</v>
      </c>
      <c r="AU94" t="s">
        <v>3</v>
      </c>
      <c r="AV94">
        <v>0</v>
      </c>
      <c r="AW94">
        <v>2</v>
      </c>
      <c r="AX94">
        <v>34133122</v>
      </c>
      <c r="AY94">
        <v>1</v>
      </c>
      <c r="AZ94">
        <v>0</v>
      </c>
      <c r="BA94">
        <v>95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Y94*Source!I80</f>
        <v>72</v>
      </c>
      <c r="CY94">
        <f>AA94</f>
        <v>15.98</v>
      </c>
      <c r="CZ94">
        <f>AE94</f>
        <v>3.86</v>
      </c>
      <c r="DA94">
        <f>AI94</f>
        <v>4.1399999999999997</v>
      </c>
      <c r="DB94">
        <f>ROUND(ROUND(AT94*CZ94,2),6)</f>
        <v>4632</v>
      </c>
      <c r="DC94">
        <f>ROUND(ROUND(AT94*AG94,2),6)</f>
        <v>0</v>
      </c>
    </row>
    <row r="95" spans="1:107">
      <c r="A95">
        <f>ROW(Source!A80)</f>
        <v>80</v>
      </c>
      <c r="B95">
        <v>34132744</v>
      </c>
      <c r="C95">
        <v>34133113</v>
      </c>
      <c r="D95">
        <v>29109880</v>
      </c>
      <c r="E95">
        <v>1</v>
      </c>
      <c r="F95">
        <v>1</v>
      </c>
      <c r="G95">
        <v>1</v>
      </c>
      <c r="H95">
        <v>3</v>
      </c>
      <c r="I95" t="s">
        <v>517</v>
      </c>
      <c r="J95" t="s">
        <v>518</v>
      </c>
      <c r="K95" t="s">
        <v>519</v>
      </c>
      <c r="L95">
        <v>1327</v>
      </c>
      <c r="N95">
        <v>1005</v>
      </c>
      <c r="O95" t="s">
        <v>140</v>
      </c>
      <c r="P95" t="s">
        <v>140</v>
      </c>
      <c r="Q95">
        <v>1</v>
      </c>
      <c r="W95">
        <v>0</v>
      </c>
      <c r="X95">
        <v>1796338396</v>
      </c>
      <c r="Y95">
        <v>102</v>
      </c>
      <c r="AA95">
        <v>562.16999999999996</v>
      </c>
      <c r="AB95">
        <v>0</v>
      </c>
      <c r="AC95">
        <v>0</v>
      </c>
      <c r="AD95">
        <v>0</v>
      </c>
      <c r="AE95">
        <v>145.63999999999999</v>
      </c>
      <c r="AF95">
        <v>0</v>
      </c>
      <c r="AG95">
        <v>0</v>
      </c>
      <c r="AH95">
        <v>0</v>
      </c>
      <c r="AI95">
        <v>3.86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102</v>
      </c>
      <c r="AU95" t="s">
        <v>3</v>
      </c>
      <c r="AV95">
        <v>0</v>
      </c>
      <c r="AW95">
        <v>2</v>
      </c>
      <c r="AX95">
        <v>34133123</v>
      </c>
      <c r="AY95">
        <v>1</v>
      </c>
      <c r="AZ95">
        <v>0</v>
      </c>
      <c r="BA95">
        <v>96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Y95*Source!I80</f>
        <v>6.12</v>
      </c>
      <c r="CY95">
        <f>AA95</f>
        <v>562.16999999999996</v>
      </c>
      <c r="CZ95">
        <f>AE95</f>
        <v>145.63999999999999</v>
      </c>
      <c r="DA95">
        <f>AI95</f>
        <v>3.86</v>
      </c>
      <c r="DB95">
        <f>ROUND(ROUND(AT95*CZ95,2),6)</f>
        <v>14855.28</v>
      </c>
      <c r="DC95">
        <f>ROUND(ROUND(AT95*AG95,2),6)</f>
        <v>0</v>
      </c>
    </row>
    <row r="96" spans="1:107">
      <c r="A96">
        <f>ROW(Source!A80)</f>
        <v>80</v>
      </c>
      <c r="B96">
        <v>34132744</v>
      </c>
      <c r="C96">
        <v>34133113</v>
      </c>
      <c r="D96">
        <v>29150040</v>
      </c>
      <c r="E96">
        <v>1</v>
      </c>
      <c r="F96">
        <v>1</v>
      </c>
      <c r="G96">
        <v>1</v>
      </c>
      <c r="H96">
        <v>3</v>
      </c>
      <c r="I96" t="s">
        <v>520</v>
      </c>
      <c r="J96" t="s">
        <v>521</v>
      </c>
      <c r="K96" t="s">
        <v>522</v>
      </c>
      <c r="L96">
        <v>1339</v>
      </c>
      <c r="N96">
        <v>1007</v>
      </c>
      <c r="O96" t="s">
        <v>182</v>
      </c>
      <c r="P96" t="s">
        <v>182</v>
      </c>
      <c r="Q96">
        <v>1</v>
      </c>
      <c r="W96">
        <v>0</v>
      </c>
      <c r="X96">
        <v>693153122</v>
      </c>
      <c r="Y96">
        <v>0.44</v>
      </c>
      <c r="AA96">
        <v>22.2</v>
      </c>
      <c r="AB96">
        <v>0</v>
      </c>
      <c r="AC96">
        <v>0</v>
      </c>
      <c r="AD96">
        <v>0</v>
      </c>
      <c r="AE96">
        <v>2.44</v>
      </c>
      <c r="AF96">
        <v>0</v>
      </c>
      <c r="AG96">
        <v>0</v>
      </c>
      <c r="AH96">
        <v>0</v>
      </c>
      <c r="AI96">
        <v>9.1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0.44</v>
      </c>
      <c r="AU96" t="s">
        <v>3</v>
      </c>
      <c r="AV96">
        <v>0</v>
      </c>
      <c r="AW96">
        <v>2</v>
      </c>
      <c r="AX96">
        <v>34133126</v>
      </c>
      <c r="AY96">
        <v>1</v>
      </c>
      <c r="AZ96">
        <v>0</v>
      </c>
      <c r="BA96">
        <v>99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Y96*Source!I80</f>
        <v>2.64E-2</v>
      </c>
      <c r="CY96">
        <f>AA96</f>
        <v>22.2</v>
      </c>
      <c r="CZ96">
        <f>AE96</f>
        <v>2.44</v>
      </c>
      <c r="DA96">
        <f>AI96</f>
        <v>9.1</v>
      </c>
      <c r="DB96">
        <f>ROUND(ROUND(AT96*CZ96,2),6)</f>
        <v>1.07</v>
      </c>
      <c r="DC96">
        <f>ROUND(ROUND(AT96*AG96,2),6)</f>
        <v>0</v>
      </c>
    </row>
    <row r="97" spans="1:107">
      <c r="A97">
        <f>ROW(Source!A81)</f>
        <v>81</v>
      </c>
      <c r="B97">
        <v>34132744</v>
      </c>
      <c r="C97">
        <v>36151257</v>
      </c>
      <c r="D97">
        <v>18406804</v>
      </c>
      <c r="E97">
        <v>1</v>
      </c>
      <c r="F97">
        <v>1</v>
      </c>
      <c r="G97">
        <v>1</v>
      </c>
      <c r="H97">
        <v>1</v>
      </c>
      <c r="I97" t="s">
        <v>523</v>
      </c>
      <c r="J97" t="s">
        <v>3</v>
      </c>
      <c r="K97" t="s">
        <v>524</v>
      </c>
      <c r="L97">
        <v>1369</v>
      </c>
      <c r="N97">
        <v>1013</v>
      </c>
      <c r="O97" t="s">
        <v>323</v>
      </c>
      <c r="P97" t="s">
        <v>323</v>
      </c>
      <c r="Q97">
        <v>1</v>
      </c>
      <c r="W97">
        <v>0</v>
      </c>
      <c r="X97">
        <v>254330056</v>
      </c>
      <c r="Y97">
        <v>177.1</v>
      </c>
      <c r="AA97">
        <v>0</v>
      </c>
      <c r="AB97">
        <v>0</v>
      </c>
      <c r="AC97">
        <v>0</v>
      </c>
      <c r="AD97">
        <v>254.67</v>
      </c>
      <c r="AE97">
        <v>0</v>
      </c>
      <c r="AF97">
        <v>0</v>
      </c>
      <c r="AG97">
        <v>0</v>
      </c>
      <c r="AH97">
        <v>254.67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154</v>
      </c>
      <c r="AU97" t="s">
        <v>101</v>
      </c>
      <c r="AV97">
        <v>1</v>
      </c>
      <c r="AW97">
        <v>2</v>
      </c>
      <c r="AX97">
        <v>36151470</v>
      </c>
      <c r="AY97">
        <v>1</v>
      </c>
      <c r="AZ97">
        <v>0</v>
      </c>
      <c r="BA97">
        <v>100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Y97*Source!I81</f>
        <v>3.3649</v>
      </c>
      <c r="CY97">
        <f>AD97</f>
        <v>254.67</v>
      </c>
      <c r="CZ97">
        <f>AH97</f>
        <v>254.67</v>
      </c>
      <c r="DA97">
        <f>AL97</f>
        <v>1</v>
      </c>
      <c r="DB97">
        <f>ROUND((ROUND(AT97*CZ97,2)*1.15),6)</f>
        <v>45102.057000000001</v>
      </c>
      <c r="DC97">
        <f>ROUND((ROUND(AT97*AG97,2)*1.15),6)</f>
        <v>0</v>
      </c>
    </row>
    <row r="98" spans="1:107">
      <c r="A98">
        <f>ROW(Source!A82)</f>
        <v>82</v>
      </c>
      <c r="B98">
        <v>34132744</v>
      </c>
      <c r="C98">
        <v>36151340</v>
      </c>
      <c r="D98">
        <v>18408066</v>
      </c>
      <c r="E98">
        <v>1</v>
      </c>
      <c r="F98">
        <v>1</v>
      </c>
      <c r="G98">
        <v>1</v>
      </c>
      <c r="H98">
        <v>1</v>
      </c>
      <c r="I98" t="s">
        <v>324</v>
      </c>
      <c r="J98" t="s">
        <v>3</v>
      </c>
      <c r="K98" t="s">
        <v>325</v>
      </c>
      <c r="L98">
        <v>1369</v>
      </c>
      <c r="N98">
        <v>1013</v>
      </c>
      <c r="O98" t="s">
        <v>323</v>
      </c>
      <c r="P98" t="s">
        <v>323</v>
      </c>
      <c r="Q98">
        <v>1</v>
      </c>
      <c r="W98">
        <v>0</v>
      </c>
      <c r="X98">
        <v>-886480961</v>
      </c>
      <c r="Y98">
        <v>18.077999999999999</v>
      </c>
      <c r="AA98">
        <v>0</v>
      </c>
      <c r="AB98">
        <v>0</v>
      </c>
      <c r="AC98">
        <v>0</v>
      </c>
      <c r="AD98">
        <v>261.85000000000002</v>
      </c>
      <c r="AE98">
        <v>0</v>
      </c>
      <c r="AF98">
        <v>0</v>
      </c>
      <c r="AG98">
        <v>0</v>
      </c>
      <c r="AH98">
        <v>261.85000000000002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15.72</v>
      </c>
      <c r="AU98" t="s">
        <v>101</v>
      </c>
      <c r="AV98">
        <v>1</v>
      </c>
      <c r="AW98">
        <v>2</v>
      </c>
      <c r="AX98">
        <v>36151341</v>
      </c>
      <c r="AY98">
        <v>1</v>
      </c>
      <c r="AZ98">
        <v>0</v>
      </c>
      <c r="BA98">
        <v>101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Y98*Source!I82</f>
        <v>0.54233999999999993</v>
      </c>
      <c r="CY98">
        <f>AD98</f>
        <v>261.85000000000002</v>
      </c>
      <c r="CZ98">
        <f>AH98</f>
        <v>261.85000000000002</v>
      </c>
      <c r="DA98">
        <f>AL98</f>
        <v>1</v>
      </c>
      <c r="DB98">
        <f>ROUND((ROUND(AT98*CZ98,2)*1.15),6)</f>
        <v>4733.7219999999998</v>
      </c>
      <c r="DC98">
        <f>ROUND((ROUND(AT98*AG98,2)*1.15),6)</f>
        <v>0</v>
      </c>
    </row>
    <row r="99" spans="1:107">
      <c r="A99">
        <f>ROW(Source!A82)</f>
        <v>82</v>
      </c>
      <c r="B99">
        <v>34132744</v>
      </c>
      <c r="C99">
        <v>36151340</v>
      </c>
      <c r="D99">
        <v>121548</v>
      </c>
      <c r="E99">
        <v>1</v>
      </c>
      <c r="F99">
        <v>1</v>
      </c>
      <c r="G99">
        <v>1</v>
      </c>
      <c r="H99">
        <v>1</v>
      </c>
      <c r="I99" t="s">
        <v>28</v>
      </c>
      <c r="J99" t="s">
        <v>3</v>
      </c>
      <c r="K99" t="s">
        <v>326</v>
      </c>
      <c r="L99">
        <v>608254</v>
      </c>
      <c r="N99">
        <v>1013</v>
      </c>
      <c r="O99" t="s">
        <v>327</v>
      </c>
      <c r="P99" t="s">
        <v>327</v>
      </c>
      <c r="Q99">
        <v>1</v>
      </c>
      <c r="W99">
        <v>0</v>
      </c>
      <c r="X99">
        <v>-185737400</v>
      </c>
      <c r="Y99">
        <v>17.350000000000001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13.88</v>
      </c>
      <c r="AU99" t="s">
        <v>100</v>
      </c>
      <c r="AV99">
        <v>2</v>
      </c>
      <c r="AW99">
        <v>2</v>
      </c>
      <c r="AX99">
        <v>36151342</v>
      </c>
      <c r="AY99">
        <v>1</v>
      </c>
      <c r="AZ99">
        <v>0</v>
      </c>
      <c r="BA99">
        <v>102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Y99*Source!I82</f>
        <v>0.52050000000000007</v>
      </c>
      <c r="CY99">
        <f>AD99</f>
        <v>0</v>
      </c>
      <c r="CZ99">
        <f>AH99</f>
        <v>0</v>
      </c>
      <c r="DA99">
        <f>AL99</f>
        <v>1</v>
      </c>
      <c r="DB99">
        <f>ROUND((ROUND(AT99*CZ99,2)*1.25),6)</f>
        <v>0</v>
      </c>
      <c r="DC99">
        <f>ROUND((ROUND(AT99*AG99,2)*1.25),6)</f>
        <v>0</v>
      </c>
    </row>
    <row r="100" spans="1:107">
      <c r="A100">
        <f>ROW(Source!A82)</f>
        <v>82</v>
      </c>
      <c r="B100">
        <v>34132744</v>
      </c>
      <c r="C100">
        <v>36151340</v>
      </c>
      <c r="D100">
        <v>29172479</v>
      </c>
      <c r="E100">
        <v>1</v>
      </c>
      <c r="F100">
        <v>1</v>
      </c>
      <c r="G100">
        <v>1</v>
      </c>
      <c r="H100">
        <v>2</v>
      </c>
      <c r="I100" t="s">
        <v>525</v>
      </c>
      <c r="J100" t="s">
        <v>526</v>
      </c>
      <c r="K100" t="s">
        <v>527</v>
      </c>
      <c r="L100">
        <v>1368</v>
      </c>
      <c r="N100">
        <v>1011</v>
      </c>
      <c r="O100" t="s">
        <v>331</v>
      </c>
      <c r="P100" t="s">
        <v>331</v>
      </c>
      <c r="Q100">
        <v>1</v>
      </c>
      <c r="W100">
        <v>0</v>
      </c>
      <c r="X100">
        <v>-996378858</v>
      </c>
      <c r="Y100">
        <v>5.3624999999999998</v>
      </c>
      <c r="AA100">
        <v>0</v>
      </c>
      <c r="AB100">
        <v>901.01</v>
      </c>
      <c r="AC100">
        <v>332.48</v>
      </c>
      <c r="AD100">
        <v>0</v>
      </c>
      <c r="AE100">
        <v>0</v>
      </c>
      <c r="AF100">
        <v>99.89</v>
      </c>
      <c r="AG100">
        <v>10.06</v>
      </c>
      <c r="AH100">
        <v>0</v>
      </c>
      <c r="AI100">
        <v>1</v>
      </c>
      <c r="AJ100">
        <v>9.02</v>
      </c>
      <c r="AK100">
        <v>33.049999999999997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4.29</v>
      </c>
      <c r="AU100" t="s">
        <v>100</v>
      </c>
      <c r="AV100">
        <v>0</v>
      </c>
      <c r="AW100">
        <v>2</v>
      </c>
      <c r="AX100">
        <v>36151343</v>
      </c>
      <c r="AY100">
        <v>1</v>
      </c>
      <c r="AZ100">
        <v>0</v>
      </c>
      <c r="BA100">
        <v>103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Y100*Source!I82</f>
        <v>0.16087499999999999</v>
      </c>
      <c r="CY100">
        <f>AB100</f>
        <v>901.01</v>
      </c>
      <c r="CZ100">
        <f>AF100</f>
        <v>99.89</v>
      </c>
      <c r="DA100">
        <f>AJ100</f>
        <v>9.02</v>
      </c>
      <c r="DB100">
        <f>ROUND((ROUND(AT100*CZ100,2)*1.25),6)</f>
        <v>535.66250000000002</v>
      </c>
      <c r="DC100">
        <f>ROUND((ROUND(AT100*AG100,2)*1.25),6)</f>
        <v>53.95</v>
      </c>
    </row>
    <row r="101" spans="1:107">
      <c r="A101">
        <f>ROW(Source!A82)</f>
        <v>82</v>
      </c>
      <c r="B101">
        <v>34132744</v>
      </c>
      <c r="C101">
        <v>36151340</v>
      </c>
      <c r="D101">
        <v>29173182</v>
      </c>
      <c r="E101">
        <v>1</v>
      </c>
      <c r="F101">
        <v>1</v>
      </c>
      <c r="G101">
        <v>1</v>
      </c>
      <c r="H101">
        <v>2</v>
      </c>
      <c r="I101" t="s">
        <v>528</v>
      </c>
      <c r="J101" t="s">
        <v>529</v>
      </c>
      <c r="K101" t="s">
        <v>530</v>
      </c>
      <c r="L101">
        <v>1368</v>
      </c>
      <c r="N101">
        <v>1011</v>
      </c>
      <c r="O101" t="s">
        <v>331</v>
      </c>
      <c r="P101" t="s">
        <v>331</v>
      </c>
      <c r="Q101">
        <v>1</v>
      </c>
      <c r="W101">
        <v>0</v>
      </c>
      <c r="X101">
        <v>-1028798752</v>
      </c>
      <c r="Y101">
        <v>2.2124999999999999</v>
      </c>
      <c r="AA101">
        <v>0</v>
      </c>
      <c r="AB101">
        <v>1195.56</v>
      </c>
      <c r="AC101">
        <v>446.18</v>
      </c>
      <c r="AD101">
        <v>0</v>
      </c>
      <c r="AE101">
        <v>0</v>
      </c>
      <c r="AF101">
        <v>123</v>
      </c>
      <c r="AG101">
        <v>13.5</v>
      </c>
      <c r="AH101">
        <v>0</v>
      </c>
      <c r="AI101">
        <v>1</v>
      </c>
      <c r="AJ101">
        <v>9.7200000000000006</v>
      </c>
      <c r="AK101">
        <v>33.049999999999997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1.77</v>
      </c>
      <c r="AU101" t="s">
        <v>100</v>
      </c>
      <c r="AV101">
        <v>0</v>
      </c>
      <c r="AW101">
        <v>2</v>
      </c>
      <c r="AX101">
        <v>36151344</v>
      </c>
      <c r="AY101">
        <v>1</v>
      </c>
      <c r="AZ101">
        <v>0</v>
      </c>
      <c r="BA101">
        <v>104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Y101*Source!I82</f>
        <v>6.637499999999999E-2</v>
      </c>
      <c r="CY101">
        <f>AB101</f>
        <v>1195.56</v>
      </c>
      <c r="CZ101">
        <f>AF101</f>
        <v>123</v>
      </c>
      <c r="DA101">
        <f>AJ101</f>
        <v>9.7200000000000006</v>
      </c>
      <c r="DB101">
        <f>ROUND((ROUND(AT101*CZ101,2)*1.25),6)</f>
        <v>272.13749999999999</v>
      </c>
      <c r="DC101">
        <f>ROUND((ROUND(AT101*AG101,2)*1.25),6)</f>
        <v>29.875</v>
      </c>
    </row>
    <row r="102" spans="1:107">
      <c r="A102">
        <f>ROW(Source!A82)</f>
        <v>82</v>
      </c>
      <c r="B102">
        <v>34132744</v>
      </c>
      <c r="C102">
        <v>36151340</v>
      </c>
      <c r="D102">
        <v>29173232</v>
      </c>
      <c r="E102">
        <v>1</v>
      </c>
      <c r="F102">
        <v>1</v>
      </c>
      <c r="G102">
        <v>1</v>
      </c>
      <c r="H102">
        <v>2</v>
      </c>
      <c r="I102" t="s">
        <v>531</v>
      </c>
      <c r="J102" t="s">
        <v>532</v>
      </c>
      <c r="K102" t="s">
        <v>533</v>
      </c>
      <c r="L102">
        <v>1368</v>
      </c>
      <c r="N102">
        <v>1011</v>
      </c>
      <c r="O102" t="s">
        <v>331</v>
      </c>
      <c r="P102" t="s">
        <v>331</v>
      </c>
      <c r="Q102">
        <v>1</v>
      </c>
      <c r="W102">
        <v>0</v>
      </c>
      <c r="X102">
        <v>210613092</v>
      </c>
      <c r="Y102">
        <v>8.85</v>
      </c>
      <c r="AA102">
        <v>0</v>
      </c>
      <c r="AB102">
        <v>1310.22</v>
      </c>
      <c r="AC102">
        <v>475.92</v>
      </c>
      <c r="AD102">
        <v>0</v>
      </c>
      <c r="AE102">
        <v>0</v>
      </c>
      <c r="AF102">
        <v>206.01</v>
      </c>
      <c r="AG102">
        <v>14.4</v>
      </c>
      <c r="AH102">
        <v>0</v>
      </c>
      <c r="AI102">
        <v>1</v>
      </c>
      <c r="AJ102">
        <v>6.36</v>
      </c>
      <c r="AK102">
        <v>33.049999999999997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7.08</v>
      </c>
      <c r="AU102" t="s">
        <v>100</v>
      </c>
      <c r="AV102">
        <v>0</v>
      </c>
      <c r="AW102">
        <v>2</v>
      </c>
      <c r="AX102">
        <v>36151345</v>
      </c>
      <c r="AY102">
        <v>1</v>
      </c>
      <c r="AZ102">
        <v>0</v>
      </c>
      <c r="BA102">
        <v>105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Y102*Source!I82</f>
        <v>0.26549999999999996</v>
      </c>
      <c r="CY102">
        <f>AB102</f>
        <v>1310.22</v>
      </c>
      <c r="CZ102">
        <f>AF102</f>
        <v>206.01</v>
      </c>
      <c r="DA102">
        <f>AJ102</f>
        <v>6.36</v>
      </c>
      <c r="DB102">
        <f>ROUND((ROUND(AT102*CZ102,2)*1.25),6)</f>
        <v>1823.1875</v>
      </c>
      <c r="DC102">
        <f>ROUND((ROUND(AT102*AG102,2)*1.25),6)</f>
        <v>127.4375</v>
      </c>
    </row>
    <row r="103" spans="1:107">
      <c r="A103">
        <f>ROW(Source!A82)</f>
        <v>82</v>
      </c>
      <c r="B103">
        <v>34132744</v>
      </c>
      <c r="C103">
        <v>36151340</v>
      </c>
      <c r="D103">
        <v>29173290</v>
      </c>
      <c r="E103">
        <v>1</v>
      </c>
      <c r="F103">
        <v>1</v>
      </c>
      <c r="G103">
        <v>1</v>
      </c>
      <c r="H103">
        <v>2</v>
      </c>
      <c r="I103" t="s">
        <v>534</v>
      </c>
      <c r="J103" t="s">
        <v>535</v>
      </c>
      <c r="K103" t="s">
        <v>536</v>
      </c>
      <c r="L103">
        <v>1368</v>
      </c>
      <c r="N103">
        <v>1011</v>
      </c>
      <c r="O103" t="s">
        <v>331</v>
      </c>
      <c r="P103" t="s">
        <v>331</v>
      </c>
      <c r="Q103">
        <v>1</v>
      </c>
      <c r="W103">
        <v>0</v>
      </c>
      <c r="X103">
        <v>1215952164</v>
      </c>
      <c r="Y103">
        <v>0.92500000000000004</v>
      </c>
      <c r="AA103">
        <v>0</v>
      </c>
      <c r="AB103">
        <v>930.6</v>
      </c>
      <c r="AC103">
        <v>383.38</v>
      </c>
      <c r="AD103">
        <v>0</v>
      </c>
      <c r="AE103">
        <v>0</v>
      </c>
      <c r="AF103">
        <v>110</v>
      </c>
      <c r="AG103">
        <v>11.6</v>
      </c>
      <c r="AH103">
        <v>0</v>
      </c>
      <c r="AI103">
        <v>1</v>
      </c>
      <c r="AJ103">
        <v>8.4600000000000009</v>
      </c>
      <c r="AK103">
        <v>33.049999999999997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0.74</v>
      </c>
      <c r="AU103" t="s">
        <v>100</v>
      </c>
      <c r="AV103">
        <v>0</v>
      </c>
      <c r="AW103">
        <v>2</v>
      </c>
      <c r="AX103">
        <v>36151346</v>
      </c>
      <c r="AY103">
        <v>1</v>
      </c>
      <c r="AZ103">
        <v>0</v>
      </c>
      <c r="BA103">
        <v>106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Y103*Source!I82</f>
        <v>2.775E-2</v>
      </c>
      <c r="CY103">
        <f>AB103</f>
        <v>930.6</v>
      </c>
      <c r="CZ103">
        <f>AF103</f>
        <v>110</v>
      </c>
      <c r="DA103">
        <f>AJ103</f>
        <v>8.4600000000000009</v>
      </c>
      <c r="DB103">
        <f>ROUND((ROUND(AT103*CZ103,2)*1.25),6)</f>
        <v>101.75</v>
      </c>
      <c r="DC103">
        <f>ROUND((ROUND(AT103*AG103,2)*1.25),6)</f>
        <v>10.725</v>
      </c>
    </row>
    <row r="104" spans="1:107">
      <c r="A104">
        <f>ROW(Source!A82)</f>
        <v>82</v>
      </c>
      <c r="B104">
        <v>34132744</v>
      </c>
      <c r="C104">
        <v>36151340</v>
      </c>
      <c r="D104">
        <v>29149619</v>
      </c>
      <c r="E104">
        <v>1</v>
      </c>
      <c r="F104">
        <v>1</v>
      </c>
      <c r="G104">
        <v>1</v>
      </c>
      <c r="H104">
        <v>3</v>
      </c>
      <c r="I104" t="s">
        <v>180</v>
      </c>
      <c r="J104" t="s">
        <v>183</v>
      </c>
      <c r="K104" t="s">
        <v>181</v>
      </c>
      <c r="L104">
        <v>1339</v>
      </c>
      <c r="N104">
        <v>1007</v>
      </c>
      <c r="O104" t="s">
        <v>182</v>
      </c>
      <c r="P104" t="s">
        <v>182</v>
      </c>
      <c r="Q104">
        <v>1</v>
      </c>
      <c r="W104">
        <v>0</v>
      </c>
      <c r="X104">
        <v>2137520540</v>
      </c>
      <c r="Y104">
        <v>1</v>
      </c>
      <c r="AA104">
        <v>562.22</v>
      </c>
      <c r="AB104">
        <v>0</v>
      </c>
      <c r="AC104">
        <v>0</v>
      </c>
      <c r="AD104">
        <v>0</v>
      </c>
      <c r="AE104">
        <v>55.12</v>
      </c>
      <c r="AF104">
        <v>0</v>
      </c>
      <c r="AG104">
        <v>0</v>
      </c>
      <c r="AH104">
        <v>0</v>
      </c>
      <c r="AI104">
        <v>10.199999999999999</v>
      </c>
      <c r="AJ104">
        <v>1</v>
      </c>
      <c r="AK104">
        <v>1</v>
      </c>
      <c r="AL104">
        <v>1</v>
      </c>
      <c r="AN104">
        <v>0</v>
      </c>
      <c r="AO104">
        <v>0</v>
      </c>
      <c r="AP104">
        <v>0</v>
      </c>
      <c r="AQ104">
        <v>0</v>
      </c>
      <c r="AR104">
        <v>0</v>
      </c>
      <c r="AS104" t="s">
        <v>3</v>
      </c>
      <c r="AT104">
        <v>1</v>
      </c>
      <c r="AU104" t="s">
        <v>3</v>
      </c>
      <c r="AV104">
        <v>0</v>
      </c>
      <c r="AW104">
        <v>1</v>
      </c>
      <c r="AX104">
        <v>-1</v>
      </c>
      <c r="AY104">
        <v>0</v>
      </c>
      <c r="AZ104">
        <v>0</v>
      </c>
      <c r="BA104" t="s">
        <v>3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Y104*Source!I82</f>
        <v>0.03</v>
      </c>
      <c r="CY104">
        <f>AA104</f>
        <v>562.22</v>
      </c>
      <c r="CZ104">
        <f>AE104</f>
        <v>55.12</v>
      </c>
      <c r="DA104">
        <f>AI104</f>
        <v>10.199999999999999</v>
      </c>
      <c r="DB104">
        <f>ROUND(ROUND(AT104*CZ104,2),6)</f>
        <v>55.12</v>
      </c>
      <c r="DC104">
        <f>ROUND(ROUND(AT104*AG104,2),6)</f>
        <v>0</v>
      </c>
    </row>
    <row r="105" spans="1:107">
      <c r="A105">
        <f>ROW(Source!A82)</f>
        <v>82</v>
      </c>
      <c r="B105">
        <v>34132744</v>
      </c>
      <c r="C105">
        <v>36151340</v>
      </c>
      <c r="D105">
        <v>29150040</v>
      </c>
      <c r="E105">
        <v>1</v>
      </c>
      <c r="F105">
        <v>1</v>
      </c>
      <c r="G105">
        <v>1</v>
      </c>
      <c r="H105">
        <v>3</v>
      </c>
      <c r="I105" t="s">
        <v>520</v>
      </c>
      <c r="J105" t="s">
        <v>521</v>
      </c>
      <c r="K105" t="s">
        <v>522</v>
      </c>
      <c r="L105">
        <v>1339</v>
      </c>
      <c r="N105">
        <v>1007</v>
      </c>
      <c r="O105" t="s">
        <v>182</v>
      </c>
      <c r="P105" t="s">
        <v>182</v>
      </c>
      <c r="Q105">
        <v>1</v>
      </c>
      <c r="W105">
        <v>0</v>
      </c>
      <c r="X105">
        <v>693153122</v>
      </c>
      <c r="Y105">
        <v>5</v>
      </c>
      <c r="AA105">
        <v>22.2</v>
      </c>
      <c r="AB105">
        <v>0</v>
      </c>
      <c r="AC105">
        <v>0</v>
      </c>
      <c r="AD105">
        <v>0</v>
      </c>
      <c r="AE105">
        <v>2.44</v>
      </c>
      <c r="AF105">
        <v>0</v>
      </c>
      <c r="AG105">
        <v>0</v>
      </c>
      <c r="AH105">
        <v>0</v>
      </c>
      <c r="AI105">
        <v>9.1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5</v>
      </c>
      <c r="AU105" t="s">
        <v>3</v>
      </c>
      <c r="AV105">
        <v>0</v>
      </c>
      <c r="AW105">
        <v>2</v>
      </c>
      <c r="AX105">
        <v>36151348</v>
      </c>
      <c r="AY105">
        <v>1</v>
      </c>
      <c r="AZ105">
        <v>0</v>
      </c>
      <c r="BA105">
        <v>108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Y105*Source!I82</f>
        <v>0.15</v>
      </c>
      <c r="CY105">
        <f>AA105</f>
        <v>22.2</v>
      </c>
      <c r="CZ105">
        <f>AE105</f>
        <v>2.44</v>
      </c>
      <c r="DA105">
        <f>AI105</f>
        <v>9.1</v>
      </c>
      <c r="DB105">
        <f>ROUND(ROUND(AT105*CZ105,2),6)</f>
        <v>12.2</v>
      </c>
      <c r="DC105">
        <f>ROUND(ROUND(AT105*AG105,2),6)</f>
        <v>0</v>
      </c>
    </row>
    <row r="106" spans="1:107">
      <c r="A106">
        <f>ROW(Source!A84)</f>
        <v>84</v>
      </c>
      <c r="B106">
        <v>34132744</v>
      </c>
      <c r="C106">
        <v>36167822</v>
      </c>
      <c r="D106">
        <v>18408291</v>
      </c>
      <c r="E106">
        <v>1</v>
      </c>
      <c r="F106">
        <v>1</v>
      </c>
      <c r="G106">
        <v>1</v>
      </c>
      <c r="H106">
        <v>1</v>
      </c>
      <c r="I106" t="s">
        <v>537</v>
      </c>
      <c r="J106" t="s">
        <v>3</v>
      </c>
      <c r="K106" t="s">
        <v>538</v>
      </c>
      <c r="L106">
        <v>1369</v>
      </c>
      <c r="N106">
        <v>1013</v>
      </c>
      <c r="O106" t="s">
        <v>323</v>
      </c>
      <c r="P106" t="s">
        <v>323</v>
      </c>
      <c r="Q106">
        <v>1</v>
      </c>
      <c r="W106">
        <v>0</v>
      </c>
      <c r="X106">
        <v>1933892413</v>
      </c>
      <c r="Y106">
        <v>48.76</v>
      </c>
      <c r="AA106">
        <v>0</v>
      </c>
      <c r="AB106">
        <v>0</v>
      </c>
      <c r="AC106">
        <v>0</v>
      </c>
      <c r="AD106">
        <v>266.75</v>
      </c>
      <c r="AE106">
        <v>0</v>
      </c>
      <c r="AF106">
        <v>0</v>
      </c>
      <c r="AG106">
        <v>0</v>
      </c>
      <c r="AH106">
        <v>266.75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42.4</v>
      </c>
      <c r="AU106" t="s">
        <v>101</v>
      </c>
      <c r="AV106">
        <v>1</v>
      </c>
      <c r="AW106">
        <v>2</v>
      </c>
      <c r="AX106">
        <v>36167836</v>
      </c>
      <c r="AY106">
        <v>1</v>
      </c>
      <c r="AZ106">
        <v>0</v>
      </c>
      <c r="BA106">
        <v>109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Y106*Source!I84</f>
        <v>10.7272</v>
      </c>
      <c r="CY106">
        <f>AD106</f>
        <v>266.75</v>
      </c>
      <c r="CZ106">
        <f>AH106</f>
        <v>266.75</v>
      </c>
      <c r="DA106">
        <f>AL106</f>
        <v>1</v>
      </c>
      <c r="DB106">
        <f>ROUND((ROUND(AT106*CZ106,2)*1.15),6)</f>
        <v>13006.73</v>
      </c>
      <c r="DC106">
        <f>ROUND((ROUND(AT106*AG106,2)*1.15),6)</f>
        <v>0</v>
      </c>
    </row>
    <row r="107" spans="1:107">
      <c r="A107">
        <f>ROW(Source!A84)</f>
        <v>84</v>
      </c>
      <c r="B107">
        <v>34132744</v>
      </c>
      <c r="C107">
        <v>36167822</v>
      </c>
      <c r="D107">
        <v>121548</v>
      </c>
      <c r="E107">
        <v>1</v>
      </c>
      <c r="F107">
        <v>1</v>
      </c>
      <c r="G107">
        <v>1</v>
      </c>
      <c r="H107">
        <v>1</v>
      </c>
      <c r="I107" t="s">
        <v>28</v>
      </c>
      <c r="J107" t="s">
        <v>3</v>
      </c>
      <c r="K107" t="s">
        <v>326</v>
      </c>
      <c r="L107">
        <v>608254</v>
      </c>
      <c r="N107">
        <v>1013</v>
      </c>
      <c r="O107" t="s">
        <v>327</v>
      </c>
      <c r="P107" t="s">
        <v>327</v>
      </c>
      <c r="Q107">
        <v>1</v>
      </c>
      <c r="W107">
        <v>0</v>
      </c>
      <c r="X107">
        <v>-185737400</v>
      </c>
      <c r="Y107">
        <v>0.52500000000000002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0.42</v>
      </c>
      <c r="AU107" t="s">
        <v>100</v>
      </c>
      <c r="AV107">
        <v>2</v>
      </c>
      <c r="AW107">
        <v>2</v>
      </c>
      <c r="AX107">
        <v>36167837</v>
      </c>
      <c r="AY107">
        <v>1</v>
      </c>
      <c r="AZ107">
        <v>0</v>
      </c>
      <c r="BA107">
        <v>110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Y107*Source!I84</f>
        <v>0.11550000000000001</v>
      </c>
      <c r="CY107">
        <f>AD107</f>
        <v>0</v>
      </c>
      <c r="CZ107">
        <f>AH107</f>
        <v>0</v>
      </c>
      <c r="DA107">
        <f>AL107</f>
        <v>1</v>
      </c>
      <c r="DB107">
        <f>ROUND((ROUND(AT107*CZ107,2)*1.25),6)</f>
        <v>0</v>
      </c>
      <c r="DC107">
        <f>ROUND((ROUND(AT107*AG107,2)*1.25),6)</f>
        <v>0</v>
      </c>
    </row>
    <row r="108" spans="1:107">
      <c r="A108">
        <f>ROW(Source!A84)</f>
        <v>84</v>
      </c>
      <c r="B108">
        <v>34132744</v>
      </c>
      <c r="C108">
        <v>36167822</v>
      </c>
      <c r="D108">
        <v>29172379</v>
      </c>
      <c r="E108">
        <v>1</v>
      </c>
      <c r="F108">
        <v>1</v>
      </c>
      <c r="G108">
        <v>1</v>
      </c>
      <c r="H108">
        <v>2</v>
      </c>
      <c r="I108" t="s">
        <v>359</v>
      </c>
      <c r="J108" t="s">
        <v>360</v>
      </c>
      <c r="K108" t="s">
        <v>361</v>
      </c>
      <c r="L108">
        <v>1368</v>
      </c>
      <c r="N108">
        <v>1011</v>
      </c>
      <c r="O108" t="s">
        <v>331</v>
      </c>
      <c r="P108" t="s">
        <v>331</v>
      </c>
      <c r="Q108">
        <v>1</v>
      </c>
      <c r="W108">
        <v>0</v>
      </c>
      <c r="X108">
        <v>-151619853</v>
      </c>
      <c r="Y108">
        <v>0.51249999999999996</v>
      </c>
      <c r="AA108">
        <v>0</v>
      </c>
      <c r="AB108">
        <v>1102.08</v>
      </c>
      <c r="AC108">
        <v>446.18</v>
      </c>
      <c r="AD108">
        <v>0</v>
      </c>
      <c r="AE108">
        <v>0</v>
      </c>
      <c r="AF108">
        <v>112</v>
      </c>
      <c r="AG108">
        <v>13.5</v>
      </c>
      <c r="AH108">
        <v>0</v>
      </c>
      <c r="AI108">
        <v>1</v>
      </c>
      <c r="AJ108">
        <v>9.84</v>
      </c>
      <c r="AK108">
        <v>33.049999999999997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0.41</v>
      </c>
      <c r="AU108" t="s">
        <v>100</v>
      </c>
      <c r="AV108">
        <v>0</v>
      </c>
      <c r="AW108">
        <v>2</v>
      </c>
      <c r="AX108">
        <v>36167838</v>
      </c>
      <c r="AY108">
        <v>1</v>
      </c>
      <c r="AZ108">
        <v>0</v>
      </c>
      <c r="BA108">
        <v>111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Y108*Source!I84</f>
        <v>0.11274999999999999</v>
      </c>
      <c r="CY108">
        <f>AB108</f>
        <v>1102.08</v>
      </c>
      <c r="CZ108">
        <f>AF108</f>
        <v>112</v>
      </c>
      <c r="DA108">
        <f>AJ108</f>
        <v>9.84</v>
      </c>
      <c r="DB108">
        <f>ROUND((ROUND(AT108*CZ108,2)*1.25),6)</f>
        <v>57.4</v>
      </c>
      <c r="DC108">
        <f>ROUND((ROUND(AT108*AG108,2)*1.25),6)</f>
        <v>6.9249999999999998</v>
      </c>
    </row>
    <row r="109" spans="1:107">
      <c r="A109">
        <f>ROW(Source!A84)</f>
        <v>84</v>
      </c>
      <c r="B109">
        <v>34132744</v>
      </c>
      <c r="C109">
        <v>36167822</v>
      </c>
      <c r="D109">
        <v>29172479</v>
      </c>
      <c r="E109">
        <v>1</v>
      </c>
      <c r="F109">
        <v>1</v>
      </c>
      <c r="G109">
        <v>1</v>
      </c>
      <c r="H109">
        <v>2</v>
      </c>
      <c r="I109" t="s">
        <v>525</v>
      </c>
      <c r="J109" t="s">
        <v>526</v>
      </c>
      <c r="K109" t="s">
        <v>527</v>
      </c>
      <c r="L109">
        <v>1368</v>
      </c>
      <c r="N109">
        <v>1011</v>
      </c>
      <c r="O109" t="s">
        <v>331</v>
      </c>
      <c r="P109" t="s">
        <v>331</v>
      </c>
      <c r="Q109">
        <v>1</v>
      </c>
      <c r="W109">
        <v>0</v>
      </c>
      <c r="X109">
        <v>-996378858</v>
      </c>
      <c r="Y109">
        <v>1.2500000000000001E-2</v>
      </c>
      <c r="AA109">
        <v>0</v>
      </c>
      <c r="AB109">
        <v>901.01</v>
      </c>
      <c r="AC109">
        <v>332.48</v>
      </c>
      <c r="AD109">
        <v>0</v>
      </c>
      <c r="AE109">
        <v>0</v>
      </c>
      <c r="AF109">
        <v>99.89</v>
      </c>
      <c r="AG109">
        <v>10.06</v>
      </c>
      <c r="AH109">
        <v>0</v>
      </c>
      <c r="AI109">
        <v>1</v>
      </c>
      <c r="AJ109">
        <v>9.02</v>
      </c>
      <c r="AK109">
        <v>33.049999999999997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0.01</v>
      </c>
      <c r="AU109" t="s">
        <v>100</v>
      </c>
      <c r="AV109">
        <v>0</v>
      </c>
      <c r="AW109">
        <v>2</v>
      </c>
      <c r="AX109">
        <v>36167839</v>
      </c>
      <c r="AY109">
        <v>1</v>
      </c>
      <c r="AZ109">
        <v>0</v>
      </c>
      <c r="BA109">
        <v>112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Y109*Source!I84</f>
        <v>2.7500000000000003E-3</v>
      </c>
      <c r="CY109">
        <f>AB109</f>
        <v>901.01</v>
      </c>
      <c r="CZ109">
        <f>AF109</f>
        <v>99.89</v>
      </c>
      <c r="DA109">
        <f>AJ109</f>
        <v>9.02</v>
      </c>
      <c r="DB109">
        <f>ROUND((ROUND(AT109*CZ109,2)*1.25),6)</f>
        <v>1.25</v>
      </c>
      <c r="DC109">
        <f>ROUND((ROUND(AT109*AG109,2)*1.25),6)</f>
        <v>0.125</v>
      </c>
    </row>
    <row r="110" spans="1:107">
      <c r="A110">
        <f>ROW(Source!A84)</f>
        <v>84</v>
      </c>
      <c r="B110">
        <v>34132744</v>
      </c>
      <c r="C110">
        <v>36167822</v>
      </c>
      <c r="D110">
        <v>29173360</v>
      </c>
      <c r="E110">
        <v>1</v>
      </c>
      <c r="F110">
        <v>1</v>
      </c>
      <c r="G110">
        <v>1</v>
      </c>
      <c r="H110">
        <v>2</v>
      </c>
      <c r="I110" t="s">
        <v>539</v>
      </c>
      <c r="J110" t="s">
        <v>540</v>
      </c>
      <c r="K110" t="s">
        <v>541</v>
      </c>
      <c r="L110">
        <v>1368</v>
      </c>
      <c r="N110">
        <v>1011</v>
      </c>
      <c r="O110" t="s">
        <v>331</v>
      </c>
      <c r="P110" t="s">
        <v>331</v>
      </c>
      <c r="Q110">
        <v>1</v>
      </c>
      <c r="W110">
        <v>0</v>
      </c>
      <c r="X110">
        <v>-1550902297</v>
      </c>
      <c r="Y110">
        <v>6.4124999999999996</v>
      </c>
      <c r="AA110">
        <v>0</v>
      </c>
      <c r="AB110">
        <v>381</v>
      </c>
      <c r="AC110">
        <v>0</v>
      </c>
      <c r="AD110">
        <v>0</v>
      </c>
      <c r="AE110">
        <v>0</v>
      </c>
      <c r="AF110">
        <v>60</v>
      </c>
      <c r="AG110">
        <v>0</v>
      </c>
      <c r="AH110">
        <v>0</v>
      </c>
      <c r="AI110">
        <v>1</v>
      </c>
      <c r="AJ110">
        <v>6.35</v>
      </c>
      <c r="AK110">
        <v>33.049999999999997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5.13</v>
      </c>
      <c r="AU110" t="s">
        <v>100</v>
      </c>
      <c r="AV110">
        <v>0</v>
      </c>
      <c r="AW110">
        <v>2</v>
      </c>
      <c r="AX110">
        <v>36167840</v>
      </c>
      <c r="AY110">
        <v>1</v>
      </c>
      <c r="AZ110">
        <v>0</v>
      </c>
      <c r="BA110">
        <v>113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Y110*Source!I84</f>
        <v>1.4107499999999999</v>
      </c>
      <c r="CY110">
        <f>AB110</f>
        <v>381</v>
      </c>
      <c r="CZ110">
        <f>AF110</f>
        <v>60</v>
      </c>
      <c r="DA110">
        <f>AJ110</f>
        <v>6.35</v>
      </c>
      <c r="DB110">
        <f>ROUND((ROUND(AT110*CZ110,2)*1.25),6)</f>
        <v>384.75</v>
      </c>
      <c r="DC110">
        <f>ROUND((ROUND(AT110*AG110,2)*1.25),6)</f>
        <v>0</v>
      </c>
    </row>
    <row r="111" spans="1:107">
      <c r="A111">
        <f>ROW(Source!A84)</f>
        <v>84</v>
      </c>
      <c r="B111">
        <v>34132744</v>
      </c>
      <c r="C111">
        <v>36167822</v>
      </c>
      <c r="D111">
        <v>29174913</v>
      </c>
      <c r="E111">
        <v>1</v>
      </c>
      <c r="F111">
        <v>1</v>
      </c>
      <c r="G111">
        <v>1</v>
      </c>
      <c r="H111">
        <v>2</v>
      </c>
      <c r="I111" t="s">
        <v>342</v>
      </c>
      <c r="J111" t="s">
        <v>343</v>
      </c>
      <c r="K111" t="s">
        <v>344</v>
      </c>
      <c r="L111">
        <v>1368</v>
      </c>
      <c r="N111">
        <v>1011</v>
      </c>
      <c r="O111" t="s">
        <v>331</v>
      </c>
      <c r="P111" t="s">
        <v>331</v>
      </c>
      <c r="Q111">
        <v>1</v>
      </c>
      <c r="W111">
        <v>0</v>
      </c>
      <c r="X111">
        <v>458544584</v>
      </c>
      <c r="Y111">
        <v>0.70000000000000007</v>
      </c>
      <c r="AA111">
        <v>0</v>
      </c>
      <c r="AB111">
        <v>932.72</v>
      </c>
      <c r="AC111">
        <v>383.38</v>
      </c>
      <c r="AD111">
        <v>0</v>
      </c>
      <c r="AE111">
        <v>0</v>
      </c>
      <c r="AF111">
        <v>87.17</v>
      </c>
      <c r="AG111">
        <v>11.6</v>
      </c>
      <c r="AH111">
        <v>0</v>
      </c>
      <c r="AI111">
        <v>1</v>
      </c>
      <c r="AJ111">
        <v>10.7</v>
      </c>
      <c r="AK111">
        <v>33.049999999999997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0.56000000000000005</v>
      </c>
      <c r="AU111" t="s">
        <v>100</v>
      </c>
      <c r="AV111">
        <v>0</v>
      </c>
      <c r="AW111">
        <v>2</v>
      </c>
      <c r="AX111">
        <v>36167841</v>
      </c>
      <c r="AY111">
        <v>1</v>
      </c>
      <c r="AZ111">
        <v>0</v>
      </c>
      <c r="BA111">
        <v>114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Y111*Source!I84</f>
        <v>0.15400000000000003</v>
      </c>
      <c r="CY111">
        <f>AB111</f>
        <v>932.72</v>
      </c>
      <c r="CZ111">
        <f>AF111</f>
        <v>87.17</v>
      </c>
      <c r="DA111">
        <f>AJ111</f>
        <v>10.7</v>
      </c>
      <c r="DB111">
        <f>ROUND((ROUND(AT111*CZ111,2)*1.25),6)</f>
        <v>61.024999999999999</v>
      </c>
      <c r="DC111">
        <f>ROUND((ROUND(AT111*AG111,2)*1.25),6)</f>
        <v>8.125</v>
      </c>
    </row>
    <row r="112" spans="1:107">
      <c r="A112">
        <f>ROW(Source!A84)</f>
        <v>84</v>
      </c>
      <c r="B112">
        <v>34132744</v>
      </c>
      <c r="C112">
        <v>36167822</v>
      </c>
      <c r="D112">
        <v>29145815</v>
      </c>
      <c r="E112">
        <v>1</v>
      </c>
      <c r="F112">
        <v>1</v>
      </c>
      <c r="G112">
        <v>1</v>
      </c>
      <c r="H112">
        <v>3</v>
      </c>
      <c r="I112" t="s">
        <v>542</v>
      </c>
      <c r="J112" t="s">
        <v>543</v>
      </c>
      <c r="K112" t="s">
        <v>544</v>
      </c>
      <c r="L112">
        <v>1327</v>
      </c>
      <c r="N112">
        <v>1005</v>
      </c>
      <c r="O112" t="s">
        <v>140</v>
      </c>
      <c r="P112" t="s">
        <v>140</v>
      </c>
      <c r="Q112">
        <v>1</v>
      </c>
      <c r="W112">
        <v>0</v>
      </c>
      <c r="X112">
        <v>1539297786</v>
      </c>
      <c r="Y112">
        <v>100</v>
      </c>
      <c r="AA112">
        <v>314.05</v>
      </c>
      <c r="AB112">
        <v>0</v>
      </c>
      <c r="AC112">
        <v>0</v>
      </c>
      <c r="AD112">
        <v>0</v>
      </c>
      <c r="AE112">
        <v>70.099999999999994</v>
      </c>
      <c r="AF112">
        <v>0</v>
      </c>
      <c r="AG112">
        <v>0</v>
      </c>
      <c r="AH112">
        <v>0</v>
      </c>
      <c r="AI112">
        <v>4.4800000000000004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100</v>
      </c>
      <c r="AU112" t="s">
        <v>3</v>
      </c>
      <c r="AV112">
        <v>0</v>
      </c>
      <c r="AW112">
        <v>2</v>
      </c>
      <c r="AX112">
        <v>36167842</v>
      </c>
      <c r="AY112">
        <v>1</v>
      </c>
      <c r="AZ112">
        <v>0</v>
      </c>
      <c r="BA112">
        <v>115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Y112*Source!I84</f>
        <v>22</v>
      </c>
      <c r="CY112">
        <f>AA112</f>
        <v>314.05</v>
      </c>
      <c r="CZ112">
        <f>AE112</f>
        <v>70.099999999999994</v>
      </c>
      <c r="DA112">
        <f>AI112</f>
        <v>4.4800000000000004</v>
      </c>
      <c r="DB112">
        <f t="shared" ref="DB112:DB119" si="17">ROUND(ROUND(AT112*CZ112,2),6)</f>
        <v>7010</v>
      </c>
      <c r="DC112">
        <f t="shared" ref="DC112:DC119" si="18">ROUND(ROUND(AT112*AG112,2),6)</f>
        <v>0</v>
      </c>
    </row>
    <row r="113" spans="1:107">
      <c r="A113">
        <f>ROW(Source!A84)</f>
        <v>84</v>
      </c>
      <c r="B113">
        <v>34132744</v>
      </c>
      <c r="C113">
        <v>36167822</v>
      </c>
      <c r="D113">
        <v>29149421</v>
      </c>
      <c r="E113">
        <v>1</v>
      </c>
      <c r="F113">
        <v>1</v>
      </c>
      <c r="G113">
        <v>1</v>
      </c>
      <c r="H113">
        <v>3</v>
      </c>
      <c r="I113" t="s">
        <v>190</v>
      </c>
      <c r="J113" t="s">
        <v>192</v>
      </c>
      <c r="K113" t="s">
        <v>191</v>
      </c>
      <c r="L113">
        <v>1339</v>
      </c>
      <c r="N113">
        <v>1007</v>
      </c>
      <c r="O113" t="s">
        <v>182</v>
      </c>
      <c r="P113" t="s">
        <v>182</v>
      </c>
      <c r="Q113">
        <v>1</v>
      </c>
      <c r="W113">
        <v>0</v>
      </c>
      <c r="X113">
        <v>-103102022</v>
      </c>
      <c r="Y113">
        <v>5</v>
      </c>
      <c r="AA113">
        <v>3173.93</v>
      </c>
      <c r="AB113">
        <v>0</v>
      </c>
      <c r="AC113">
        <v>0</v>
      </c>
      <c r="AD113">
        <v>0</v>
      </c>
      <c r="AE113">
        <v>295.8</v>
      </c>
      <c r="AF113">
        <v>0</v>
      </c>
      <c r="AG113">
        <v>0</v>
      </c>
      <c r="AH113">
        <v>0</v>
      </c>
      <c r="AI113">
        <v>10.73</v>
      </c>
      <c r="AJ113">
        <v>1</v>
      </c>
      <c r="AK113">
        <v>1</v>
      </c>
      <c r="AL113">
        <v>1</v>
      </c>
      <c r="AN113">
        <v>0</v>
      </c>
      <c r="AO113">
        <v>0</v>
      </c>
      <c r="AP113">
        <v>0</v>
      </c>
      <c r="AQ113">
        <v>0</v>
      </c>
      <c r="AR113">
        <v>0</v>
      </c>
      <c r="AS113" t="s">
        <v>3</v>
      </c>
      <c r="AT113">
        <v>5</v>
      </c>
      <c r="AU113" t="s">
        <v>3</v>
      </c>
      <c r="AV113">
        <v>0</v>
      </c>
      <c r="AW113">
        <v>1</v>
      </c>
      <c r="AX113">
        <v>-1</v>
      </c>
      <c r="AY113">
        <v>0</v>
      </c>
      <c r="AZ113">
        <v>0</v>
      </c>
      <c r="BA113" t="s">
        <v>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Y113*Source!I84</f>
        <v>1.1000000000000001</v>
      </c>
      <c r="CY113">
        <f>AA113</f>
        <v>3173.93</v>
      </c>
      <c r="CZ113">
        <f>AE113</f>
        <v>295.8</v>
      </c>
      <c r="DA113">
        <f>AI113</f>
        <v>10.73</v>
      </c>
      <c r="DB113">
        <f t="shared" si="17"/>
        <v>1479</v>
      </c>
      <c r="DC113">
        <f t="shared" si="18"/>
        <v>0</v>
      </c>
    </row>
    <row r="114" spans="1:107">
      <c r="A114">
        <f>ROW(Source!A84)</f>
        <v>84</v>
      </c>
      <c r="B114">
        <v>34132744</v>
      </c>
      <c r="C114">
        <v>36167822</v>
      </c>
      <c r="D114">
        <v>29149420</v>
      </c>
      <c r="E114">
        <v>1</v>
      </c>
      <c r="F114">
        <v>1</v>
      </c>
      <c r="G114">
        <v>1</v>
      </c>
      <c r="H114">
        <v>3</v>
      </c>
      <c r="I114" t="s">
        <v>194</v>
      </c>
      <c r="J114" t="s">
        <v>196</v>
      </c>
      <c r="K114" t="s">
        <v>195</v>
      </c>
      <c r="L114">
        <v>1339</v>
      </c>
      <c r="N114">
        <v>1007</v>
      </c>
      <c r="O114" t="s">
        <v>182</v>
      </c>
      <c r="P114" t="s">
        <v>182</v>
      </c>
      <c r="Q114">
        <v>1</v>
      </c>
      <c r="W114">
        <v>1</v>
      </c>
      <c r="X114">
        <v>322991403</v>
      </c>
      <c r="Y114">
        <v>5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3</v>
      </c>
      <c r="AT114">
        <v>5</v>
      </c>
      <c r="AU114" t="s">
        <v>3</v>
      </c>
      <c r="AV114">
        <v>0</v>
      </c>
      <c r="AW114">
        <v>2</v>
      </c>
      <c r="AX114">
        <v>36167843</v>
      </c>
      <c r="AY114">
        <v>1</v>
      </c>
      <c r="AZ114">
        <v>0</v>
      </c>
      <c r="BA114">
        <v>116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Y114*Source!I84</f>
        <v>1.1000000000000001</v>
      </c>
      <c r="CY114">
        <f>AA114</f>
        <v>0</v>
      </c>
      <c r="CZ114">
        <f>AE114</f>
        <v>0</v>
      </c>
      <c r="DA114">
        <f>AI114</f>
        <v>1</v>
      </c>
      <c r="DB114">
        <f t="shared" si="17"/>
        <v>0</v>
      </c>
      <c r="DC114">
        <f t="shared" si="18"/>
        <v>0</v>
      </c>
    </row>
    <row r="115" spans="1:107">
      <c r="A115">
        <f>ROW(Source!A84)</f>
        <v>84</v>
      </c>
      <c r="B115">
        <v>34132744</v>
      </c>
      <c r="C115">
        <v>36167822</v>
      </c>
      <c r="D115">
        <v>29149608</v>
      </c>
      <c r="E115">
        <v>1</v>
      </c>
      <c r="F115">
        <v>1</v>
      </c>
      <c r="G115">
        <v>1</v>
      </c>
      <c r="H115">
        <v>3</v>
      </c>
      <c r="I115" t="s">
        <v>545</v>
      </c>
      <c r="J115" t="s">
        <v>546</v>
      </c>
      <c r="K115" t="s">
        <v>547</v>
      </c>
      <c r="L115">
        <v>1339</v>
      </c>
      <c r="N115">
        <v>1007</v>
      </c>
      <c r="O115" t="s">
        <v>182</v>
      </c>
      <c r="P115" t="s">
        <v>182</v>
      </c>
      <c r="Q115">
        <v>1</v>
      </c>
      <c r="W115">
        <v>0</v>
      </c>
      <c r="X115">
        <v>-1660702446</v>
      </c>
      <c r="Y115">
        <v>0.05</v>
      </c>
      <c r="AA115">
        <v>561.99</v>
      </c>
      <c r="AB115">
        <v>0</v>
      </c>
      <c r="AC115">
        <v>0</v>
      </c>
      <c r="AD115">
        <v>0</v>
      </c>
      <c r="AE115">
        <v>55.26</v>
      </c>
      <c r="AF115">
        <v>0</v>
      </c>
      <c r="AG115">
        <v>0</v>
      </c>
      <c r="AH115">
        <v>0</v>
      </c>
      <c r="AI115">
        <v>10.17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0.05</v>
      </c>
      <c r="AU115" t="s">
        <v>3</v>
      </c>
      <c r="AV115">
        <v>0</v>
      </c>
      <c r="AW115">
        <v>2</v>
      </c>
      <c r="AX115">
        <v>36167844</v>
      </c>
      <c r="AY115">
        <v>1</v>
      </c>
      <c r="AZ115">
        <v>0</v>
      </c>
      <c r="BA115">
        <v>117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Y115*Source!I84</f>
        <v>1.1000000000000001E-2</v>
      </c>
      <c r="CY115">
        <f>AA115</f>
        <v>561.99</v>
      </c>
      <c r="CZ115">
        <f>AE115</f>
        <v>55.26</v>
      </c>
      <c r="DA115">
        <f>AI115</f>
        <v>10.17</v>
      </c>
      <c r="DB115">
        <f t="shared" si="17"/>
        <v>2.76</v>
      </c>
      <c r="DC115">
        <f t="shared" si="18"/>
        <v>0</v>
      </c>
    </row>
    <row r="116" spans="1:107">
      <c r="A116">
        <f>ROW(Source!A122)</f>
        <v>122</v>
      </c>
      <c r="B116">
        <v>34132744</v>
      </c>
      <c r="C116">
        <v>35833280</v>
      </c>
      <c r="D116">
        <v>18407150</v>
      </c>
      <c r="E116">
        <v>1</v>
      </c>
      <c r="F116">
        <v>1</v>
      </c>
      <c r="G116">
        <v>1</v>
      </c>
      <c r="H116">
        <v>1</v>
      </c>
      <c r="I116" t="s">
        <v>335</v>
      </c>
      <c r="J116" t="s">
        <v>3</v>
      </c>
      <c r="K116" t="s">
        <v>336</v>
      </c>
      <c r="L116">
        <v>1369</v>
      </c>
      <c r="N116">
        <v>1013</v>
      </c>
      <c r="O116" t="s">
        <v>323</v>
      </c>
      <c r="P116" t="s">
        <v>323</v>
      </c>
      <c r="Q116">
        <v>1</v>
      </c>
      <c r="W116">
        <v>0</v>
      </c>
      <c r="X116">
        <v>-931037793</v>
      </c>
      <c r="Y116">
        <v>69.87</v>
      </c>
      <c r="AA116">
        <v>0</v>
      </c>
      <c r="AB116">
        <v>0</v>
      </c>
      <c r="AC116">
        <v>0</v>
      </c>
      <c r="AD116">
        <v>278.5</v>
      </c>
      <c r="AE116">
        <v>0</v>
      </c>
      <c r="AF116">
        <v>0</v>
      </c>
      <c r="AG116">
        <v>0</v>
      </c>
      <c r="AH116">
        <v>278.5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69.87</v>
      </c>
      <c r="AU116" t="s">
        <v>3</v>
      </c>
      <c r="AV116">
        <v>1</v>
      </c>
      <c r="AW116">
        <v>2</v>
      </c>
      <c r="AX116">
        <v>35833281</v>
      </c>
      <c r="AY116">
        <v>1</v>
      </c>
      <c r="AZ116">
        <v>0</v>
      </c>
      <c r="BA116">
        <v>118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Y116*Source!I122</f>
        <v>2.23584</v>
      </c>
      <c r="CY116">
        <f>AD116</f>
        <v>278.5</v>
      </c>
      <c r="CZ116">
        <f>AH116</f>
        <v>278.5</v>
      </c>
      <c r="DA116">
        <f>AL116</f>
        <v>1</v>
      </c>
      <c r="DB116">
        <f t="shared" si="17"/>
        <v>19458.8</v>
      </c>
      <c r="DC116">
        <f t="shared" si="18"/>
        <v>0</v>
      </c>
    </row>
    <row r="117" spans="1:107">
      <c r="A117">
        <f>ROW(Source!A122)</f>
        <v>122</v>
      </c>
      <c r="B117">
        <v>34132744</v>
      </c>
      <c r="C117">
        <v>35833280</v>
      </c>
      <c r="D117">
        <v>121548</v>
      </c>
      <c r="E117">
        <v>1</v>
      </c>
      <c r="F117">
        <v>1</v>
      </c>
      <c r="G117">
        <v>1</v>
      </c>
      <c r="H117">
        <v>1</v>
      </c>
      <c r="I117" t="s">
        <v>28</v>
      </c>
      <c r="J117" t="s">
        <v>3</v>
      </c>
      <c r="K117" t="s">
        <v>326</v>
      </c>
      <c r="L117">
        <v>608254</v>
      </c>
      <c r="N117">
        <v>1013</v>
      </c>
      <c r="O117" t="s">
        <v>327</v>
      </c>
      <c r="P117" t="s">
        <v>327</v>
      </c>
      <c r="Q117">
        <v>1</v>
      </c>
      <c r="W117">
        <v>0</v>
      </c>
      <c r="X117">
        <v>-185737400</v>
      </c>
      <c r="Y117">
        <v>1.44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1.44</v>
      </c>
      <c r="AU117" t="s">
        <v>3</v>
      </c>
      <c r="AV117">
        <v>2</v>
      </c>
      <c r="AW117">
        <v>2</v>
      </c>
      <c r="AX117">
        <v>35833282</v>
      </c>
      <c r="AY117">
        <v>1</v>
      </c>
      <c r="AZ117">
        <v>0</v>
      </c>
      <c r="BA117">
        <v>119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Y117*Source!I122</f>
        <v>4.6079999999999996E-2</v>
      </c>
      <c r="CY117">
        <f>AD117</f>
        <v>0</v>
      </c>
      <c r="CZ117">
        <f>AH117</f>
        <v>0</v>
      </c>
      <c r="DA117">
        <f>AL117</f>
        <v>1</v>
      </c>
      <c r="DB117">
        <f t="shared" si="17"/>
        <v>0</v>
      </c>
      <c r="DC117">
        <f t="shared" si="18"/>
        <v>0</v>
      </c>
    </row>
    <row r="118" spans="1:107">
      <c r="A118">
        <f>ROW(Source!A122)</f>
        <v>122</v>
      </c>
      <c r="B118">
        <v>34132744</v>
      </c>
      <c r="C118">
        <v>35833280</v>
      </c>
      <c r="D118">
        <v>29172556</v>
      </c>
      <c r="E118">
        <v>1</v>
      </c>
      <c r="F118">
        <v>1</v>
      </c>
      <c r="G118">
        <v>1</v>
      </c>
      <c r="H118">
        <v>2</v>
      </c>
      <c r="I118" t="s">
        <v>337</v>
      </c>
      <c r="J118" t="s">
        <v>338</v>
      </c>
      <c r="K118" t="s">
        <v>339</v>
      </c>
      <c r="L118">
        <v>1368</v>
      </c>
      <c r="N118">
        <v>1011</v>
      </c>
      <c r="O118" t="s">
        <v>331</v>
      </c>
      <c r="P118" t="s">
        <v>331</v>
      </c>
      <c r="Q118">
        <v>1</v>
      </c>
      <c r="W118">
        <v>0</v>
      </c>
      <c r="X118">
        <v>-1302720870</v>
      </c>
      <c r="Y118">
        <v>1.44</v>
      </c>
      <c r="AA118">
        <v>0</v>
      </c>
      <c r="AB118">
        <v>466.71</v>
      </c>
      <c r="AC118">
        <v>446.18</v>
      </c>
      <c r="AD118">
        <v>0</v>
      </c>
      <c r="AE118">
        <v>0</v>
      </c>
      <c r="AF118">
        <v>31.26</v>
      </c>
      <c r="AG118">
        <v>13.5</v>
      </c>
      <c r="AH118">
        <v>0</v>
      </c>
      <c r="AI118">
        <v>1</v>
      </c>
      <c r="AJ118">
        <v>14.93</v>
      </c>
      <c r="AK118">
        <v>33.049999999999997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1.44</v>
      </c>
      <c r="AU118" t="s">
        <v>3</v>
      </c>
      <c r="AV118">
        <v>0</v>
      </c>
      <c r="AW118">
        <v>2</v>
      </c>
      <c r="AX118">
        <v>35833283</v>
      </c>
      <c r="AY118">
        <v>1</v>
      </c>
      <c r="AZ118">
        <v>0</v>
      </c>
      <c r="BA118">
        <v>120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Y118*Source!I122</f>
        <v>4.6079999999999996E-2</v>
      </c>
      <c r="CY118">
        <f>AB118</f>
        <v>466.71</v>
      </c>
      <c r="CZ118">
        <f>AF118</f>
        <v>31.26</v>
      </c>
      <c r="DA118">
        <f>AJ118</f>
        <v>14.93</v>
      </c>
      <c r="DB118">
        <f t="shared" si="17"/>
        <v>45.01</v>
      </c>
      <c r="DC118">
        <f t="shared" si="18"/>
        <v>19.440000000000001</v>
      </c>
    </row>
    <row r="119" spans="1:107">
      <c r="A119">
        <f>ROW(Source!A122)</f>
        <v>122</v>
      </c>
      <c r="B119">
        <v>34132744</v>
      </c>
      <c r="C119">
        <v>35833280</v>
      </c>
      <c r="D119">
        <v>29164349</v>
      </c>
      <c r="E119">
        <v>1</v>
      </c>
      <c r="F119">
        <v>1</v>
      </c>
      <c r="G119">
        <v>1</v>
      </c>
      <c r="H119">
        <v>3</v>
      </c>
      <c r="I119" t="s">
        <v>24</v>
      </c>
      <c r="J119" t="s">
        <v>27</v>
      </c>
      <c r="K119" t="s">
        <v>25</v>
      </c>
      <c r="L119">
        <v>1348</v>
      </c>
      <c r="N119">
        <v>1009</v>
      </c>
      <c r="O119" t="s">
        <v>26</v>
      </c>
      <c r="P119" t="s">
        <v>26</v>
      </c>
      <c r="Q119">
        <v>1000</v>
      </c>
      <c r="W119">
        <v>0</v>
      </c>
      <c r="X119">
        <v>-304821490</v>
      </c>
      <c r="Y119">
        <v>5.2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0</v>
      </c>
      <c r="AP119">
        <v>0</v>
      </c>
      <c r="AQ119">
        <v>0</v>
      </c>
      <c r="AR119">
        <v>0</v>
      </c>
      <c r="AS119" t="s">
        <v>3</v>
      </c>
      <c r="AT119">
        <v>5.2</v>
      </c>
      <c r="AU119" t="s">
        <v>3</v>
      </c>
      <c r="AV119">
        <v>0</v>
      </c>
      <c r="AW119">
        <v>2</v>
      </c>
      <c r="AX119">
        <v>35833284</v>
      </c>
      <c r="AY119">
        <v>1</v>
      </c>
      <c r="AZ119">
        <v>0</v>
      </c>
      <c r="BA119">
        <v>121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Y119*Source!I122</f>
        <v>0.16640000000000002</v>
      </c>
      <c r="CY119">
        <f>AA119</f>
        <v>0</v>
      </c>
      <c r="CZ119">
        <f>AE119</f>
        <v>0</v>
      </c>
      <c r="DA119">
        <f>AI119</f>
        <v>1</v>
      </c>
      <c r="DB119">
        <f t="shared" si="17"/>
        <v>0</v>
      </c>
      <c r="DC119">
        <f t="shared" si="18"/>
        <v>0</v>
      </c>
    </row>
    <row r="120" spans="1:107">
      <c r="A120">
        <f>ROW(Source!A124)</f>
        <v>124</v>
      </c>
      <c r="B120">
        <v>34132744</v>
      </c>
      <c r="C120">
        <v>35833669</v>
      </c>
      <c r="D120">
        <v>18411771</v>
      </c>
      <c r="E120">
        <v>1</v>
      </c>
      <c r="F120">
        <v>1</v>
      </c>
      <c r="G120">
        <v>1</v>
      </c>
      <c r="H120">
        <v>1</v>
      </c>
      <c r="I120" t="s">
        <v>321</v>
      </c>
      <c r="J120" t="s">
        <v>3</v>
      </c>
      <c r="K120" t="s">
        <v>322</v>
      </c>
      <c r="L120">
        <v>1369</v>
      </c>
      <c r="N120">
        <v>1013</v>
      </c>
      <c r="O120" t="s">
        <v>323</v>
      </c>
      <c r="P120" t="s">
        <v>323</v>
      </c>
      <c r="Q120">
        <v>1</v>
      </c>
      <c r="W120">
        <v>0</v>
      </c>
      <c r="X120">
        <v>922534627</v>
      </c>
      <c r="Y120">
        <v>0.57499999999999996</v>
      </c>
      <c r="AA120">
        <v>0</v>
      </c>
      <c r="AB120">
        <v>0</v>
      </c>
      <c r="AC120">
        <v>0</v>
      </c>
      <c r="AD120">
        <v>259.24</v>
      </c>
      <c r="AE120">
        <v>0</v>
      </c>
      <c r="AF120">
        <v>0</v>
      </c>
      <c r="AG120">
        <v>0</v>
      </c>
      <c r="AH120">
        <v>259.24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0.5</v>
      </c>
      <c r="AU120" t="s">
        <v>101</v>
      </c>
      <c r="AV120">
        <v>1</v>
      </c>
      <c r="AW120">
        <v>2</v>
      </c>
      <c r="AX120">
        <v>35833670</v>
      </c>
      <c r="AY120">
        <v>1</v>
      </c>
      <c r="AZ120">
        <v>0</v>
      </c>
      <c r="BA120">
        <v>122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Y120*Source!I124</f>
        <v>1.84E-2</v>
      </c>
      <c r="CY120">
        <f>AD120</f>
        <v>259.24</v>
      </c>
      <c r="CZ120">
        <f>AH120</f>
        <v>259.24</v>
      </c>
      <c r="DA120">
        <f>AL120</f>
        <v>1</v>
      </c>
      <c r="DB120">
        <f>ROUND((ROUND(AT120*CZ120,2)*1.15),6)</f>
        <v>149.06299999999999</v>
      </c>
      <c r="DC120">
        <f>ROUND((ROUND(AT120*AG120,2)*1.15),6)</f>
        <v>0</v>
      </c>
    </row>
    <row r="121" spans="1:107">
      <c r="A121">
        <f>ROW(Source!A124)</f>
        <v>124</v>
      </c>
      <c r="B121">
        <v>34132744</v>
      </c>
      <c r="C121">
        <v>35833669</v>
      </c>
      <c r="D121">
        <v>121548</v>
      </c>
      <c r="E121">
        <v>1</v>
      </c>
      <c r="F121">
        <v>1</v>
      </c>
      <c r="G121">
        <v>1</v>
      </c>
      <c r="H121">
        <v>1</v>
      </c>
      <c r="I121" t="s">
        <v>28</v>
      </c>
      <c r="J121" t="s">
        <v>3</v>
      </c>
      <c r="K121" t="s">
        <v>326</v>
      </c>
      <c r="L121">
        <v>608254</v>
      </c>
      <c r="N121">
        <v>1013</v>
      </c>
      <c r="O121" t="s">
        <v>327</v>
      </c>
      <c r="P121" t="s">
        <v>327</v>
      </c>
      <c r="Q121">
        <v>1</v>
      </c>
      <c r="W121">
        <v>0</v>
      </c>
      <c r="X121">
        <v>-185737400</v>
      </c>
      <c r="Y121">
        <v>0.26250000000000001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0.21</v>
      </c>
      <c r="AU121" t="s">
        <v>100</v>
      </c>
      <c r="AV121">
        <v>2</v>
      </c>
      <c r="AW121">
        <v>2</v>
      </c>
      <c r="AX121">
        <v>35833671</v>
      </c>
      <c r="AY121">
        <v>1</v>
      </c>
      <c r="AZ121">
        <v>0</v>
      </c>
      <c r="BA121">
        <v>123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Y121*Source!I124</f>
        <v>8.4000000000000012E-3</v>
      </c>
      <c r="CY121">
        <f>AD121</f>
        <v>0</v>
      </c>
      <c r="CZ121">
        <f>AH121</f>
        <v>0</v>
      </c>
      <c r="DA121">
        <f>AL121</f>
        <v>1</v>
      </c>
      <c r="DB121">
        <f>ROUND((ROUND(AT121*CZ121,2)*1.25),6)</f>
        <v>0</v>
      </c>
      <c r="DC121">
        <f>ROUND((ROUND(AT121*AG121,2)*1.25),6)</f>
        <v>0</v>
      </c>
    </row>
    <row r="122" spans="1:107">
      <c r="A122">
        <f>ROW(Source!A124)</f>
        <v>124</v>
      </c>
      <c r="B122">
        <v>34132744</v>
      </c>
      <c r="C122">
        <v>35833669</v>
      </c>
      <c r="D122">
        <v>29172556</v>
      </c>
      <c r="E122">
        <v>1</v>
      </c>
      <c r="F122">
        <v>1</v>
      </c>
      <c r="G122">
        <v>1</v>
      </c>
      <c r="H122">
        <v>2</v>
      </c>
      <c r="I122" t="s">
        <v>337</v>
      </c>
      <c r="J122" t="s">
        <v>338</v>
      </c>
      <c r="K122" t="s">
        <v>339</v>
      </c>
      <c r="L122">
        <v>1368</v>
      </c>
      <c r="N122">
        <v>1011</v>
      </c>
      <c r="O122" t="s">
        <v>331</v>
      </c>
      <c r="P122" t="s">
        <v>331</v>
      </c>
      <c r="Q122">
        <v>1</v>
      </c>
      <c r="W122">
        <v>0</v>
      </c>
      <c r="X122">
        <v>-1302720870</v>
      </c>
      <c r="Y122">
        <v>0.26250000000000001</v>
      </c>
      <c r="AA122">
        <v>0</v>
      </c>
      <c r="AB122">
        <v>466.71</v>
      </c>
      <c r="AC122">
        <v>446.18</v>
      </c>
      <c r="AD122">
        <v>0</v>
      </c>
      <c r="AE122">
        <v>0</v>
      </c>
      <c r="AF122">
        <v>31.26</v>
      </c>
      <c r="AG122">
        <v>13.5</v>
      </c>
      <c r="AH122">
        <v>0</v>
      </c>
      <c r="AI122">
        <v>1</v>
      </c>
      <c r="AJ122">
        <v>14.93</v>
      </c>
      <c r="AK122">
        <v>33.049999999999997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0.21</v>
      </c>
      <c r="AU122" t="s">
        <v>100</v>
      </c>
      <c r="AV122">
        <v>0</v>
      </c>
      <c r="AW122">
        <v>2</v>
      </c>
      <c r="AX122">
        <v>35833672</v>
      </c>
      <c r="AY122">
        <v>1</v>
      </c>
      <c r="AZ122">
        <v>0</v>
      </c>
      <c r="BA122">
        <v>124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Y122*Source!I124</f>
        <v>8.4000000000000012E-3</v>
      </c>
      <c r="CY122">
        <f>AB122</f>
        <v>466.71</v>
      </c>
      <c r="CZ122">
        <f>AF122</f>
        <v>31.26</v>
      </c>
      <c r="DA122">
        <f>AJ122</f>
        <v>14.93</v>
      </c>
      <c r="DB122">
        <f>ROUND((ROUND(AT122*CZ122,2)*1.25),6)</f>
        <v>8.1999999999999993</v>
      </c>
      <c r="DC122">
        <f>ROUND((ROUND(AT122*AG122,2)*1.25),6)</f>
        <v>3.55</v>
      </c>
    </row>
    <row r="123" spans="1:107">
      <c r="A123">
        <f>ROW(Source!A124)</f>
        <v>124</v>
      </c>
      <c r="B123">
        <v>34132744</v>
      </c>
      <c r="C123">
        <v>35833669</v>
      </c>
      <c r="D123">
        <v>29173152</v>
      </c>
      <c r="E123">
        <v>1</v>
      </c>
      <c r="F123">
        <v>1</v>
      </c>
      <c r="G123">
        <v>1</v>
      </c>
      <c r="H123">
        <v>2</v>
      </c>
      <c r="I123" t="s">
        <v>493</v>
      </c>
      <c r="J123" t="s">
        <v>494</v>
      </c>
      <c r="K123" t="s">
        <v>495</v>
      </c>
      <c r="L123">
        <v>1368</v>
      </c>
      <c r="N123">
        <v>1011</v>
      </c>
      <c r="O123" t="s">
        <v>331</v>
      </c>
      <c r="P123" t="s">
        <v>331</v>
      </c>
      <c r="Q123">
        <v>1</v>
      </c>
      <c r="W123">
        <v>0</v>
      </c>
      <c r="X123">
        <v>1729392141</v>
      </c>
      <c r="Y123">
        <v>2.9</v>
      </c>
      <c r="AA123">
        <v>0</v>
      </c>
      <c r="AB123">
        <v>4.1100000000000003</v>
      </c>
      <c r="AC123">
        <v>0</v>
      </c>
      <c r="AD123">
        <v>0</v>
      </c>
      <c r="AE123">
        <v>0</v>
      </c>
      <c r="AF123">
        <v>0.5</v>
      </c>
      <c r="AG123">
        <v>0</v>
      </c>
      <c r="AH123">
        <v>0</v>
      </c>
      <c r="AI123">
        <v>1</v>
      </c>
      <c r="AJ123">
        <v>8.2200000000000006</v>
      </c>
      <c r="AK123">
        <v>33.049999999999997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2.3199999999999998</v>
      </c>
      <c r="AU123" t="s">
        <v>100</v>
      </c>
      <c r="AV123">
        <v>0</v>
      </c>
      <c r="AW123">
        <v>2</v>
      </c>
      <c r="AX123">
        <v>35833673</v>
      </c>
      <c r="AY123">
        <v>1</v>
      </c>
      <c r="AZ123">
        <v>0</v>
      </c>
      <c r="BA123">
        <v>125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Y123*Source!I124</f>
        <v>9.2799999999999994E-2</v>
      </c>
      <c r="CY123">
        <f>AB123</f>
        <v>4.1100000000000003</v>
      </c>
      <c r="CZ123">
        <f>AF123</f>
        <v>0.5</v>
      </c>
      <c r="DA123">
        <f>AJ123</f>
        <v>8.2200000000000006</v>
      </c>
      <c r="DB123">
        <f>ROUND((ROUND(AT123*CZ123,2)*1.25),6)</f>
        <v>1.45</v>
      </c>
      <c r="DC123">
        <f>ROUND((ROUND(AT123*AG123,2)*1.25),6)</f>
        <v>0</v>
      </c>
    </row>
    <row r="124" spans="1:107">
      <c r="A124">
        <f>ROW(Source!A124)</f>
        <v>124</v>
      </c>
      <c r="B124">
        <v>34132744</v>
      </c>
      <c r="C124">
        <v>35833669</v>
      </c>
      <c r="D124">
        <v>29145158</v>
      </c>
      <c r="E124">
        <v>1</v>
      </c>
      <c r="F124">
        <v>1</v>
      </c>
      <c r="G124">
        <v>1</v>
      </c>
      <c r="H124">
        <v>3</v>
      </c>
      <c r="I124" t="s">
        <v>496</v>
      </c>
      <c r="J124" t="s">
        <v>497</v>
      </c>
      <c r="K124" t="s">
        <v>498</v>
      </c>
      <c r="L124">
        <v>1339</v>
      </c>
      <c r="N124">
        <v>1007</v>
      </c>
      <c r="O124" t="s">
        <v>182</v>
      </c>
      <c r="P124" t="s">
        <v>182</v>
      </c>
      <c r="Q124">
        <v>1</v>
      </c>
      <c r="W124">
        <v>0</v>
      </c>
      <c r="X124">
        <v>-1225348186</v>
      </c>
      <c r="Y124">
        <v>0.51</v>
      </c>
      <c r="AA124">
        <v>3399.46</v>
      </c>
      <c r="AB124">
        <v>0</v>
      </c>
      <c r="AC124">
        <v>0</v>
      </c>
      <c r="AD124">
        <v>0</v>
      </c>
      <c r="AE124">
        <v>548.29999999999995</v>
      </c>
      <c r="AF124">
        <v>0</v>
      </c>
      <c r="AG124">
        <v>0</v>
      </c>
      <c r="AH124">
        <v>0</v>
      </c>
      <c r="AI124">
        <v>6.2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0.51</v>
      </c>
      <c r="AU124" t="s">
        <v>3</v>
      </c>
      <c r="AV124">
        <v>0</v>
      </c>
      <c r="AW124">
        <v>2</v>
      </c>
      <c r="AX124">
        <v>35833674</v>
      </c>
      <c r="AY124">
        <v>1</v>
      </c>
      <c r="AZ124">
        <v>0</v>
      </c>
      <c r="BA124">
        <v>126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Y124*Source!I124</f>
        <v>1.6320000000000001E-2</v>
      </c>
      <c r="CY124">
        <f>AA124</f>
        <v>3399.46</v>
      </c>
      <c r="CZ124">
        <f>AE124</f>
        <v>548.29999999999995</v>
      </c>
      <c r="DA124">
        <f>AI124</f>
        <v>6.2</v>
      </c>
      <c r="DB124">
        <f>ROUND(ROUND(AT124*CZ124,2),6)</f>
        <v>279.63</v>
      </c>
      <c r="DC124">
        <f>ROUND(ROUND(AT124*AG124,2),6)</f>
        <v>0</v>
      </c>
    </row>
    <row r="125" spans="1:107">
      <c r="A125">
        <f>ROW(Source!A125)</f>
        <v>125</v>
      </c>
      <c r="B125">
        <v>34132744</v>
      </c>
      <c r="C125">
        <v>35833738</v>
      </c>
      <c r="D125">
        <v>31427453</v>
      </c>
      <c r="E125">
        <v>1</v>
      </c>
      <c r="F125">
        <v>1</v>
      </c>
      <c r="G125">
        <v>1</v>
      </c>
      <c r="H125">
        <v>1</v>
      </c>
      <c r="I125" t="s">
        <v>548</v>
      </c>
      <c r="J125" t="s">
        <v>3</v>
      </c>
      <c r="K125" t="s">
        <v>549</v>
      </c>
      <c r="L125">
        <v>1369</v>
      </c>
      <c r="N125">
        <v>1013</v>
      </c>
      <c r="O125" t="s">
        <v>323</v>
      </c>
      <c r="P125" t="s">
        <v>323</v>
      </c>
      <c r="Q125">
        <v>1</v>
      </c>
      <c r="W125">
        <v>0</v>
      </c>
      <c r="X125">
        <v>1499813984</v>
      </c>
      <c r="Y125">
        <v>88.124499999999983</v>
      </c>
      <c r="AA125">
        <v>0</v>
      </c>
      <c r="AB125">
        <v>0</v>
      </c>
      <c r="AC125">
        <v>0</v>
      </c>
      <c r="AD125">
        <v>285.36</v>
      </c>
      <c r="AE125">
        <v>0</v>
      </c>
      <c r="AF125">
        <v>0</v>
      </c>
      <c r="AG125">
        <v>0</v>
      </c>
      <c r="AH125">
        <v>285.36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76.63</v>
      </c>
      <c r="AU125" t="s">
        <v>101</v>
      </c>
      <c r="AV125">
        <v>1</v>
      </c>
      <c r="AW125">
        <v>2</v>
      </c>
      <c r="AX125">
        <v>35833739</v>
      </c>
      <c r="AY125">
        <v>1</v>
      </c>
      <c r="AZ125">
        <v>0</v>
      </c>
      <c r="BA125">
        <v>127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Y125*Source!I125</f>
        <v>2.8199839999999994</v>
      </c>
      <c r="CY125">
        <f>AD125</f>
        <v>285.36</v>
      </c>
      <c r="CZ125">
        <f>AH125</f>
        <v>285.36</v>
      </c>
      <c r="DA125">
        <f>AL125</f>
        <v>1</v>
      </c>
      <c r="DB125">
        <f>ROUND((ROUND(AT125*CZ125,2)*1.15),6)</f>
        <v>25147.210999999999</v>
      </c>
      <c r="DC125">
        <f>ROUND((ROUND(AT125*AG125,2)*1.15),6)</f>
        <v>0</v>
      </c>
    </row>
    <row r="126" spans="1:107">
      <c r="A126">
        <f>ROW(Source!A125)</f>
        <v>125</v>
      </c>
      <c r="B126">
        <v>34132744</v>
      </c>
      <c r="C126">
        <v>35833738</v>
      </c>
      <c r="D126">
        <v>121548</v>
      </c>
      <c r="E126">
        <v>1</v>
      </c>
      <c r="F126">
        <v>1</v>
      </c>
      <c r="G126">
        <v>1</v>
      </c>
      <c r="H126">
        <v>1</v>
      </c>
      <c r="I126" t="s">
        <v>28</v>
      </c>
      <c r="J126" t="s">
        <v>3</v>
      </c>
      <c r="K126" t="s">
        <v>326</v>
      </c>
      <c r="L126">
        <v>608254</v>
      </c>
      <c r="N126">
        <v>1013</v>
      </c>
      <c r="O126" t="s">
        <v>327</v>
      </c>
      <c r="P126" t="s">
        <v>327</v>
      </c>
      <c r="Q126">
        <v>1</v>
      </c>
      <c r="W126">
        <v>0</v>
      </c>
      <c r="X126">
        <v>-185737400</v>
      </c>
      <c r="Y126">
        <v>5.2749999999999995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4.22</v>
      </c>
      <c r="AU126" t="s">
        <v>100</v>
      </c>
      <c r="AV126">
        <v>2</v>
      </c>
      <c r="AW126">
        <v>2</v>
      </c>
      <c r="AX126">
        <v>35833740</v>
      </c>
      <c r="AY126">
        <v>1</v>
      </c>
      <c r="AZ126">
        <v>0</v>
      </c>
      <c r="BA126">
        <v>128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Y126*Source!I125</f>
        <v>0.16879999999999998</v>
      </c>
      <c r="CY126">
        <f>AD126</f>
        <v>0</v>
      </c>
      <c r="CZ126">
        <f>AH126</f>
        <v>0</v>
      </c>
      <c r="DA126">
        <f>AL126</f>
        <v>1</v>
      </c>
      <c r="DB126">
        <f t="shared" ref="DB126:DB131" si="19">ROUND((ROUND(AT126*CZ126,2)*1.25),6)</f>
        <v>0</v>
      </c>
      <c r="DC126">
        <f t="shared" ref="DC126:DC131" si="20">ROUND((ROUND(AT126*AG126,2)*1.25),6)</f>
        <v>0</v>
      </c>
    </row>
    <row r="127" spans="1:107">
      <c r="A127">
        <f>ROW(Source!A125)</f>
        <v>125</v>
      </c>
      <c r="B127">
        <v>34132744</v>
      </c>
      <c r="C127">
        <v>35833738</v>
      </c>
      <c r="D127">
        <v>35554709</v>
      </c>
      <c r="E127">
        <v>1</v>
      </c>
      <c r="F127">
        <v>1</v>
      </c>
      <c r="G127">
        <v>1</v>
      </c>
      <c r="H127">
        <v>2</v>
      </c>
      <c r="I127" t="s">
        <v>525</v>
      </c>
      <c r="J127" t="s">
        <v>550</v>
      </c>
      <c r="K127" t="s">
        <v>527</v>
      </c>
      <c r="L127">
        <v>1368</v>
      </c>
      <c r="N127">
        <v>1011</v>
      </c>
      <c r="O127" t="s">
        <v>331</v>
      </c>
      <c r="P127" t="s">
        <v>331</v>
      </c>
      <c r="Q127">
        <v>1</v>
      </c>
      <c r="W127">
        <v>0</v>
      </c>
      <c r="X127">
        <v>639682734</v>
      </c>
      <c r="Y127">
        <v>0.44999999999999996</v>
      </c>
      <c r="AA127">
        <v>0</v>
      </c>
      <c r="AB127">
        <v>901.01</v>
      </c>
      <c r="AC127">
        <v>332.48</v>
      </c>
      <c r="AD127">
        <v>0</v>
      </c>
      <c r="AE127">
        <v>0</v>
      </c>
      <c r="AF127">
        <v>99.89</v>
      </c>
      <c r="AG127">
        <v>10.06</v>
      </c>
      <c r="AH127">
        <v>0</v>
      </c>
      <c r="AI127">
        <v>1</v>
      </c>
      <c r="AJ127">
        <v>9.02</v>
      </c>
      <c r="AK127">
        <v>33.049999999999997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0.36</v>
      </c>
      <c r="AU127" t="s">
        <v>100</v>
      </c>
      <c r="AV127">
        <v>0</v>
      </c>
      <c r="AW127">
        <v>2</v>
      </c>
      <c r="AX127">
        <v>35833741</v>
      </c>
      <c r="AY127">
        <v>1</v>
      </c>
      <c r="AZ127">
        <v>0</v>
      </c>
      <c r="BA127">
        <v>129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Y127*Source!I125</f>
        <v>1.44E-2</v>
      </c>
      <c r="CY127">
        <f>AB127</f>
        <v>901.01</v>
      </c>
      <c r="CZ127">
        <f>AF127</f>
        <v>99.89</v>
      </c>
      <c r="DA127">
        <f>AJ127</f>
        <v>9.02</v>
      </c>
      <c r="DB127">
        <f t="shared" si="19"/>
        <v>44.95</v>
      </c>
      <c r="DC127">
        <f t="shared" si="20"/>
        <v>4.5250000000000004</v>
      </c>
    </row>
    <row r="128" spans="1:107">
      <c r="A128">
        <f>ROW(Source!A125)</f>
        <v>125</v>
      </c>
      <c r="B128">
        <v>34132744</v>
      </c>
      <c r="C128">
        <v>35833738</v>
      </c>
      <c r="D128">
        <v>35554736</v>
      </c>
      <c r="E128">
        <v>1</v>
      </c>
      <c r="F128">
        <v>1</v>
      </c>
      <c r="G128">
        <v>1</v>
      </c>
      <c r="H128">
        <v>2</v>
      </c>
      <c r="I128" t="s">
        <v>551</v>
      </c>
      <c r="J128" t="s">
        <v>552</v>
      </c>
      <c r="K128" t="s">
        <v>553</v>
      </c>
      <c r="L128">
        <v>1368</v>
      </c>
      <c r="N128">
        <v>1011</v>
      </c>
      <c r="O128" t="s">
        <v>331</v>
      </c>
      <c r="P128" t="s">
        <v>331</v>
      </c>
      <c r="Q128">
        <v>1</v>
      </c>
      <c r="W128">
        <v>0</v>
      </c>
      <c r="X128">
        <v>217933004</v>
      </c>
      <c r="Y128">
        <v>2.875</v>
      </c>
      <c r="AA128">
        <v>0</v>
      </c>
      <c r="AB128">
        <v>436.01</v>
      </c>
      <c r="AC128">
        <v>383.38</v>
      </c>
      <c r="AD128">
        <v>0</v>
      </c>
      <c r="AE128">
        <v>0</v>
      </c>
      <c r="AF128">
        <v>29.46</v>
      </c>
      <c r="AG128">
        <v>11.6</v>
      </c>
      <c r="AH128">
        <v>0</v>
      </c>
      <c r="AI128">
        <v>1</v>
      </c>
      <c r="AJ128">
        <v>14.8</v>
      </c>
      <c r="AK128">
        <v>33.049999999999997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</v>
      </c>
      <c r="AT128">
        <v>2.2999999999999998</v>
      </c>
      <c r="AU128" t="s">
        <v>100</v>
      </c>
      <c r="AV128">
        <v>0</v>
      </c>
      <c r="AW128">
        <v>2</v>
      </c>
      <c r="AX128">
        <v>35833742</v>
      </c>
      <c r="AY128">
        <v>1</v>
      </c>
      <c r="AZ128">
        <v>0</v>
      </c>
      <c r="BA128">
        <v>130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Y128*Source!I125</f>
        <v>9.1999999999999998E-2</v>
      </c>
      <c r="CY128">
        <f>AB128</f>
        <v>436.01</v>
      </c>
      <c r="CZ128">
        <f>AF128</f>
        <v>29.46</v>
      </c>
      <c r="DA128">
        <f>AJ128</f>
        <v>14.8</v>
      </c>
      <c r="DB128">
        <f t="shared" si="19"/>
        <v>84.7</v>
      </c>
      <c r="DC128">
        <f t="shared" si="20"/>
        <v>33.35</v>
      </c>
    </row>
    <row r="129" spans="1:107">
      <c r="A129">
        <f>ROW(Source!A125)</f>
        <v>125</v>
      </c>
      <c r="B129">
        <v>34132744</v>
      </c>
      <c r="C129">
        <v>35833738</v>
      </c>
      <c r="D129">
        <v>35554830</v>
      </c>
      <c r="E129">
        <v>1</v>
      </c>
      <c r="F129">
        <v>1</v>
      </c>
      <c r="G129">
        <v>1</v>
      </c>
      <c r="H129">
        <v>2</v>
      </c>
      <c r="I129" t="s">
        <v>505</v>
      </c>
      <c r="J129" t="s">
        <v>554</v>
      </c>
      <c r="K129" t="s">
        <v>507</v>
      </c>
      <c r="L129">
        <v>1368</v>
      </c>
      <c r="N129">
        <v>1011</v>
      </c>
      <c r="O129" t="s">
        <v>331</v>
      </c>
      <c r="P129" t="s">
        <v>331</v>
      </c>
      <c r="Q129">
        <v>1</v>
      </c>
      <c r="W129">
        <v>0</v>
      </c>
      <c r="X129">
        <v>490312154</v>
      </c>
      <c r="Y129">
        <v>1.9500000000000002</v>
      </c>
      <c r="AA129">
        <v>0</v>
      </c>
      <c r="AB129">
        <v>364.68</v>
      </c>
      <c r="AC129">
        <v>332.48</v>
      </c>
      <c r="AD129">
        <v>0</v>
      </c>
      <c r="AE129">
        <v>0</v>
      </c>
      <c r="AF129">
        <v>12.4</v>
      </c>
      <c r="AG129">
        <v>10.06</v>
      </c>
      <c r="AH129">
        <v>0</v>
      </c>
      <c r="AI129">
        <v>1</v>
      </c>
      <c r="AJ129">
        <v>29.41</v>
      </c>
      <c r="AK129">
        <v>33.049999999999997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1.56</v>
      </c>
      <c r="AU129" t="s">
        <v>100</v>
      </c>
      <c r="AV129">
        <v>0</v>
      </c>
      <c r="AW129">
        <v>2</v>
      </c>
      <c r="AX129">
        <v>35833743</v>
      </c>
      <c r="AY129">
        <v>1</v>
      </c>
      <c r="AZ129">
        <v>0</v>
      </c>
      <c r="BA129">
        <v>131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Y129*Source!I125</f>
        <v>6.2400000000000004E-2</v>
      </c>
      <c r="CY129">
        <f>AB129</f>
        <v>364.68</v>
      </c>
      <c r="CZ129">
        <f>AF129</f>
        <v>12.4</v>
      </c>
      <c r="DA129">
        <f>AJ129</f>
        <v>29.41</v>
      </c>
      <c r="DB129">
        <f t="shared" si="19"/>
        <v>24.175000000000001</v>
      </c>
      <c r="DC129">
        <f t="shared" si="20"/>
        <v>19.612500000000001</v>
      </c>
    </row>
    <row r="130" spans="1:107">
      <c r="A130">
        <f>ROW(Source!A125)</f>
        <v>125</v>
      </c>
      <c r="B130">
        <v>34132744</v>
      </c>
      <c r="C130">
        <v>35833738</v>
      </c>
      <c r="D130">
        <v>35555043</v>
      </c>
      <c r="E130">
        <v>1</v>
      </c>
      <c r="F130">
        <v>1</v>
      </c>
      <c r="G130">
        <v>1</v>
      </c>
      <c r="H130">
        <v>2</v>
      </c>
      <c r="I130" t="s">
        <v>508</v>
      </c>
      <c r="J130" t="s">
        <v>555</v>
      </c>
      <c r="K130" t="s">
        <v>510</v>
      </c>
      <c r="L130">
        <v>1368</v>
      </c>
      <c r="N130">
        <v>1011</v>
      </c>
      <c r="O130" t="s">
        <v>331</v>
      </c>
      <c r="P130" t="s">
        <v>331</v>
      </c>
      <c r="Q130">
        <v>1</v>
      </c>
      <c r="W130">
        <v>0</v>
      </c>
      <c r="X130">
        <v>1736493163</v>
      </c>
      <c r="Y130">
        <v>6.25E-2</v>
      </c>
      <c r="AA130">
        <v>0</v>
      </c>
      <c r="AB130">
        <v>17.45</v>
      </c>
      <c r="AC130">
        <v>0</v>
      </c>
      <c r="AD130">
        <v>0</v>
      </c>
      <c r="AE130">
        <v>0</v>
      </c>
      <c r="AF130">
        <v>9.9700000000000006</v>
      </c>
      <c r="AG130">
        <v>0</v>
      </c>
      <c r="AH130">
        <v>0</v>
      </c>
      <c r="AI130">
        <v>1</v>
      </c>
      <c r="AJ130">
        <v>1.75</v>
      </c>
      <c r="AK130">
        <v>33.049999999999997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0.05</v>
      </c>
      <c r="AU130" t="s">
        <v>100</v>
      </c>
      <c r="AV130">
        <v>0</v>
      </c>
      <c r="AW130">
        <v>2</v>
      </c>
      <c r="AX130">
        <v>35833744</v>
      </c>
      <c r="AY130">
        <v>1</v>
      </c>
      <c r="AZ130">
        <v>0</v>
      </c>
      <c r="BA130">
        <v>132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Y130*Source!I125</f>
        <v>2E-3</v>
      </c>
      <c r="CY130">
        <f>AB130</f>
        <v>17.45</v>
      </c>
      <c r="CZ130">
        <f>AF130</f>
        <v>9.9700000000000006</v>
      </c>
      <c r="DA130">
        <f>AJ130</f>
        <v>1.75</v>
      </c>
      <c r="DB130">
        <f t="shared" si="19"/>
        <v>0.625</v>
      </c>
      <c r="DC130">
        <f t="shared" si="20"/>
        <v>0</v>
      </c>
    </row>
    <row r="131" spans="1:107">
      <c r="A131">
        <f>ROW(Source!A125)</f>
        <v>125</v>
      </c>
      <c r="B131">
        <v>34132744</v>
      </c>
      <c r="C131">
        <v>35833738</v>
      </c>
      <c r="D131">
        <v>35555088</v>
      </c>
      <c r="E131">
        <v>1</v>
      </c>
      <c r="F131">
        <v>1</v>
      </c>
      <c r="G131">
        <v>1</v>
      </c>
      <c r="H131">
        <v>2</v>
      </c>
      <c r="I131" t="s">
        <v>342</v>
      </c>
      <c r="J131" t="s">
        <v>556</v>
      </c>
      <c r="K131" t="s">
        <v>344</v>
      </c>
      <c r="L131">
        <v>1368</v>
      </c>
      <c r="N131">
        <v>1011</v>
      </c>
      <c r="O131" t="s">
        <v>331</v>
      </c>
      <c r="P131" t="s">
        <v>331</v>
      </c>
      <c r="Q131">
        <v>1</v>
      </c>
      <c r="W131">
        <v>0</v>
      </c>
      <c r="X131">
        <v>586434904</v>
      </c>
      <c r="Y131">
        <v>0.35000000000000003</v>
      </c>
      <c r="AA131">
        <v>0</v>
      </c>
      <c r="AB131">
        <v>932.72</v>
      </c>
      <c r="AC131">
        <v>383.38</v>
      </c>
      <c r="AD131">
        <v>0</v>
      </c>
      <c r="AE131">
        <v>0</v>
      </c>
      <c r="AF131">
        <v>87.17</v>
      </c>
      <c r="AG131">
        <v>11.6</v>
      </c>
      <c r="AH131">
        <v>0</v>
      </c>
      <c r="AI131">
        <v>1</v>
      </c>
      <c r="AJ131">
        <v>10.7</v>
      </c>
      <c r="AK131">
        <v>33.049999999999997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0.28000000000000003</v>
      </c>
      <c r="AU131" t="s">
        <v>100</v>
      </c>
      <c r="AV131">
        <v>0</v>
      </c>
      <c r="AW131">
        <v>2</v>
      </c>
      <c r="AX131">
        <v>35833745</v>
      </c>
      <c r="AY131">
        <v>1</v>
      </c>
      <c r="AZ131">
        <v>0</v>
      </c>
      <c r="BA131">
        <v>133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Y131*Source!I125</f>
        <v>1.1200000000000002E-2</v>
      </c>
      <c r="CY131">
        <f>AB131</f>
        <v>932.72</v>
      </c>
      <c r="CZ131">
        <f>AF131</f>
        <v>87.17</v>
      </c>
      <c r="DA131">
        <f>AJ131</f>
        <v>10.7</v>
      </c>
      <c r="DB131">
        <f t="shared" si="19"/>
        <v>30.512499999999999</v>
      </c>
      <c r="DC131">
        <f t="shared" si="20"/>
        <v>4.0625</v>
      </c>
    </row>
    <row r="132" spans="1:107">
      <c r="A132">
        <f>ROW(Source!A125)</f>
        <v>125</v>
      </c>
      <c r="B132">
        <v>34132744</v>
      </c>
      <c r="C132">
        <v>35833738</v>
      </c>
      <c r="D132">
        <v>35552759</v>
      </c>
      <c r="E132">
        <v>1</v>
      </c>
      <c r="F132">
        <v>1</v>
      </c>
      <c r="G132">
        <v>1</v>
      </c>
      <c r="H132">
        <v>3</v>
      </c>
      <c r="I132" t="s">
        <v>487</v>
      </c>
      <c r="J132" t="s">
        <v>557</v>
      </c>
      <c r="K132" t="s">
        <v>489</v>
      </c>
      <c r="L132">
        <v>1346</v>
      </c>
      <c r="N132">
        <v>1009</v>
      </c>
      <c r="O132" t="s">
        <v>401</v>
      </c>
      <c r="P132" t="s">
        <v>401</v>
      </c>
      <c r="Q132">
        <v>1</v>
      </c>
      <c r="W132">
        <v>0</v>
      </c>
      <c r="X132">
        <v>1303768260</v>
      </c>
      <c r="Y132">
        <v>0.5</v>
      </c>
      <c r="AA132">
        <v>46.61</v>
      </c>
      <c r="AB132">
        <v>0</v>
      </c>
      <c r="AC132">
        <v>0</v>
      </c>
      <c r="AD132">
        <v>0</v>
      </c>
      <c r="AE132">
        <v>1.81</v>
      </c>
      <c r="AF132">
        <v>0</v>
      </c>
      <c r="AG132">
        <v>0</v>
      </c>
      <c r="AH132">
        <v>0</v>
      </c>
      <c r="AI132">
        <v>25.75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0.5</v>
      </c>
      <c r="AU132" t="s">
        <v>3</v>
      </c>
      <c r="AV132">
        <v>0</v>
      </c>
      <c r="AW132">
        <v>2</v>
      </c>
      <c r="AX132">
        <v>35833746</v>
      </c>
      <c r="AY132">
        <v>1</v>
      </c>
      <c r="AZ132">
        <v>0</v>
      </c>
      <c r="BA132">
        <v>134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Y132*Source!I125</f>
        <v>1.6E-2</v>
      </c>
      <c r="CY132">
        <f>AA132</f>
        <v>46.61</v>
      </c>
      <c r="CZ132">
        <f>AE132</f>
        <v>1.81</v>
      </c>
      <c r="DA132">
        <f>AI132</f>
        <v>25.75</v>
      </c>
      <c r="DB132">
        <f t="shared" ref="DB132:DB138" si="21">ROUND(ROUND(AT132*CZ132,2),6)</f>
        <v>0.91</v>
      </c>
      <c r="DC132">
        <f t="shared" ref="DC132:DC138" si="22">ROUND(ROUND(AT132*AG132,2),6)</f>
        <v>0</v>
      </c>
    </row>
    <row r="133" spans="1:107">
      <c r="A133">
        <f>ROW(Source!A125)</f>
        <v>125</v>
      </c>
      <c r="B133">
        <v>34132744</v>
      </c>
      <c r="C133">
        <v>35833738</v>
      </c>
      <c r="D133">
        <v>35552810</v>
      </c>
      <c r="E133">
        <v>1</v>
      </c>
      <c r="F133">
        <v>1</v>
      </c>
      <c r="G133">
        <v>1</v>
      </c>
      <c r="H133">
        <v>3</v>
      </c>
      <c r="I133" t="s">
        <v>511</v>
      </c>
      <c r="J133" t="s">
        <v>558</v>
      </c>
      <c r="K133" t="s">
        <v>513</v>
      </c>
      <c r="L133">
        <v>1348</v>
      </c>
      <c r="N133">
        <v>1009</v>
      </c>
      <c r="O133" t="s">
        <v>26</v>
      </c>
      <c r="P133" t="s">
        <v>26</v>
      </c>
      <c r="Q133">
        <v>1000</v>
      </c>
      <c r="W133">
        <v>0</v>
      </c>
      <c r="X133">
        <v>688809200</v>
      </c>
      <c r="Y133">
        <v>0.05</v>
      </c>
      <c r="AA133">
        <v>38737.9</v>
      </c>
      <c r="AB133">
        <v>0</v>
      </c>
      <c r="AC133">
        <v>0</v>
      </c>
      <c r="AD133">
        <v>0</v>
      </c>
      <c r="AE133">
        <v>6532.53</v>
      </c>
      <c r="AF133">
        <v>0</v>
      </c>
      <c r="AG133">
        <v>0</v>
      </c>
      <c r="AH133">
        <v>0</v>
      </c>
      <c r="AI133">
        <v>5.93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0.05</v>
      </c>
      <c r="AU133" t="s">
        <v>3</v>
      </c>
      <c r="AV133">
        <v>0</v>
      </c>
      <c r="AW133">
        <v>2</v>
      </c>
      <c r="AX133">
        <v>35833747</v>
      </c>
      <c r="AY133">
        <v>1</v>
      </c>
      <c r="AZ133">
        <v>0</v>
      </c>
      <c r="BA133">
        <v>135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Y133*Source!I125</f>
        <v>1.6000000000000001E-3</v>
      </c>
      <c r="CY133">
        <f>AA133</f>
        <v>38737.9</v>
      </c>
      <c r="CZ133">
        <f>AE133</f>
        <v>6532.53</v>
      </c>
      <c r="DA133">
        <f>AI133</f>
        <v>5.93</v>
      </c>
      <c r="DB133">
        <f t="shared" si="21"/>
        <v>326.63</v>
      </c>
      <c r="DC133">
        <f t="shared" si="22"/>
        <v>0</v>
      </c>
    </row>
    <row r="134" spans="1:107">
      <c r="A134">
        <f>ROW(Source!A125)</f>
        <v>125</v>
      </c>
      <c r="B134">
        <v>34132744</v>
      </c>
      <c r="C134">
        <v>35833738</v>
      </c>
      <c r="D134">
        <v>35552960</v>
      </c>
      <c r="E134">
        <v>1</v>
      </c>
      <c r="F134">
        <v>1</v>
      </c>
      <c r="G134">
        <v>1</v>
      </c>
      <c r="H134">
        <v>3</v>
      </c>
      <c r="I134" t="s">
        <v>514</v>
      </c>
      <c r="J134" t="s">
        <v>559</v>
      </c>
      <c r="K134" t="s">
        <v>516</v>
      </c>
      <c r="L134">
        <v>1346</v>
      </c>
      <c r="N134">
        <v>1009</v>
      </c>
      <c r="O134" t="s">
        <v>401</v>
      </c>
      <c r="P134" t="s">
        <v>401</v>
      </c>
      <c r="Q134">
        <v>1</v>
      </c>
      <c r="W134">
        <v>0</v>
      </c>
      <c r="X134">
        <v>1499488095</v>
      </c>
      <c r="Y134">
        <v>430</v>
      </c>
      <c r="AA134">
        <v>15.98</v>
      </c>
      <c r="AB134">
        <v>0</v>
      </c>
      <c r="AC134">
        <v>0</v>
      </c>
      <c r="AD134">
        <v>0</v>
      </c>
      <c r="AE134">
        <v>3.86</v>
      </c>
      <c r="AF134">
        <v>0</v>
      </c>
      <c r="AG134">
        <v>0</v>
      </c>
      <c r="AH134">
        <v>0</v>
      </c>
      <c r="AI134">
        <v>4.1399999999999997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430</v>
      </c>
      <c r="AU134" t="s">
        <v>3</v>
      </c>
      <c r="AV134">
        <v>0</v>
      </c>
      <c r="AW134">
        <v>2</v>
      </c>
      <c r="AX134">
        <v>35833748</v>
      </c>
      <c r="AY134">
        <v>1</v>
      </c>
      <c r="AZ134">
        <v>0</v>
      </c>
      <c r="BA134">
        <v>136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Y134*Source!I125</f>
        <v>13.76</v>
      </c>
      <c r="CY134">
        <f>AA134</f>
        <v>15.98</v>
      </c>
      <c r="CZ134">
        <f>AE134</f>
        <v>3.86</v>
      </c>
      <c r="DA134">
        <f>AI134</f>
        <v>4.1399999999999997</v>
      </c>
      <c r="DB134">
        <f t="shared" si="21"/>
        <v>1659.8</v>
      </c>
      <c r="DC134">
        <f t="shared" si="22"/>
        <v>0</v>
      </c>
    </row>
    <row r="135" spans="1:107">
      <c r="A135">
        <f>ROW(Source!A125)</f>
        <v>125</v>
      </c>
      <c r="B135">
        <v>34132744</v>
      </c>
      <c r="C135">
        <v>35833738</v>
      </c>
      <c r="D135">
        <v>35552967</v>
      </c>
      <c r="E135">
        <v>1</v>
      </c>
      <c r="F135">
        <v>1</v>
      </c>
      <c r="G135">
        <v>1</v>
      </c>
      <c r="H135">
        <v>3</v>
      </c>
      <c r="I135" t="s">
        <v>560</v>
      </c>
      <c r="J135" t="s">
        <v>561</v>
      </c>
      <c r="K135" t="s">
        <v>562</v>
      </c>
      <c r="L135">
        <v>1327</v>
      </c>
      <c r="N135">
        <v>1005</v>
      </c>
      <c r="O135" t="s">
        <v>140</v>
      </c>
      <c r="P135" t="s">
        <v>140</v>
      </c>
      <c r="Q135">
        <v>1</v>
      </c>
      <c r="W135">
        <v>0</v>
      </c>
      <c r="X135">
        <v>1903771897</v>
      </c>
      <c r="Y135">
        <v>102</v>
      </c>
      <c r="AA135">
        <v>321.83</v>
      </c>
      <c r="AB135">
        <v>0</v>
      </c>
      <c r="AC135">
        <v>0</v>
      </c>
      <c r="AD135">
        <v>0</v>
      </c>
      <c r="AE135">
        <v>69.209999999999994</v>
      </c>
      <c r="AF135">
        <v>0</v>
      </c>
      <c r="AG135">
        <v>0</v>
      </c>
      <c r="AH135">
        <v>0</v>
      </c>
      <c r="AI135">
        <v>4.6500000000000004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102</v>
      </c>
      <c r="AU135" t="s">
        <v>3</v>
      </c>
      <c r="AV135">
        <v>0</v>
      </c>
      <c r="AW135">
        <v>2</v>
      </c>
      <c r="AX135">
        <v>35833749</v>
      </c>
      <c r="AY135">
        <v>1</v>
      </c>
      <c r="AZ135">
        <v>0</v>
      </c>
      <c r="BA135">
        <v>137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Y135*Source!I125</f>
        <v>3.2640000000000002</v>
      </c>
      <c r="CY135">
        <f>AA135</f>
        <v>321.83</v>
      </c>
      <c r="CZ135">
        <f>AE135</f>
        <v>69.209999999999994</v>
      </c>
      <c r="DA135">
        <f>AI135</f>
        <v>4.6500000000000004</v>
      </c>
      <c r="DB135">
        <f t="shared" si="21"/>
        <v>7059.42</v>
      </c>
      <c r="DC135">
        <f t="shared" si="22"/>
        <v>0</v>
      </c>
    </row>
    <row r="136" spans="1:107">
      <c r="A136">
        <f>ROW(Source!A125)</f>
        <v>125</v>
      </c>
      <c r="B136">
        <v>34132744</v>
      </c>
      <c r="C136">
        <v>35833738</v>
      </c>
      <c r="D136">
        <v>35554227</v>
      </c>
      <c r="E136">
        <v>1</v>
      </c>
      <c r="F136">
        <v>1</v>
      </c>
      <c r="G136">
        <v>1</v>
      </c>
      <c r="H136">
        <v>3</v>
      </c>
      <c r="I136" t="s">
        <v>520</v>
      </c>
      <c r="J136" t="s">
        <v>563</v>
      </c>
      <c r="K136" t="s">
        <v>522</v>
      </c>
      <c r="L136">
        <v>1339</v>
      </c>
      <c r="N136">
        <v>1007</v>
      </c>
      <c r="O136" t="s">
        <v>182</v>
      </c>
      <c r="P136" t="s">
        <v>182</v>
      </c>
      <c r="Q136">
        <v>1</v>
      </c>
      <c r="W136">
        <v>0</v>
      </c>
      <c r="X136">
        <v>1003927546</v>
      </c>
      <c r="Y136">
        <v>3.5</v>
      </c>
      <c r="AA136">
        <v>22.2</v>
      </c>
      <c r="AB136">
        <v>0</v>
      </c>
      <c r="AC136">
        <v>0</v>
      </c>
      <c r="AD136">
        <v>0</v>
      </c>
      <c r="AE136">
        <v>2.44</v>
      </c>
      <c r="AF136">
        <v>0</v>
      </c>
      <c r="AG136">
        <v>0</v>
      </c>
      <c r="AH136">
        <v>0</v>
      </c>
      <c r="AI136">
        <v>9.1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3.5</v>
      </c>
      <c r="AU136" t="s">
        <v>3</v>
      </c>
      <c r="AV136">
        <v>0</v>
      </c>
      <c r="AW136">
        <v>2</v>
      </c>
      <c r="AX136">
        <v>35833750</v>
      </c>
      <c r="AY136">
        <v>1</v>
      </c>
      <c r="AZ136">
        <v>0</v>
      </c>
      <c r="BA136">
        <v>138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Y136*Source!I125</f>
        <v>0.112</v>
      </c>
      <c r="CY136">
        <f>AA136</f>
        <v>22.2</v>
      </c>
      <c r="CZ136">
        <f>AE136</f>
        <v>2.44</v>
      </c>
      <c r="DA136">
        <f>AI136</f>
        <v>9.1</v>
      </c>
      <c r="DB136">
        <f t="shared" si="21"/>
        <v>8.5399999999999991</v>
      </c>
      <c r="DC136">
        <f t="shared" si="22"/>
        <v>0</v>
      </c>
    </row>
    <row r="137" spans="1:107">
      <c r="A137">
        <f>ROW(Source!A126)</f>
        <v>126</v>
      </c>
      <c r="B137">
        <v>34132744</v>
      </c>
      <c r="C137">
        <v>36151154</v>
      </c>
      <c r="D137">
        <v>18411771</v>
      </c>
      <c r="E137">
        <v>1</v>
      </c>
      <c r="F137">
        <v>1</v>
      </c>
      <c r="G137">
        <v>1</v>
      </c>
      <c r="H137">
        <v>1</v>
      </c>
      <c r="I137" t="s">
        <v>321</v>
      </c>
      <c r="J137" t="s">
        <v>3</v>
      </c>
      <c r="K137" t="s">
        <v>322</v>
      </c>
      <c r="L137">
        <v>1369</v>
      </c>
      <c r="N137">
        <v>1013</v>
      </c>
      <c r="O137" t="s">
        <v>323</v>
      </c>
      <c r="P137" t="s">
        <v>323</v>
      </c>
      <c r="Q137">
        <v>1</v>
      </c>
      <c r="W137">
        <v>0</v>
      </c>
      <c r="X137">
        <v>922534627</v>
      </c>
      <c r="Y137">
        <v>36.28</v>
      </c>
      <c r="AA137">
        <v>0</v>
      </c>
      <c r="AB137">
        <v>0</v>
      </c>
      <c r="AC137">
        <v>0</v>
      </c>
      <c r="AD137">
        <v>259.24</v>
      </c>
      <c r="AE137">
        <v>0</v>
      </c>
      <c r="AF137">
        <v>0</v>
      </c>
      <c r="AG137">
        <v>0</v>
      </c>
      <c r="AH137">
        <v>259.24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36.28</v>
      </c>
      <c r="AU137" t="s">
        <v>3</v>
      </c>
      <c r="AV137">
        <v>1</v>
      </c>
      <c r="AW137">
        <v>2</v>
      </c>
      <c r="AX137">
        <v>36151155</v>
      </c>
      <c r="AY137">
        <v>1</v>
      </c>
      <c r="AZ137">
        <v>0</v>
      </c>
      <c r="BA137">
        <v>139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Y137*Source!I126</f>
        <v>1.41492</v>
      </c>
      <c r="CY137">
        <f>AD137</f>
        <v>259.24</v>
      </c>
      <c r="CZ137">
        <f>AH137</f>
        <v>259.24</v>
      </c>
      <c r="DA137">
        <f>AL137</f>
        <v>1</v>
      </c>
      <c r="DB137">
        <f t="shared" si="21"/>
        <v>9405.23</v>
      </c>
      <c r="DC137">
        <f t="shared" si="22"/>
        <v>0</v>
      </c>
    </row>
    <row r="138" spans="1:107">
      <c r="A138">
        <f>ROW(Source!A126)</f>
        <v>126</v>
      </c>
      <c r="B138">
        <v>34132744</v>
      </c>
      <c r="C138">
        <v>36151154</v>
      </c>
      <c r="D138">
        <v>29164349</v>
      </c>
      <c r="E138">
        <v>1</v>
      </c>
      <c r="F138">
        <v>1</v>
      </c>
      <c r="G138">
        <v>1</v>
      </c>
      <c r="H138">
        <v>3</v>
      </c>
      <c r="I138" t="s">
        <v>24</v>
      </c>
      <c r="J138" t="s">
        <v>27</v>
      </c>
      <c r="K138" t="s">
        <v>25</v>
      </c>
      <c r="L138">
        <v>1348</v>
      </c>
      <c r="N138">
        <v>1009</v>
      </c>
      <c r="O138" t="s">
        <v>26</v>
      </c>
      <c r="P138" t="s">
        <v>26</v>
      </c>
      <c r="Q138">
        <v>1000</v>
      </c>
      <c r="W138">
        <v>0</v>
      </c>
      <c r="X138">
        <v>-304821490</v>
      </c>
      <c r="Y138">
        <v>1.18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3</v>
      </c>
      <c r="AT138">
        <v>1.18</v>
      </c>
      <c r="AU138" t="s">
        <v>3</v>
      </c>
      <c r="AV138">
        <v>0</v>
      </c>
      <c r="AW138">
        <v>2</v>
      </c>
      <c r="AX138">
        <v>36151156</v>
      </c>
      <c r="AY138">
        <v>1</v>
      </c>
      <c r="AZ138">
        <v>0</v>
      </c>
      <c r="BA138">
        <v>140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Y138*Source!I126</f>
        <v>4.6019999999999998E-2</v>
      </c>
      <c r="CY138">
        <f>AA138</f>
        <v>0</v>
      </c>
      <c r="CZ138">
        <f>AE138</f>
        <v>0</v>
      </c>
      <c r="DA138">
        <f>AI138</f>
        <v>1</v>
      </c>
      <c r="DB138">
        <f t="shared" si="21"/>
        <v>0</v>
      </c>
      <c r="DC138">
        <f t="shared" si="22"/>
        <v>0</v>
      </c>
    </row>
    <row r="139" spans="1:107">
      <c r="A139">
        <f>ROW(Source!A128)</f>
        <v>128</v>
      </c>
      <c r="B139">
        <v>34132744</v>
      </c>
      <c r="C139">
        <v>35833286</v>
      </c>
      <c r="D139">
        <v>18413627</v>
      </c>
      <c r="E139">
        <v>1</v>
      </c>
      <c r="F139">
        <v>1</v>
      </c>
      <c r="G139">
        <v>1</v>
      </c>
      <c r="H139">
        <v>1</v>
      </c>
      <c r="I139" t="s">
        <v>418</v>
      </c>
      <c r="J139" t="s">
        <v>3</v>
      </c>
      <c r="K139" t="s">
        <v>419</v>
      </c>
      <c r="L139">
        <v>1369</v>
      </c>
      <c r="N139">
        <v>1013</v>
      </c>
      <c r="O139" t="s">
        <v>323</v>
      </c>
      <c r="P139" t="s">
        <v>323</v>
      </c>
      <c r="Q139">
        <v>1</v>
      </c>
      <c r="W139">
        <v>0</v>
      </c>
      <c r="X139">
        <v>-1366182279</v>
      </c>
      <c r="Y139">
        <v>2.76</v>
      </c>
      <c r="AA139">
        <v>0</v>
      </c>
      <c r="AB139">
        <v>0</v>
      </c>
      <c r="AC139">
        <v>0</v>
      </c>
      <c r="AD139">
        <v>323.88</v>
      </c>
      <c r="AE139">
        <v>0</v>
      </c>
      <c r="AF139">
        <v>0</v>
      </c>
      <c r="AG139">
        <v>0</v>
      </c>
      <c r="AH139">
        <v>323.88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2.4</v>
      </c>
      <c r="AU139" t="s">
        <v>101</v>
      </c>
      <c r="AV139">
        <v>1</v>
      </c>
      <c r="AW139">
        <v>2</v>
      </c>
      <c r="AX139">
        <v>35833287</v>
      </c>
      <c r="AY139">
        <v>1</v>
      </c>
      <c r="AZ139">
        <v>0</v>
      </c>
      <c r="BA139">
        <v>141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Y139*Source!I128</f>
        <v>5.7959999999999994</v>
      </c>
      <c r="CY139">
        <f>AD139</f>
        <v>323.88</v>
      </c>
      <c r="CZ139">
        <f>AH139</f>
        <v>323.88</v>
      </c>
      <c r="DA139">
        <f>AL139</f>
        <v>1</v>
      </c>
      <c r="DB139">
        <f>ROUND((ROUND(AT139*CZ139,2)*1.15),6)</f>
        <v>893.90650000000005</v>
      </c>
      <c r="DC139">
        <f>ROUND((ROUND(AT139*AG139,2)*1.15),6)</f>
        <v>0</v>
      </c>
    </row>
    <row r="140" spans="1:107">
      <c r="A140">
        <f>ROW(Source!A128)</f>
        <v>128</v>
      </c>
      <c r="B140">
        <v>34132744</v>
      </c>
      <c r="C140">
        <v>35833286</v>
      </c>
      <c r="D140">
        <v>29172657</v>
      </c>
      <c r="E140">
        <v>1</v>
      </c>
      <c r="F140">
        <v>1</v>
      </c>
      <c r="G140">
        <v>1</v>
      </c>
      <c r="H140">
        <v>2</v>
      </c>
      <c r="I140" t="s">
        <v>420</v>
      </c>
      <c r="J140" t="s">
        <v>421</v>
      </c>
      <c r="K140" t="s">
        <v>422</v>
      </c>
      <c r="L140">
        <v>1368</v>
      </c>
      <c r="N140">
        <v>1011</v>
      </c>
      <c r="O140" t="s">
        <v>331</v>
      </c>
      <c r="P140" t="s">
        <v>331</v>
      </c>
      <c r="Q140">
        <v>1</v>
      </c>
      <c r="W140">
        <v>0</v>
      </c>
      <c r="X140">
        <v>-86677160</v>
      </c>
      <c r="Y140">
        <v>0.5</v>
      </c>
      <c r="AA140">
        <v>0</v>
      </c>
      <c r="AB140">
        <v>60.26</v>
      </c>
      <c r="AC140">
        <v>0</v>
      </c>
      <c r="AD140">
        <v>0</v>
      </c>
      <c r="AE140">
        <v>0</v>
      </c>
      <c r="AF140">
        <v>8.1</v>
      </c>
      <c r="AG140">
        <v>0</v>
      </c>
      <c r="AH140">
        <v>0</v>
      </c>
      <c r="AI140">
        <v>1</v>
      </c>
      <c r="AJ140">
        <v>7.44</v>
      </c>
      <c r="AK140">
        <v>33.049999999999997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0.4</v>
      </c>
      <c r="AU140" t="s">
        <v>100</v>
      </c>
      <c r="AV140">
        <v>0</v>
      </c>
      <c r="AW140">
        <v>2</v>
      </c>
      <c r="AX140">
        <v>35833288</v>
      </c>
      <c r="AY140">
        <v>1</v>
      </c>
      <c r="AZ140">
        <v>0</v>
      </c>
      <c r="BA140">
        <v>142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Y140*Source!I128</f>
        <v>1.05</v>
      </c>
      <c r="CY140">
        <f>AB140</f>
        <v>60.26</v>
      </c>
      <c r="CZ140">
        <f>AF140</f>
        <v>8.1</v>
      </c>
      <c r="DA140">
        <f>AJ140</f>
        <v>7.44</v>
      </c>
      <c r="DB140">
        <f>ROUND((ROUND(AT140*CZ140,2)*1.25),6)</f>
        <v>4.05</v>
      </c>
      <c r="DC140">
        <f>ROUND((ROUND(AT140*AG140,2)*1.25),6)</f>
        <v>0</v>
      </c>
    </row>
    <row r="141" spans="1:107">
      <c r="A141">
        <f>ROW(Source!A128)</f>
        <v>128</v>
      </c>
      <c r="B141">
        <v>34132744</v>
      </c>
      <c r="C141">
        <v>35833286</v>
      </c>
      <c r="D141">
        <v>29174507</v>
      </c>
      <c r="E141">
        <v>1</v>
      </c>
      <c r="F141">
        <v>1</v>
      </c>
      <c r="G141">
        <v>1</v>
      </c>
      <c r="H141">
        <v>2</v>
      </c>
      <c r="I141" t="s">
        <v>423</v>
      </c>
      <c r="J141" t="s">
        <v>424</v>
      </c>
      <c r="K141" t="s">
        <v>425</v>
      </c>
      <c r="L141">
        <v>1368</v>
      </c>
      <c r="N141">
        <v>1011</v>
      </c>
      <c r="O141" t="s">
        <v>331</v>
      </c>
      <c r="P141" t="s">
        <v>331</v>
      </c>
      <c r="Q141">
        <v>1</v>
      </c>
      <c r="W141">
        <v>0</v>
      </c>
      <c r="X141">
        <v>-1974929952</v>
      </c>
      <c r="Y141">
        <v>0.15</v>
      </c>
      <c r="AA141">
        <v>0</v>
      </c>
      <c r="AB141">
        <v>18.11</v>
      </c>
      <c r="AC141">
        <v>0</v>
      </c>
      <c r="AD141">
        <v>0</v>
      </c>
      <c r="AE141">
        <v>0</v>
      </c>
      <c r="AF141">
        <v>5.13</v>
      </c>
      <c r="AG141">
        <v>0</v>
      </c>
      <c r="AH141">
        <v>0</v>
      </c>
      <c r="AI141">
        <v>1</v>
      </c>
      <c r="AJ141">
        <v>3.53</v>
      </c>
      <c r="AK141">
        <v>33.049999999999997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0.12</v>
      </c>
      <c r="AU141" t="s">
        <v>100</v>
      </c>
      <c r="AV141">
        <v>0</v>
      </c>
      <c r="AW141">
        <v>2</v>
      </c>
      <c r="AX141">
        <v>35833289</v>
      </c>
      <c r="AY141">
        <v>1</v>
      </c>
      <c r="AZ141">
        <v>0</v>
      </c>
      <c r="BA141">
        <v>143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Y141*Source!I128</f>
        <v>0.315</v>
      </c>
      <c r="CY141">
        <f>AB141</f>
        <v>18.11</v>
      </c>
      <c r="CZ141">
        <f>AF141</f>
        <v>5.13</v>
      </c>
      <c r="DA141">
        <f>AJ141</f>
        <v>3.53</v>
      </c>
      <c r="DB141">
        <f>ROUND((ROUND(AT141*CZ141,2)*1.25),6)</f>
        <v>0.77500000000000002</v>
      </c>
      <c r="DC141">
        <f>ROUND((ROUND(AT141*AG141,2)*1.25),6)</f>
        <v>0</v>
      </c>
    </row>
    <row r="142" spans="1:107">
      <c r="A142">
        <f>ROW(Source!A128)</f>
        <v>128</v>
      </c>
      <c r="B142">
        <v>34132744</v>
      </c>
      <c r="C142">
        <v>35833286</v>
      </c>
      <c r="D142">
        <v>29174580</v>
      </c>
      <c r="E142">
        <v>1</v>
      </c>
      <c r="F142">
        <v>1</v>
      </c>
      <c r="G142">
        <v>1</v>
      </c>
      <c r="H142">
        <v>2</v>
      </c>
      <c r="I142" t="s">
        <v>426</v>
      </c>
      <c r="J142" t="s">
        <v>427</v>
      </c>
      <c r="K142" t="s">
        <v>428</v>
      </c>
      <c r="L142">
        <v>1368</v>
      </c>
      <c r="N142">
        <v>1011</v>
      </c>
      <c r="O142" t="s">
        <v>331</v>
      </c>
      <c r="P142" t="s">
        <v>331</v>
      </c>
      <c r="Q142">
        <v>1</v>
      </c>
      <c r="W142">
        <v>0</v>
      </c>
      <c r="X142">
        <v>-169468834</v>
      </c>
      <c r="Y142">
        <v>0.23749999999999999</v>
      </c>
      <c r="AA142">
        <v>0</v>
      </c>
      <c r="AB142">
        <v>31.87</v>
      </c>
      <c r="AC142">
        <v>0</v>
      </c>
      <c r="AD142">
        <v>0</v>
      </c>
      <c r="AE142">
        <v>0</v>
      </c>
      <c r="AF142">
        <v>2.08</v>
      </c>
      <c r="AG142">
        <v>0</v>
      </c>
      <c r="AH142">
        <v>0</v>
      </c>
      <c r="AI142">
        <v>1</v>
      </c>
      <c r="AJ142">
        <v>15.32</v>
      </c>
      <c r="AK142">
        <v>33.049999999999997</v>
      </c>
      <c r="AL142">
        <v>1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3</v>
      </c>
      <c r="AT142">
        <v>0.19</v>
      </c>
      <c r="AU142" t="s">
        <v>100</v>
      </c>
      <c r="AV142">
        <v>0</v>
      </c>
      <c r="AW142">
        <v>2</v>
      </c>
      <c r="AX142">
        <v>35833290</v>
      </c>
      <c r="AY142">
        <v>1</v>
      </c>
      <c r="AZ142">
        <v>0</v>
      </c>
      <c r="BA142">
        <v>144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Y142*Source!I128</f>
        <v>0.49874999999999997</v>
      </c>
      <c r="CY142">
        <f>AB142</f>
        <v>31.87</v>
      </c>
      <c r="CZ142">
        <f>AF142</f>
        <v>2.08</v>
      </c>
      <c r="DA142">
        <f>AJ142</f>
        <v>15.32</v>
      </c>
      <c r="DB142">
        <f>ROUND((ROUND(AT142*CZ142,2)*1.25),6)</f>
        <v>0.5</v>
      </c>
      <c r="DC142">
        <f>ROUND((ROUND(AT142*AG142,2)*1.25),6)</f>
        <v>0</v>
      </c>
    </row>
    <row r="143" spans="1:107">
      <c r="A143">
        <f>ROW(Source!A128)</f>
        <v>128</v>
      </c>
      <c r="B143">
        <v>34132744</v>
      </c>
      <c r="C143">
        <v>35833286</v>
      </c>
      <c r="D143">
        <v>29174913</v>
      </c>
      <c r="E143">
        <v>1</v>
      </c>
      <c r="F143">
        <v>1</v>
      </c>
      <c r="G143">
        <v>1</v>
      </c>
      <c r="H143">
        <v>2</v>
      </c>
      <c r="I143" t="s">
        <v>342</v>
      </c>
      <c r="J143" t="s">
        <v>343</v>
      </c>
      <c r="K143" t="s">
        <v>344</v>
      </c>
      <c r="L143">
        <v>1368</v>
      </c>
      <c r="N143">
        <v>1011</v>
      </c>
      <c r="O143" t="s">
        <v>331</v>
      </c>
      <c r="P143" t="s">
        <v>331</v>
      </c>
      <c r="Q143">
        <v>1</v>
      </c>
      <c r="W143">
        <v>0</v>
      </c>
      <c r="X143">
        <v>458544584</v>
      </c>
      <c r="Y143">
        <v>0.21250000000000002</v>
      </c>
      <c r="AA143">
        <v>0</v>
      </c>
      <c r="AB143">
        <v>932.72</v>
      </c>
      <c r="AC143">
        <v>383.38</v>
      </c>
      <c r="AD143">
        <v>0</v>
      </c>
      <c r="AE143">
        <v>0</v>
      </c>
      <c r="AF143">
        <v>87.17</v>
      </c>
      <c r="AG143">
        <v>11.6</v>
      </c>
      <c r="AH143">
        <v>0</v>
      </c>
      <c r="AI143">
        <v>1</v>
      </c>
      <c r="AJ143">
        <v>10.7</v>
      </c>
      <c r="AK143">
        <v>33.049999999999997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0.17</v>
      </c>
      <c r="AU143" t="s">
        <v>100</v>
      </c>
      <c r="AV143">
        <v>0</v>
      </c>
      <c r="AW143">
        <v>2</v>
      </c>
      <c r="AX143">
        <v>35833291</v>
      </c>
      <c r="AY143">
        <v>1</v>
      </c>
      <c r="AZ143">
        <v>0</v>
      </c>
      <c r="BA143">
        <v>145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Y143*Source!I128</f>
        <v>0.44625000000000009</v>
      </c>
      <c r="CY143">
        <f>AB143</f>
        <v>932.72</v>
      </c>
      <c r="CZ143">
        <f>AF143</f>
        <v>87.17</v>
      </c>
      <c r="DA143">
        <f>AJ143</f>
        <v>10.7</v>
      </c>
      <c r="DB143">
        <f>ROUND((ROUND(AT143*CZ143,2)*1.25),6)</f>
        <v>18.524999999999999</v>
      </c>
      <c r="DC143">
        <f>ROUND((ROUND(AT143*AG143,2)*1.25),6)</f>
        <v>2.4624999999999999</v>
      </c>
    </row>
    <row r="144" spans="1:107">
      <c r="A144">
        <f>ROW(Source!A128)</f>
        <v>128</v>
      </c>
      <c r="B144">
        <v>34132744</v>
      </c>
      <c r="C144">
        <v>35833286</v>
      </c>
      <c r="D144">
        <v>29113979</v>
      </c>
      <c r="E144">
        <v>1</v>
      </c>
      <c r="F144">
        <v>1</v>
      </c>
      <c r="G144">
        <v>1</v>
      </c>
      <c r="H144">
        <v>3</v>
      </c>
      <c r="I144" t="s">
        <v>392</v>
      </c>
      <c r="J144" t="s">
        <v>393</v>
      </c>
      <c r="K144" t="s">
        <v>394</v>
      </c>
      <c r="L144">
        <v>1348</v>
      </c>
      <c r="N144">
        <v>1009</v>
      </c>
      <c r="O144" t="s">
        <v>26</v>
      </c>
      <c r="P144" t="s">
        <v>26</v>
      </c>
      <c r="Q144">
        <v>1000</v>
      </c>
      <c r="W144">
        <v>0</v>
      </c>
      <c r="X144">
        <v>1352318502</v>
      </c>
      <c r="Y144">
        <v>1E-4</v>
      </c>
      <c r="AA144">
        <v>89992.41</v>
      </c>
      <c r="AB144">
        <v>0</v>
      </c>
      <c r="AC144">
        <v>0</v>
      </c>
      <c r="AD144">
        <v>0</v>
      </c>
      <c r="AE144">
        <v>9749.99</v>
      </c>
      <c r="AF144">
        <v>0</v>
      </c>
      <c r="AG144">
        <v>0</v>
      </c>
      <c r="AH144">
        <v>0</v>
      </c>
      <c r="AI144">
        <v>9.23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1E-4</v>
      </c>
      <c r="AU144" t="s">
        <v>3</v>
      </c>
      <c r="AV144">
        <v>0</v>
      </c>
      <c r="AW144">
        <v>2</v>
      </c>
      <c r="AX144">
        <v>35833292</v>
      </c>
      <c r="AY144">
        <v>1</v>
      </c>
      <c r="AZ144">
        <v>0</v>
      </c>
      <c r="BA144">
        <v>146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Y144*Source!I128</f>
        <v>2.1000000000000001E-4</v>
      </c>
      <c r="CY144">
        <f>AA144</f>
        <v>89992.41</v>
      </c>
      <c r="CZ144">
        <f>AE144</f>
        <v>9749.99</v>
      </c>
      <c r="DA144">
        <f>AI144</f>
        <v>9.23</v>
      </c>
      <c r="DB144">
        <f>ROUND(ROUND(AT144*CZ144,2),6)</f>
        <v>0.97</v>
      </c>
      <c r="DC144">
        <f>ROUND(ROUND(AT144*AG144,2),6)</f>
        <v>0</v>
      </c>
    </row>
    <row r="145" spans="1:107">
      <c r="A145">
        <f>ROW(Source!A128)</f>
        <v>128</v>
      </c>
      <c r="B145">
        <v>34132744</v>
      </c>
      <c r="C145">
        <v>35833286</v>
      </c>
      <c r="D145">
        <v>29107991</v>
      </c>
      <c r="E145">
        <v>1</v>
      </c>
      <c r="F145">
        <v>1</v>
      </c>
      <c r="G145">
        <v>1</v>
      </c>
      <c r="H145">
        <v>3</v>
      </c>
      <c r="I145" t="s">
        <v>429</v>
      </c>
      <c r="J145" t="s">
        <v>430</v>
      </c>
      <c r="K145" t="s">
        <v>431</v>
      </c>
      <c r="L145">
        <v>1354</v>
      </c>
      <c r="N145">
        <v>1010</v>
      </c>
      <c r="O145" t="s">
        <v>117</v>
      </c>
      <c r="P145" t="s">
        <v>117</v>
      </c>
      <c r="Q145">
        <v>1</v>
      </c>
      <c r="W145">
        <v>0</v>
      </c>
      <c r="X145">
        <v>-759618800</v>
      </c>
      <c r="Y145">
        <v>0.1</v>
      </c>
      <c r="AA145">
        <v>184.91</v>
      </c>
      <c r="AB145">
        <v>0</v>
      </c>
      <c r="AC145">
        <v>0</v>
      </c>
      <c r="AD145">
        <v>0</v>
      </c>
      <c r="AE145">
        <v>72.8</v>
      </c>
      <c r="AF145">
        <v>0</v>
      </c>
      <c r="AG145">
        <v>0</v>
      </c>
      <c r="AH145">
        <v>0</v>
      </c>
      <c r="AI145">
        <v>2.54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0.1</v>
      </c>
      <c r="AU145" t="s">
        <v>3</v>
      </c>
      <c r="AV145">
        <v>0</v>
      </c>
      <c r="AW145">
        <v>2</v>
      </c>
      <c r="AX145">
        <v>35833293</v>
      </c>
      <c r="AY145">
        <v>1</v>
      </c>
      <c r="AZ145">
        <v>0</v>
      </c>
      <c r="BA145">
        <v>147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Y145*Source!I128</f>
        <v>0.21000000000000002</v>
      </c>
      <c r="CY145">
        <f>AA145</f>
        <v>184.91</v>
      </c>
      <c r="CZ145">
        <f>AE145</f>
        <v>72.8</v>
      </c>
      <c r="DA145">
        <f>AI145</f>
        <v>2.54</v>
      </c>
      <c r="DB145">
        <f>ROUND(ROUND(AT145*CZ145,2),6)</f>
        <v>7.28</v>
      </c>
      <c r="DC145">
        <f>ROUND(ROUND(AT145*AG145,2),6)</f>
        <v>0</v>
      </c>
    </row>
    <row r="146" spans="1:107">
      <c r="A146">
        <f>ROW(Source!A128)</f>
        <v>128</v>
      </c>
      <c r="B146">
        <v>34132744</v>
      </c>
      <c r="C146">
        <v>35833286</v>
      </c>
      <c r="D146">
        <v>29130598</v>
      </c>
      <c r="E146">
        <v>1</v>
      </c>
      <c r="F146">
        <v>1</v>
      </c>
      <c r="G146">
        <v>1</v>
      </c>
      <c r="H146">
        <v>3</v>
      </c>
      <c r="I146" t="s">
        <v>203</v>
      </c>
      <c r="J146" t="s">
        <v>205</v>
      </c>
      <c r="K146" t="s">
        <v>204</v>
      </c>
      <c r="L146">
        <v>1354</v>
      </c>
      <c r="N146">
        <v>1010</v>
      </c>
      <c r="O146" t="s">
        <v>117</v>
      </c>
      <c r="P146" t="s">
        <v>117</v>
      </c>
      <c r="Q146">
        <v>1</v>
      </c>
      <c r="W146">
        <v>0</v>
      </c>
      <c r="X146">
        <v>594303638</v>
      </c>
      <c r="Y146">
        <v>0.47619</v>
      </c>
      <c r="AA146">
        <v>10938.3</v>
      </c>
      <c r="AB146">
        <v>0</v>
      </c>
      <c r="AC146">
        <v>0</v>
      </c>
      <c r="AD146">
        <v>0</v>
      </c>
      <c r="AE146">
        <v>2755.24</v>
      </c>
      <c r="AF146">
        <v>0</v>
      </c>
      <c r="AG146">
        <v>0</v>
      </c>
      <c r="AH146">
        <v>0</v>
      </c>
      <c r="AI146">
        <v>3.97</v>
      </c>
      <c r="AJ146">
        <v>1</v>
      </c>
      <c r="AK146">
        <v>1</v>
      </c>
      <c r="AL146">
        <v>1</v>
      </c>
      <c r="AN146">
        <v>0</v>
      </c>
      <c r="AO146">
        <v>0</v>
      </c>
      <c r="AP146">
        <v>0</v>
      </c>
      <c r="AQ146">
        <v>0</v>
      </c>
      <c r="AR146">
        <v>0</v>
      </c>
      <c r="AS146" t="s">
        <v>3</v>
      </c>
      <c r="AT146">
        <v>0.47619</v>
      </c>
      <c r="AU146" t="s">
        <v>3</v>
      </c>
      <c r="AV146">
        <v>0</v>
      </c>
      <c r="AW146">
        <v>1</v>
      </c>
      <c r="AX146">
        <v>-1</v>
      </c>
      <c r="AY146">
        <v>0</v>
      </c>
      <c r="AZ146">
        <v>0</v>
      </c>
      <c r="BA146" t="s">
        <v>3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Y146*Source!I128</f>
        <v>0.99999900000000008</v>
      </c>
      <c r="CY146">
        <f>AA146</f>
        <v>10938.3</v>
      </c>
      <c r="CZ146">
        <f>AE146</f>
        <v>2755.24</v>
      </c>
      <c r="DA146">
        <f>AI146</f>
        <v>3.97</v>
      </c>
      <c r="DB146">
        <f>ROUND(ROUND(AT146*CZ146,2),6)</f>
        <v>1312.02</v>
      </c>
      <c r="DC146">
        <f>ROUND(ROUND(AT146*AG146,2),6)</f>
        <v>0</v>
      </c>
    </row>
    <row r="147" spans="1:107">
      <c r="A147">
        <f>ROW(Source!A128)</f>
        <v>128</v>
      </c>
      <c r="B147">
        <v>34132744</v>
      </c>
      <c r="C147">
        <v>35833286</v>
      </c>
      <c r="D147">
        <v>29131398</v>
      </c>
      <c r="E147">
        <v>1</v>
      </c>
      <c r="F147">
        <v>1</v>
      </c>
      <c r="G147">
        <v>1</v>
      </c>
      <c r="H147">
        <v>3</v>
      </c>
      <c r="I147" t="s">
        <v>432</v>
      </c>
      <c r="J147" t="s">
        <v>433</v>
      </c>
      <c r="K147" t="s">
        <v>434</v>
      </c>
      <c r="L147">
        <v>1348</v>
      </c>
      <c r="N147">
        <v>1009</v>
      </c>
      <c r="O147" t="s">
        <v>26</v>
      </c>
      <c r="P147" t="s">
        <v>26</v>
      </c>
      <c r="Q147">
        <v>1000</v>
      </c>
      <c r="W147">
        <v>0</v>
      </c>
      <c r="X147">
        <v>1821910107</v>
      </c>
      <c r="Y147">
        <v>3.0000000000000001E-3</v>
      </c>
      <c r="AA147">
        <v>43007.64</v>
      </c>
      <c r="AB147">
        <v>0</v>
      </c>
      <c r="AC147">
        <v>0</v>
      </c>
      <c r="AD147">
        <v>0</v>
      </c>
      <c r="AE147">
        <v>5804</v>
      </c>
      <c r="AF147">
        <v>0</v>
      </c>
      <c r="AG147">
        <v>0</v>
      </c>
      <c r="AH147">
        <v>0</v>
      </c>
      <c r="AI147">
        <v>7.41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3.0000000000000001E-3</v>
      </c>
      <c r="AU147" t="s">
        <v>3</v>
      </c>
      <c r="AV147">
        <v>0</v>
      </c>
      <c r="AW147">
        <v>2</v>
      </c>
      <c r="AX147">
        <v>35833296</v>
      </c>
      <c r="AY147">
        <v>1</v>
      </c>
      <c r="AZ147">
        <v>0</v>
      </c>
      <c r="BA147">
        <v>150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Y147*Source!I128</f>
        <v>6.3E-3</v>
      </c>
      <c r="CY147">
        <f>AA147</f>
        <v>43007.64</v>
      </c>
      <c r="CZ147">
        <f>AE147</f>
        <v>5804</v>
      </c>
      <c r="DA147">
        <f>AI147</f>
        <v>7.41</v>
      </c>
      <c r="DB147">
        <f>ROUND(ROUND(AT147*CZ147,2),6)</f>
        <v>17.41</v>
      </c>
      <c r="DC147">
        <f>ROUND(ROUND(AT147*AG147,2),6)</f>
        <v>0</v>
      </c>
    </row>
    <row r="148" spans="1:107">
      <c r="A148">
        <f>ROW(Source!A130)</f>
        <v>130</v>
      </c>
      <c r="B148">
        <v>34132744</v>
      </c>
      <c r="C148">
        <v>35833299</v>
      </c>
      <c r="D148">
        <v>18413230</v>
      </c>
      <c r="E148">
        <v>1</v>
      </c>
      <c r="F148">
        <v>1</v>
      </c>
      <c r="G148">
        <v>1</v>
      </c>
      <c r="H148">
        <v>1</v>
      </c>
      <c r="I148" t="s">
        <v>435</v>
      </c>
      <c r="J148" t="s">
        <v>3</v>
      </c>
      <c r="K148" t="s">
        <v>436</v>
      </c>
      <c r="L148">
        <v>1369</v>
      </c>
      <c r="N148">
        <v>1013</v>
      </c>
      <c r="O148" t="s">
        <v>323</v>
      </c>
      <c r="P148" t="s">
        <v>323</v>
      </c>
      <c r="Q148">
        <v>1</v>
      </c>
      <c r="W148">
        <v>0</v>
      </c>
      <c r="X148">
        <v>355262106</v>
      </c>
      <c r="Y148">
        <v>119.922</v>
      </c>
      <c r="AA148">
        <v>0</v>
      </c>
      <c r="AB148">
        <v>0</v>
      </c>
      <c r="AC148">
        <v>0</v>
      </c>
      <c r="AD148">
        <v>299.72000000000003</v>
      </c>
      <c r="AE148">
        <v>0</v>
      </c>
      <c r="AF148">
        <v>0</v>
      </c>
      <c r="AG148">
        <v>0</v>
      </c>
      <c r="AH148">
        <v>299.72000000000003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104.28</v>
      </c>
      <c r="AU148" t="s">
        <v>101</v>
      </c>
      <c r="AV148">
        <v>1</v>
      </c>
      <c r="AW148">
        <v>2</v>
      </c>
      <c r="AX148">
        <v>35833300</v>
      </c>
      <c r="AY148">
        <v>1</v>
      </c>
      <c r="AZ148">
        <v>0</v>
      </c>
      <c r="BA148">
        <v>151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Y148*Source!I130</f>
        <v>2.1585959999999997</v>
      </c>
      <c r="CY148">
        <f>AD148</f>
        <v>299.72000000000003</v>
      </c>
      <c r="CZ148">
        <f>AH148</f>
        <v>299.72000000000003</v>
      </c>
      <c r="DA148">
        <f>AL148</f>
        <v>1</v>
      </c>
      <c r="DB148">
        <f>ROUND((ROUND(AT148*CZ148,2)*1.15),6)</f>
        <v>35943.019999999997</v>
      </c>
      <c r="DC148">
        <f>ROUND((ROUND(AT148*AG148,2)*1.15),6)</f>
        <v>0</v>
      </c>
    </row>
    <row r="149" spans="1:107">
      <c r="A149">
        <f>ROW(Source!A130)</f>
        <v>130</v>
      </c>
      <c r="B149">
        <v>34132744</v>
      </c>
      <c r="C149">
        <v>35833299</v>
      </c>
      <c r="D149">
        <v>121548</v>
      </c>
      <c r="E149">
        <v>1</v>
      </c>
      <c r="F149">
        <v>1</v>
      </c>
      <c r="G149">
        <v>1</v>
      </c>
      <c r="H149">
        <v>1</v>
      </c>
      <c r="I149" t="s">
        <v>28</v>
      </c>
      <c r="J149" t="s">
        <v>3</v>
      </c>
      <c r="K149" t="s">
        <v>326</v>
      </c>
      <c r="L149">
        <v>608254</v>
      </c>
      <c r="N149">
        <v>1013</v>
      </c>
      <c r="O149" t="s">
        <v>327</v>
      </c>
      <c r="P149" t="s">
        <v>327</v>
      </c>
      <c r="Q149">
        <v>1</v>
      </c>
      <c r="W149">
        <v>0</v>
      </c>
      <c r="X149">
        <v>-185737400</v>
      </c>
      <c r="Y149">
        <v>14.1875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11.35</v>
      </c>
      <c r="AU149" t="s">
        <v>100</v>
      </c>
      <c r="AV149">
        <v>2</v>
      </c>
      <c r="AW149">
        <v>2</v>
      </c>
      <c r="AX149">
        <v>35833301</v>
      </c>
      <c r="AY149">
        <v>1</v>
      </c>
      <c r="AZ149">
        <v>0</v>
      </c>
      <c r="BA149">
        <v>152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Y149*Source!I130</f>
        <v>0.25537499999999996</v>
      </c>
      <c r="CY149">
        <f>AD149</f>
        <v>0</v>
      </c>
      <c r="CZ149">
        <f>AH149</f>
        <v>0</v>
      </c>
      <c r="DA149">
        <f>AL149</f>
        <v>1</v>
      </c>
      <c r="DB149">
        <f>ROUND((ROUND(AT149*CZ149,2)*1.25),6)</f>
        <v>0</v>
      </c>
      <c r="DC149">
        <f>ROUND((ROUND(AT149*AG149,2)*1.25),6)</f>
        <v>0</v>
      </c>
    </row>
    <row r="150" spans="1:107">
      <c r="A150">
        <f>ROW(Source!A130)</f>
        <v>130</v>
      </c>
      <c r="B150">
        <v>34132744</v>
      </c>
      <c r="C150">
        <v>35833299</v>
      </c>
      <c r="D150">
        <v>29172268</v>
      </c>
      <c r="E150">
        <v>1</v>
      </c>
      <c r="F150">
        <v>1</v>
      </c>
      <c r="G150">
        <v>1</v>
      </c>
      <c r="H150">
        <v>2</v>
      </c>
      <c r="I150" t="s">
        <v>437</v>
      </c>
      <c r="J150" t="s">
        <v>438</v>
      </c>
      <c r="K150" t="s">
        <v>439</v>
      </c>
      <c r="L150">
        <v>1368</v>
      </c>
      <c r="N150">
        <v>1011</v>
      </c>
      <c r="O150" t="s">
        <v>331</v>
      </c>
      <c r="P150" t="s">
        <v>331</v>
      </c>
      <c r="Q150">
        <v>1</v>
      </c>
      <c r="W150">
        <v>0</v>
      </c>
      <c r="X150">
        <v>-1117034689</v>
      </c>
      <c r="Y150">
        <v>12.112499999999999</v>
      </c>
      <c r="AA150">
        <v>0</v>
      </c>
      <c r="AB150">
        <v>889.06</v>
      </c>
      <c r="AC150">
        <v>446.18</v>
      </c>
      <c r="AD150">
        <v>0</v>
      </c>
      <c r="AE150">
        <v>0</v>
      </c>
      <c r="AF150">
        <v>86.4</v>
      </c>
      <c r="AG150">
        <v>13.5</v>
      </c>
      <c r="AH150">
        <v>0</v>
      </c>
      <c r="AI150">
        <v>1</v>
      </c>
      <c r="AJ150">
        <v>10.29</v>
      </c>
      <c r="AK150">
        <v>33.049999999999997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9.69</v>
      </c>
      <c r="AU150" t="s">
        <v>100</v>
      </c>
      <c r="AV150">
        <v>0</v>
      </c>
      <c r="AW150">
        <v>2</v>
      </c>
      <c r="AX150">
        <v>35833302</v>
      </c>
      <c r="AY150">
        <v>1</v>
      </c>
      <c r="AZ150">
        <v>0</v>
      </c>
      <c r="BA150">
        <v>153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Y150*Source!I130</f>
        <v>0.21802499999999997</v>
      </c>
      <c r="CY150">
        <f>AB150</f>
        <v>889.06</v>
      </c>
      <c r="CZ150">
        <f>AF150</f>
        <v>86.4</v>
      </c>
      <c r="DA150">
        <f>AJ150</f>
        <v>10.29</v>
      </c>
      <c r="DB150">
        <f>ROUND((ROUND(AT150*CZ150,2)*1.25),6)</f>
        <v>1046.5250000000001</v>
      </c>
      <c r="DC150">
        <f>ROUND((ROUND(AT150*AG150,2)*1.25),6)</f>
        <v>163.52500000000001</v>
      </c>
    </row>
    <row r="151" spans="1:107">
      <c r="A151">
        <f>ROW(Source!A130)</f>
        <v>130</v>
      </c>
      <c r="B151">
        <v>34132744</v>
      </c>
      <c r="C151">
        <v>35833299</v>
      </c>
      <c r="D151">
        <v>29172379</v>
      </c>
      <c r="E151">
        <v>1</v>
      </c>
      <c r="F151">
        <v>1</v>
      </c>
      <c r="G151">
        <v>1</v>
      </c>
      <c r="H151">
        <v>2</v>
      </c>
      <c r="I151" t="s">
        <v>359</v>
      </c>
      <c r="J151" t="s">
        <v>360</v>
      </c>
      <c r="K151" t="s">
        <v>361</v>
      </c>
      <c r="L151">
        <v>1368</v>
      </c>
      <c r="N151">
        <v>1011</v>
      </c>
      <c r="O151" t="s">
        <v>331</v>
      </c>
      <c r="P151" t="s">
        <v>331</v>
      </c>
      <c r="Q151">
        <v>1</v>
      </c>
      <c r="W151">
        <v>0</v>
      </c>
      <c r="X151">
        <v>-151619853</v>
      </c>
      <c r="Y151">
        <v>2.0749999999999997</v>
      </c>
      <c r="AA151">
        <v>0</v>
      </c>
      <c r="AB151">
        <v>1102.08</v>
      </c>
      <c r="AC151">
        <v>446.18</v>
      </c>
      <c r="AD151">
        <v>0</v>
      </c>
      <c r="AE151">
        <v>0</v>
      </c>
      <c r="AF151">
        <v>112</v>
      </c>
      <c r="AG151">
        <v>13.5</v>
      </c>
      <c r="AH151">
        <v>0</v>
      </c>
      <c r="AI151">
        <v>1</v>
      </c>
      <c r="AJ151">
        <v>9.84</v>
      </c>
      <c r="AK151">
        <v>33.049999999999997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1.66</v>
      </c>
      <c r="AU151" t="s">
        <v>100</v>
      </c>
      <c r="AV151">
        <v>0</v>
      </c>
      <c r="AW151">
        <v>2</v>
      </c>
      <c r="AX151">
        <v>35833303</v>
      </c>
      <c r="AY151">
        <v>1</v>
      </c>
      <c r="AZ151">
        <v>0</v>
      </c>
      <c r="BA151">
        <v>154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Y151*Source!I130</f>
        <v>3.7349999999999994E-2</v>
      </c>
      <c r="CY151">
        <f>AB151</f>
        <v>1102.08</v>
      </c>
      <c r="CZ151">
        <f>AF151</f>
        <v>112</v>
      </c>
      <c r="DA151">
        <f>AJ151</f>
        <v>9.84</v>
      </c>
      <c r="DB151">
        <f>ROUND((ROUND(AT151*CZ151,2)*1.25),6)</f>
        <v>232.4</v>
      </c>
      <c r="DC151">
        <f>ROUND((ROUND(AT151*AG151,2)*1.25),6)</f>
        <v>28.012499999999999</v>
      </c>
    </row>
    <row r="152" spans="1:107">
      <c r="A152">
        <f>ROW(Source!A130)</f>
        <v>130</v>
      </c>
      <c r="B152">
        <v>34132744</v>
      </c>
      <c r="C152">
        <v>35833299</v>
      </c>
      <c r="D152">
        <v>29173252</v>
      </c>
      <c r="E152">
        <v>1</v>
      </c>
      <c r="F152">
        <v>1</v>
      </c>
      <c r="G152">
        <v>1</v>
      </c>
      <c r="H152">
        <v>2</v>
      </c>
      <c r="I152" t="s">
        <v>440</v>
      </c>
      <c r="J152" t="s">
        <v>441</v>
      </c>
      <c r="K152" t="s">
        <v>442</v>
      </c>
      <c r="L152">
        <v>1368</v>
      </c>
      <c r="N152">
        <v>1011</v>
      </c>
      <c r="O152" t="s">
        <v>331</v>
      </c>
      <c r="P152" t="s">
        <v>331</v>
      </c>
      <c r="Q152">
        <v>1</v>
      </c>
      <c r="W152">
        <v>0</v>
      </c>
      <c r="X152">
        <v>1507480458</v>
      </c>
      <c r="Y152">
        <v>2.2374999999999998</v>
      </c>
      <c r="AA152">
        <v>0</v>
      </c>
      <c r="AB152">
        <v>124.8</v>
      </c>
      <c r="AC152">
        <v>0</v>
      </c>
      <c r="AD152">
        <v>0</v>
      </c>
      <c r="AE152">
        <v>0</v>
      </c>
      <c r="AF152">
        <v>30</v>
      </c>
      <c r="AG152">
        <v>0</v>
      </c>
      <c r="AH152">
        <v>0</v>
      </c>
      <c r="AI152">
        <v>1</v>
      </c>
      <c r="AJ152">
        <v>4.16</v>
      </c>
      <c r="AK152">
        <v>33.049999999999997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1.79</v>
      </c>
      <c r="AU152" t="s">
        <v>100</v>
      </c>
      <c r="AV152">
        <v>0</v>
      </c>
      <c r="AW152">
        <v>2</v>
      </c>
      <c r="AX152">
        <v>35833304</v>
      </c>
      <c r="AY152">
        <v>1</v>
      </c>
      <c r="AZ152">
        <v>0</v>
      </c>
      <c r="BA152">
        <v>155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Y152*Source!I130</f>
        <v>4.0274999999999991E-2</v>
      </c>
      <c r="CY152">
        <f>AB152</f>
        <v>124.8</v>
      </c>
      <c r="CZ152">
        <f>AF152</f>
        <v>30</v>
      </c>
      <c r="DA152">
        <f>AJ152</f>
        <v>4.16</v>
      </c>
      <c r="DB152">
        <f>ROUND((ROUND(AT152*CZ152,2)*1.25),6)</f>
        <v>67.125</v>
      </c>
      <c r="DC152">
        <f>ROUND((ROUND(AT152*AG152,2)*1.25),6)</f>
        <v>0</v>
      </c>
    </row>
    <row r="153" spans="1:107">
      <c r="A153">
        <f>ROW(Source!A130)</f>
        <v>130</v>
      </c>
      <c r="B153">
        <v>34132744</v>
      </c>
      <c r="C153">
        <v>35833299</v>
      </c>
      <c r="D153">
        <v>29174913</v>
      </c>
      <c r="E153">
        <v>1</v>
      </c>
      <c r="F153">
        <v>1</v>
      </c>
      <c r="G153">
        <v>1</v>
      </c>
      <c r="H153">
        <v>2</v>
      </c>
      <c r="I153" t="s">
        <v>342</v>
      </c>
      <c r="J153" t="s">
        <v>343</v>
      </c>
      <c r="K153" t="s">
        <v>344</v>
      </c>
      <c r="L153">
        <v>1368</v>
      </c>
      <c r="N153">
        <v>1011</v>
      </c>
      <c r="O153" t="s">
        <v>331</v>
      </c>
      <c r="P153" t="s">
        <v>331</v>
      </c>
      <c r="Q153">
        <v>1</v>
      </c>
      <c r="W153">
        <v>0</v>
      </c>
      <c r="X153">
        <v>458544584</v>
      </c>
      <c r="Y153">
        <v>2.4874999999999998</v>
      </c>
      <c r="AA153">
        <v>0</v>
      </c>
      <c r="AB153">
        <v>932.72</v>
      </c>
      <c r="AC153">
        <v>383.38</v>
      </c>
      <c r="AD153">
        <v>0</v>
      </c>
      <c r="AE153">
        <v>0</v>
      </c>
      <c r="AF153">
        <v>87.17</v>
      </c>
      <c r="AG153">
        <v>11.6</v>
      </c>
      <c r="AH153">
        <v>0</v>
      </c>
      <c r="AI153">
        <v>1</v>
      </c>
      <c r="AJ153">
        <v>10.7</v>
      </c>
      <c r="AK153">
        <v>33.049999999999997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1.99</v>
      </c>
      <c r="AU153" t="s">
        <v>100</v>
      </c>
      <c r="AV153">
        <v>0</v>
      </c>
      <c r="AW153">
        <v>2</v>
      </c>
      <c r="AX153">
        <v>35833305</v>
      </c>
      <c r="AY153">
        <v>1</v>
      </c>
      <c r="AZ153">
        <v>0</v>
      </c>
      <c r="BA153">
        <v>156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Y153*Source!I130</f>
        <v>4.4774999999999995E-2</v>
      </c>
      <c r="CY153">
        <f>AB153</f>
        <v>932.72</v>
      </c>
      <c r="CZ153">
        <f>AF153</f>
        <v>87.17</v>
      </c>
      <c r="DA153">
        <f>AJ153</f>
        <v>10.7</v>
      </c>
      <c r="DB153">
        <f>ROUND((ROUND(AT153*CZ153,2)*1.25),6)</f>
        <v>216.83750000000001</v>
      </c>
      <c r="DC153">
        <f>ROUND((ROUND(AT153*AG153,2)*1.25),6)</f>
        <v>28.85</v>
      </c>
    </row>
    <row r="154" spans="1:107">
      <c r="A154">
        <f>ROW(Source!A130)</f>
        <v>130</v>
      </c>
      <c r="B154">
        <v>34132744</v>
      </c>
      <c r="C154">
        <v>35833299</v>
      </c>
      <c r="D154">
        <v>29114395</v>
      </c>
      <c r="E154">
        <v>1</v>
      </c>
      <c r="F154">
        <v>1</v>
      </c>
      <c r="G154">
        <v>1</v>
      </c>
      <c r="H154">
        <v>3</v>
      </c>
      <c r="I154" t="s">
        <v>443</v>
      </c>
      <c r="J154" t="s">
        <v>444</v>
      </c>
      <c r="K154" t="s">
        <v>445</v>
      </c>
      <c r="L154">
        <v>1348</v>
      </c>
      <c r="N154">
        <v>1009</v>
      </c>
      <c r="O154" t="s">
        <v>26</v>
      </c>
      <c r="P154" t="s">
        <v>26</v>
      </c>
      <c r="Q154">
        <v>1000</v>
      </c>
      <c r="W154">
        <v>0</v>
      </c>
      <c r="X154">
        <v>60514000</v>
      </c>
      <c r="Y154">
        <v>2.0999999999999999E-3</v>
      </c>
      <c r="AA154">
        <v>69749.25</v>
      </c>
      <c r="AB154">
        <v>0</v>
      </c>
      <c r="AC154">
        <v>0</v>
      </c>
      <c r="AD154">
        <v>0</v>
      </c>
      <c r="AE154">
        <v>8475</v>
      </c>
      <c r="AF154">
        <v>0</v>
      </c>
      <c r="AG154">
        <v>0</v>
      </c>
      <c r="AH154">
        <v>0</v>
      </c>
      <c r="AI154">
        <v>8.23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2.0999999999999999E-3</v>
      </c>
      <c r="AU154" t="s">
        <v>3</v>
      </c>
      <c r="AV154">
        <v>0</v>
      </c>
      <c r="AW154">
        <v>2</v>
      </c>
      <c r="AX154">
        <v>35833306</v>
      </c>
      <c r="AY154">
        <v>1</v>
      </c>
      <c r="AZ154">
        <v>0</v>
      </c>
      <c r="BA154">
        <v>157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Y154*Source!I130</f>
        <v>3.7799999999999997E-5</v>
      </c>
      <c r="CY154">
        <f t="shared" ref="CY154:CY164" si="23">AA154</f>
        <v>69749.25</v>
      </c>
      <c r="CZ154">
        <f t="shared" ref="CZ154:CZ164" si="24">AE154</f>
        <v>8475</v>
      </c>
      <c r="DA154">
        <f t="shared" ref="DA154:DA164" si="25">AI154</f>
        <v>8.23</v>
      </c>
      <c r="DB154">
        <f t="shared" ref="DB154:DB169" si="26">ROUND(ROUND(AT154*CZ154,2),6)</f>
        <v>17.8</v>
      </c>
      <c r="DC154">
        <f t="shared" ref="DC154:DC169" si="27">ROUND(ROUND(AT154*AG154,2),6)</f>
        <v>0</v>
      </c>
    </row>
    <row r="155" spans="1:107">
      <c r="A155">
        <f>ROW(Source!A130)</f>
        <v>130</v>
      </c>
      <c r="B155">
        <v>34132744</v>
      </c>
      <c r="C155">
        <v>35833299</v>
      </c>
      <c r="D155">
        <v>29111762</v>
      </c>
      <c r="E155">
        <v>1</v>
      </c>
      <c r="F155">
        <v>1</v>
      </c>
      <c r="G155">
        <v>1</v>
      </c>
      <c r="H155">
        <v>3</v>
      </c>
      <c r="I155" t="s">
        <v>446</v>
      </c>
      <c r="J155" t="s">
        <v>447</v>
      </c>
      <c r="K155" t="s">
        <v>448</v>
      </c>
      <c r="L155">
        <v>1348</v>
      </c>
      <c r="N155">
        <v>1009</v>
      </c>
      <c r="O155" t="s">
        <v>26</v>
      </c>
      <c r="P155" t="s">
        <v>26</v>
      </c>
      <c r="Q155">
        <v>1000</v>
      </c>
      <c r="W155">
        <v>0</v>
      </c>
      <c r="X155">
        <v>-538696133</v>
      </c>
      <c r="Y155">
        <v>2.3599999999999999E-2</v>
      </c>
      <c r="AA155">
        <v>4271.37</v>
      </c>
      <c r="AB155">
        <v>0</v>
      </c>
      <c r="AC155">
        <v>0</v>
      </c>
      <c r="AD155">
        <v>0</v>
      </c>
      <c r="AE155">
        <v>1694.99</v>
      </c>
      <c r="AF155">
        <v>0</v>
      </c>
      <c r="AG155">
        <v>0</v>
      </c>
      <c r="AH155">
        <v>0</v>
      </c>
      <c r="AI155">
        <v>2.52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2.3599999999999999E-2</v>
      </c>
      <c r="AU155" t="s">
        <v>3</v>
      </c>
      <c r="AV155">
        <v>0</v>
      </c>
      <c r="AW155">
        <v>2</v>
      </c>
      <c r="AX155">
        <v>35833307</v>
      </c>
      <c r="AY155">
        <v>1</v>
      </c>
      <c r="AZ155">
        <v>0</v>
      </c>
      <c r="BA155">
        <v>158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Y155*Source!I130</f>
        <v>4.2479999999999997E-4</v>
      </c>
      <c r="CY155">
        <f t="shared" si="23"/>
        <v>4271.37</v>
      </c>
      <c r="CZ155">
        <f t="shared" si="24"/>
        <v>1694.99</v>
      </c>
      <c r="DA155">
        <f t="shared" si="25"/>
        <v>2.52</v>
      </c>
      <c r="DB155">
        <f t="shared" si="26"/>
        <v>40</v>
      </c>
      <c r="DC155">
        <f t="shared" si="27"/>
        <v>0</v>
      </c>
    </row>
    <row r="156" spans="1:107">
      <c r="A156">
        <f>ROW(Source!A130)</f>
        <v>130</v>
      </c>
      <c r="B156">
        <v>34132744</v>
      </c>
      <c r="C156">
        <v>35833299</v>
      </c>
      <c r="D156">
        <v>29109162</v>
      </c>
      <c r="E156">
        <v>1</v>
      </c>
      <c r="F156">
        <v>1</v>
      </c>
      <c r="G156">
        <v>1</v>
      </c>
      <c r="H156">
        <v>3</v>
      </c>
      <c r="I156" t="s">
        <v>449</v>
      </c>
      <c r="J156" t="s">
        <v>450</v>
      </c>
      <c r="K156" t="s">
        <v>451</v>
      </c>
      <c r="L156">
        <v>1327</v>
      </c>
      <c r="N156">
        <v>1005</v>
      </c>
      <c r="O156" t="s">
        <v>140</v>
      </c>
      <c r="P156" t="s">
        <v>140</v>
      </c>
      <c r="Q156">
        <v>1</v>
      </c>
      <c r="W156">
        <v>0</v>
      </c>
      <c r="X156">
        <v>2002905425</v>
      </c>
      <c r="Y156">
        <v>89</v>
      </c>
      <c r="AA156">
        <v>33.75</v>
      </c>
      <c r="AB156">
        <v>0</v>
      </c>
      <c r="AC156">
        <v>0</v>
      </c>
      <c r="AD156">
        <v>0</v>
      </c>
      <c r="AE156">
        <v>5.71</v>
      </c>
      <c r="AF156">
        <v>0</v>
      </c>
      <c r="AG156">
        <v>0</v>
      </c>
      <c r="AH156">
        <v>0</v>
      </c>
      <c r="AI156">
        <v>5.91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89</v>
      </c>
      <c r="AU156" t="s">
        <v>3</v>
      </c>
      <c r="AV156">
        <v>0</v>
      </c>
      <c r="AW156">
        <v>2</v>
      </c>
      <c r="AX156">
        <v>35833308</v>
      </c>
      <c r="AY156">
        <v>1</v>
      </c>
      <c r="AZ156">
        <v>0</v>
      </c>
      <c r="BA156">
        <v>159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Y156*Source!I130</f>
        <v>1.6019999999999999</v>
      </c>
      <c r="CY156">
        <f t="shared" si="23"/>
        <v>33.75</v>
      </c>
      <c r="CZ156">
        <f t="shared" si="24"/>
        <v>5.71</v>
      </c>
      <c r="DA156">
        <f t="shared" si="25"/>
        <v>5.91</v>
      </c>
      <c r="DB156">
        <f t="shared" si="26"/>
        <v>508.19</v>
      </c>
      <c r="DC156">
        <f t="shared" si="27"/>
        <v>0</v>
      </c>
    </row>
    <row r="157" spans="1:107">
      <c r="A157">
        <f>ROW(Source!A130)</f>
        <v>130</v>
      </c>
      <c r="B157">
        <v>34132744</v>
      </c>
      <c r="C157">
        <v>35833299</v>
      </c>
      <c r="D157">
        <v>29112547</v>
      </c>
      <c r="E157">
        <v>1</v>
      </c>
      <c r="F157">
        <v>1</v>
      </c>
      <c r="G157">
        <v>1</v>
      </c>
      <c r="H157">
        <v>3</v>
      </c>
      <c r="I157" t="s">
        <v>452</v>
      </c>
      <c r="J157" t="s">
        <v>453</v>
      </c>
      <c r="K157" t="s">
        <v>454</v>
      </c>
      <c r="L157">
        <v>1346</v>
      </c>
      <c r="N157">
        <v>1009</v>
      </c>
      <c r="O157" t="s">
        <v>401</v>
      </c>
      <c r="P157" t="s">
        <v>401</v>
      </c>
      <c r="Q157">
        <v>1</v>
      </c>
      <c r="W157">
        <v>0</v>
      </c>
      <c r="X157">
        <v>666451371</v>
      </c>
      <c r="Y157">
        <v>37.5</v>
      </c>
      <c r="AA157">
        <v>71.819999999999993</v>
      </c>
      <c r="AB157">
        <v>0</v>
      </c>
      <c r="AC157">
        <v>0</v>
      </c>
      <c r="AD157">
        <v>0</v>
      </c>
      <c r="AE157">
        <v>10.26</v>
      </c>
      <c r="AF157">
        <v>0</v>
      </c>
      <c r="AG157">
        <v>0</v>
      </c>
      <c r="AH157">
        <v>0</v>
      </c>
      <c r="AI157">
        <v>7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37.5</v>
      </c>
      <c r="AU157" t="s">
        <v>3</v>
      </c>
      <c r="AV157">
        <v>0</v>
      </c>
      <c r="AW157">
        <v>2</v>
      </c>
      <c r="AX157">
        <v>35833309</v>
      </c>
      <c r="AY157">
        <v>1</v>
      </c>
      <c r="AZ157">
        <v>0</v>
      </c>
      <c r="BA157">
        <v>160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Y157*Source!I130</f>
        <v>0.67499999999999993</v>
      </c>
      <c r="CY157">
        <f t="shared" si="23"/>
        <v>71.819999999999993</v>
      </c>
      <c r="CZ157">
        <f t="shared" si="24"/>
        <v>10.26</v>
      </c>
      <c r="DA157">
        <f t="shared" si="25"/>
        <v>7</v>
      </c>
      <c r="DB157">
        <f t="shared" si="26"/>
        <v>384.75</v>
      </c>
      <c r="DC157">
        <f t="shared" si="27"/>
        <v>0</v>
      </c>
    </row>
    <row r="158" spans="1:107">
      <c r="A158">
        <f>ROW(Source!A130)</f>
        <v>130</v>
      </c>
      <c r="B158">
        <v>34132744</v>
      </c>
      <c r="C158">
        <v>35833299</v>
      </c>
      <c r="D158">
        <v>29114332</v>
      </c>
      <c r="E158">
        <v>1</v>
      </c>
      <c r="F158">
        <v>1</v>
      </c>
      <c r="G158">
        <v>1</v>
      </c>
      <c r="H158">
        <v>3</v>
      </c>
      <c r="I158" t="s">
        <v>345</v>
      </c>
      <c r="J158" t="s">
        <v>346</v>
      </c>
      <c r="K158" t="s">
        <v>347</v>
      </c>
      <c r="L158">
        <v>1348</v>
      </c>
      <c r="N158">
        <v>1009</v>
      </c>
      <c r="O158" t="s">
        <v>26</v>
      </c>
      <c r="P158" t="s">
        <v>26</v>
      </c>
      <c r="Q158">
        <v>1000</v>
      </c>
      <c r="W158">
        <v>0</v>
      </c>
      <c r="X158">
        <v>233971917</v>
      </c>
      <c r="Y158">
        <v>4.13E-3</v>
      </c>
      <c r="AA158">
        <v>54619.68</v>
      </c>
      <c r="AB158">
        <v>0</v>
      </c>
      <c r="AC158">
        <v>0</v>
      </c>
      <c r="AD158">
        <v>0</v>
      </c>
      <c r="AE158">
        <v>11978</v>
      </c>
      <c r="AF158">
        <v>0</v>
      </c>
      <c r="AG158">
        <v>0</v>
      </c>
      <c r="AH158">
        <v>0</v>
      </c>
      <c r="AI158">
        <v>4.5599999999999996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4.13E-3</v>
      </c>
      <c r="AU158" t="s">
        <v>3</v>
      </c>
      <c r="AV158">
        <v>0</v>
      </c>
      <c r="AW158">
        <v>2</v>
      </c>
      <c r="AX158">
        <v>35833310</v>
      </c>
      <c r="AY158">
        <v>1</v>
      </c>
      <c r="AZ158">
        <v>0</v>
      </c>
      <c r="BA158">
        <v>161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Y158*Source!I130</f>
        <v>7.4339999999999996E-5</v>
      </c>
      <c r="CY158">
        <f t="shared" si="23"/>
        <v>54619.68</v>
      </c>
      <c r="CZ158">
        <f t="shared" si="24"/>
        <v>11978</v>
      </c>
      <c r="DA158">
        <f t="shared" si="25"/>
        <v>4.5599999999999996</v>
      </c>
      <c r="DB158">
        <f t="shared" si="26"/>
        <v>49.47</v>
      </c>
      <c r="DC158">
        <f t="shared" si="27"/>
        <v>0</v>
      </c>
    </row>
    <row r="159" spans="1:107">
      <c r="A159">
        <f>ROW(Source!A130)</f>
        <v>130</v>
      </c>
      <c r="B159">
        <v>34132744</v>
      </c>
      <c r="C159">
        <v>35833299</v>
      </c>
      <c r="D159">
        <v>29107989</v>
      </c>
      <c r="E159">
        <v>1</v>
      </c>
      <c r="F159">
        <v>1</v>
      </c>
      <c r="G159">
        <v>1</v>
      </c>
      <c r="H159">
        <v>3</v>
      </c>
      <c r="I159" t="s">
        <v>455</v>
      </c>
      <c r="J159" t="s">
        <v>456</v>
      </c>
      <c r="K159" t="s">
        <v>457</v>
      </c>
      <c r="L159">
        <v>1296</v>
      </c>
      <c r="N159">
        <v>1002</v>
      </c>
      <c r="O159" t="s">
        <v>458</v>
      </c>
      <c r="P159" t="s">
        <v>458</v>
      </c>
      <c r="Q159">
        <v>1</v>
      </c>
      <c r="W159">
        <v>0</v>
      </c>
      <c r="X159">
        <v>1001129492</v>
      </c>
      <c r="Y159">
        <v>32.4</v>
      </c>
      <c r="AA159">
        <v>162.62</v>
      </c>
      <c r="AB159">
        <v>0</v>
      </c>
      <c r="AC159">
        <v>0</v>
      </c>
      <c r="AD159">
        <v>0</v>
      </c>
      <c r="AE159">
        <v>47</v>
      </c>
      <c r="AF159">
        <v>0</v>
      </c>
      <c r="AG159">
        <v>0</v>
      </c>
      <c r="AH159">
        <v>0</v>
      </c>
      <c r="AI159">
        <v>3.46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32.4</v>
      </c>
      <c r="AU159" t="s">
        <v>3</v>
      </c>
      <c r="AV159">
        <v>0</v>
      </c>
      <c r="AW159">
        <v>2</v>
      </c>
      <c r="AX159">
        <v>35833311</v>
      </c>
      <c r="AY159">
        <v>1</v>
      </c>
      <c r="AZ159">
        <v>0</v>
      </c>
      <c r="BA159">
        <v>162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Y159*Source!I130</f>
        <v>0.58319999999999994</v>
      </c>
      <c r="CY159">
        <f t="shared" si="23"/>
        <v>162.62</v>
      </c>
      <c r="CZ159">
        <f t="shared" si="24"/>
        <v>47</v>
      </c>
      <c r="DA159">
        <f t="shared" si="25"/>
        <v>3.46</v>
      </c>
      <c r="DB159">
        <f t="shared" si="26"/>
        <v>1522.8</v>
      </c>
      <c r="DC159">
        <f t="shared" si="27"/>
        <v>0</v>
      </c>
    </row>
    <row r="160" spans="1:107">
      <c r="A160">
        <f>ROW(Source!A130)</f>
        <v>130</v>
      </c>
      <c r="B160">
        <v>34132744</v>
      </c>
      <c r="C160">
        <v>35833299</v>
      </c>
      <c r="D160">
        <v>29115642</v>
      </c>
      <c r="E160">
        <v>1</v>
      </c>
      <c r="F160">
        <v>1</v>
      </c>
      <c r="G160">
        <v>1</v>
      </c>
      <c r="H160">
        <v>3</v>
      </c>
      <c r="I160" t="s">
        <v>459</v>
      </c>
      <c r="J160" t="s">
        <v>460</v>
      </c>
      <c r="K160" t="s">
        <v>461</v>
      </c>
      <c r="L160">
        <v>1339</v>
      </c>
      <c r="N160">
        <v>1007</v>
      </c>
      <c r="O160" t="s">
        <v>182</v>
      </c>
      <c r="P160" t="s">
        <v>182</v>
      </c>
      <c r="Q160">
        <v>1</v>
      </c>
      <c r="W160">
        <v>0</v>
      </c>
      <c r="X160">
        <v>974112350</v>
      </c>
      <c r="Y160">
        <v>0.08</v>
      </c>
      <c r="AA160">
        <v>5720</v>
      </c>
      <c r="AB160">
        <v>0</v>
      </c>
      <c r="AC160">
        <v>0</v>
      </c>
      <c r="AD160">
        <v>0</v>
      </c>
      <c r="AE160">
        <v>1100</v>
      </c>
      <c r="AF160">
        <v>0</v>
      </c>
      <c r="AG160">
        <v>0</v>
      </c>
      <c r="AH160">
        <v>0</v>
      </c>
      <c r="AI160">
        <v>5.2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0.08</v>
      </c>
      <c r="AU160" t="s">
        <v>3</v>
      </c>
      <c r="AV160">
        <v>0</v>
      </c>
      <c r="AW160">
        <v>2</v>
      </c>
      <c r="AX160">
        <v>35833313</v>
      </c>
      <c r="AY160">
        <v>1</v>
      </c>
      <c r="AZ160">
        <v>0</v>
      </c>
      <c r="BA160">
        <v>164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Y160*Source!I130</f>
        <v>1.4399999999999999E-3</v>
      </c>
      <c r="CY160">
        <f t="shared" si="23"/>
        <v>5720</v>
      </c>
      <c r="CZ160">
        <f t="shared" si="24"/>
        <v>1100</v>
      </c>
      <c r="DA160">
        <f t="shared" si="25"/>
        <v>5.2</v>
      </c>
      <c r="DB160">
        <f t="shared" si="26"/>
        <v>88</v>
      </c>
      <c r="DC160">
        <f t="shared" si="27"/>
        <v>0</v>
      </c>
    </row>
    <row r="161" spans="1:107">
      <c r="A161">
        <f>ROW(Source!A130)</f>
        <v>130</v>
      </c>
      <c r="B161">
        <v>34132744</v>
      </c>
      <c r="C161">
        <v>35833299</v>
      </c>
      <c r="D161">
        <v>29130561</v>
      </c>
      <c r="E161">
        <v>1</v>
      </c>
      <c r="F161">
        <v>1</v>
      </c>
      <c r="G161">
        <v>1</v>
      </c>
      <c r="H161">
        <v>3</v>
      </c>
      <c r="I161" t="s">
        <v>462</v>
      </c>
      <c r="J161" t="s">
        <v>463</v>
      </c>
      <c r="K161" t="s">
        <v>464</v>
      </c>
      <c r="L161">
        <v>1327</v>
      </c>
      <c r="N161">
        <v>1005</v>
      </c>
      <c r="O161" t="s">
        <v>140</v>
      </c>
      <c r="P161" t="s">
        <v>140</v>
      </c>
      <c r="Q161">
        <v>1</v>
      </c>
      <c r="W161">
        <v>0</v>
      </c>
      <c r="X161">
        <v>-172969429</v>
      </c>
      <c r="Y161">
        <v>100</v>
      </c>
      <c r="AA161">
        <v>1039.1400000000001</v>
      </c>
      <c r="AB161">
        <v>0</v>
      </c>
      <c r="AC161">
        <v>0</v>
      </c>
      <c r="AD161">
        <v>0</v>
      </c>
      <c r="AE161">
        <v>207</v>
      </c>
      <c r="AF161">
        <v>0</v>
      </c>
      <c r="AG161">
        <v>0</v>
      </c>
      <c r="AH161">
        <v>0</v>
      </c>
      <c r="AI161">
        <v>5.0199999999999996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100</v>
      </c>
      <c r="AU161" t="s">
        <v>3</v>
      </c>
      <c r="AV161">
        <v>0</v>
      </c>
      <c r="AW161">
        <v>2</v>
      </c>
      <c r="AX161">
        <v>35833314</v>
      </c>
      <c r="AY161">
        <v>1</v>
      </c>
      <c r="AZ161">
        <v>0</v>
      </c>
      <c r="BA161">
        <v>165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Y161*Source!I130</f>
        <v>1.7999999999999998</v>
      </c>
      <c r="CY161">
        <f t="shared" si="23"/>
        <v>1039.1400000000001</v>
      </c>
      <c r="CZ161">
        <f t="shared" si="24"/>
        <v>207</v>
      </c>
      <c r="DA161">
        <f t="shared" si="25"/>
        <v>5.0199999999999996</v>
      </c>
      <c r="DB161">
        <f t="shared" si="26"/>
        <v>20700</v>
      </c>
      <c r="DC161">
        <f t="shared" si="27"/>
        <v>0</v>
      </c>
    </row>
    <row r="162" spans="1:107">
      <c r="A162">
        <f>ROW(Source!A130)</f>
        <v>130</v>
      </c>
      <c r="B162">
        <v>34132744</v>
      </c>
      <c r="C162">
        <v>35833299</v>
      </c>
      <c r="D162">
        <v>29130340</v>
      </c>
      <c r="E162">
        <v>1</v>
      </c>
      <c r="F162">
        <v>1</v>
      </c>
      <c r="G162">
        <v>1</v>
      </c>
      <c r="H162">
        <v>3</v>
      </c>
      <c r="I162" t="s">
        <v>138</v>
      </c>
      <c r="J162" t="s">
        <v>141</v>
      </c>
      <c r="K162" t="s">
        <v>139</v>
      </c>
      <c r="L162">
        <v>1327</v>
      </c>
      <c r="N162">
        <v>1005</v>
      </c>
      <c r="O162" t="s">
        <v>140</v>
      </c>
      <c r="P162" t="s">
        <v>140</v>
      </c>
      <c r="Q162">
        <v>1</v>
      </c>
      <c r="W162">
        <v>0</v>
      </c>
      <c r="X162">
        <v>2094041149</v>
      </c>
      <c r="Y162">
        <v>100</v>
      </c>
      <c r="AA162">
        <v>5276.13</v>
      </c>
      <c r="AB162">
        <v>0</v>
      </c>
      <c r="AC162">
        <v>0</v>
      </c>
      <c r="AD162">
        <v>0</v>
      </c>
      <c r="AE162">
        <v>3663.98</v>
      </c>
      <c r="AF162">
        <v>0</v>
      </c>
      <c r="AG162">
        <v>0</v>
      </c>
      <c r="AH162">
        <v>0</v>
      </c>
      <c r="AI162">
        <v>1.44</v>
      </c>
      <c r="AJ162">
        <v>1</v>
      </c>
      <c r="AK162">
        <v>1</v>
      </c>
      <c r="AL162">
        <v>1</v>
      </c>
      <c r="AN162">
        <v>0</v>
      </c>
      <c r="AO162">
        <v>0</v>
      </c>
      <c r="AP162">
        <v>0</v>
      </c>
      <c r="AQ162">
        <v>0</v>
      </c>
      <c r="AR162">
        <v>0</v>
      </c>
      <c r="AS162" t="s">
        <v>3</v>
      </c>
      <c r="AT162">
        <v>100</v>
      </c>
      <c r="AU162" t="s">
        <v>3</v>
      </c>
      <c r="AV162">
        <v>0</v>
      </c>
      <c r="AW162">
        <v>1</v>
      </c>
      <c r="AX162">
        <v>-1</v>
      </c>
      <c r="AY162">
        <v>0</v>
      </c>
      <c r="AZ162">
        <v>0</v>
      </c>
      <c r="BA162" t="s">
        <v>3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Y162*Source!I130</f>
        <v>1.7999999999999998</v>
      </c>
      <c r="CY162">
        <f t="shared" si="23"/>
        <v>5276.13</v>
      </c>
      <c r="CZ162">
        <f t="shared" si="24"/>
        <v>3663.98</v>
      </c>
      <c r="DA162">
        <f t="shared" si="25"/>
        <v>1.44</v>
      </c>
      <c r="DB162">
        <f t="shared" si="26"/>
        <v>366398</v>
      </c>
      <c r="DC162">
        <f t="shared" si="27"/>
        <v>0</v>
      </c>
    </row>
    <row r="163" spans="1:107">
      <c r="A163">
        <f>ROW(Source!A130)</f>
        <v>130</v>
      </c>
      <c r="B163">
        <v>34132744</v>
      </c>
      <c r="C163">
        <v>35833299</v>
      </c>
      <c r="D163">
        <v>29145217</v>
      </c>
      <c r="E163">
        <v>1</v>
      </c>
      <c r="F163">
        <v>1</v>
      </c>
      <c r="G163">
        <v>1</v>
      </c>
      <c r="H163">
        <v>3</v>
      </c>
      <c r="I163" t="s">
        <v>465</v>
      </c>
      <c r="J163" t="s">
        <v>466</v>
      </c>
      <c r="K163" t="s">
        <v>467</v>
      </c>
      <c r="L163">
        <v>1339</v>
      </c>
      <c r="N163">
        <v>1007</v>
      </c>
      <c r="O163" t="s">
        <v>182</v>
      </c>
      <c r="P163" t="s">
        <v>182</v>
      </c>
      <c r="Q163">
        <v>1</v>
      </c>
      <c r="W163">
        <v>0</v>
      </c>
      <c r="X163">
        <v>1316607068</v>
      </c>
      <c r="Y163">
        <v>0.105</v>
      </c>
      <c r="AA163">
        <v>3402.94</v>
      </c>
      <c r="AB163">
        <v>0</v>
      </c>
      <c r="AC163">
        <v>0</v>
      </c>
      <c r="AD163">
        <v>0</v>
      </c>
      <c r="AE163">
        <v>458</v>
      </c>
      <c r="AF163">
        <v>0</v>
      </c>
      <c r="AG163">
        <v>0</v>
      </c>
      <c r="AH163">
        <v>0</v>
      </c>
      <c r="AI163">
        <v>7.43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0.105</v>
      </c>
      <c r="AU163" t="s">
        <v>3</v>
      </c>
      <c r="AV163">
        <v>0</v>
      </c>
      <c r="AW163">
        <v>2</v>
      </c>
      <c r="AX163">
        <v>35833315</v>
      </c>
      <c r="AY163">
        <v>1</v>
      </c>
      <c r="AZ163">
        <v>0</v>
      </c>
      <c r="BA163">
        <v>166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Y163*Source!I130</f>
        <v>1.8899999999999998E-3</v>
      </c>
      <c r="CY163">
        <f t="shared" si="23"/>
        <v>3402.94</v>
      </c>
      <c r="CZ163">
        <f t="shared" si="24"/>
        <v>458</v>
      </c>
      <c r="DA163">
        <f t="shared" si="25"/>
        <v>7.43</v>
      </c>
      <c r="DB163">
        <f t="shared" si="26"/>
        <v>48.09</v>
      </c>
      <c r="DC163">
        <f t="shared" si="27"/>
        <v>0</v>
      </c>
    </row>
    <row r="164" spans="1:107">
      <c r="A164">
        <f>ROW(Source!A130)</f>
        <v>130</v>
      </c>
      <c r="B164">
        <v>34132744</v>
      </c>
      <c r="C164">
        <v>35833299</v>
      </c>
      <c r="D164">
        <v>29149204</v>
      </c>
      <c r="E164">
        <v>1</v>
      </c>
      <c r="F164">
        <v>1</v>
      </c>
      <c r="G164">
        <v>1</v>
      </c>
      <c r="H164">
        <v>3</v>
      </c>
      <c r="I164" t="s">
        <v>468</v>
      </c>
      <c r="J164" t="s">
        <v>469</v>
      </c>
      <c r="K164" t="s">
        <v>470</v>
      </c>
      <c r="L164">
        <v>1348</v>
      </c>
      <c r="N164">
        <v>1009</v>
      </c>
      <c r="O164" t="s">
        <v>26</v>
      </c>
      <c r="P164" t="s">
        <v>26</v>
      </c>
      <c r="Q164">
        <v>1000</v>
      </c>
      <c r="W164">
        <v>0</v>
      </c>
      <c r="X164">
        <v>-1132764130</v>
      </c>
      <c r="Y164">
        <v>1.6E-2</v>
      </c>
      <c r="AA164">
        <v>4978.46</v>
      </c>
      <c r="AB164">
        <v>0</v>
      </c>
      <c r="AC164">
        <v>0</v>
      </c>
      <c r="AD164">
        <v>0</v>
      </c>
      <c r="AE164">
        <v>729.98</v>
      </c>
      <c r="AF164">
        <v>0</v>
      </c>
      <c r="AG164">
        <v>0</v>
      </c>
      <c r="AH164">
        <v>0</v>
      </c>
      <c r="AI164">
        <v>6.82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1.6E-2</v>
      </c>
      <c r="AU164" t="s">
        <v>3</v>
      </c>
      <c r="AV164">
        <v>0</v>
      </c>
      <c r="AW164">
        <v>2</v>
      </c>
      <c r="AX164">
        <v>35833316</v>
      </c>
      <c r="AY164">
        <v>1</v>
      </c>
      <c r="AZ164">
        <v>0</v>
      </c>
      <c r="BA164">
        <v>167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Y164*Source!I130</f>
        <v>2.8800000000000001E-4</v>
      </c>
      <c r="CY164">
        <f t="shared" si="23"/>
        <v>4978.46</v>
      </c>
      <c r="CZ164">
        <f t="shared" si="24"/>
        <v>729.98</v>
      </c>
      <c r="DA164">
        <f t="shared" si="25"/>
        <v>6.82</v>
      </c>
      <c r="DB164">
        <f t="shared" si="26"/>
        <v>11.68</v>
      </c>
      <c r="DC164">
        <f t="shared" si="27"/>
        <v>0</v>
      </c>
    </row>
    <row r="165" spans="1:107">
      <c r="A165">
        <f>ROW(Source!A132)</f>
        <v>132</v>
      </c>
      <c r="B165">
        <v>34132744</v>
      </c>
      <c r="C165">
        <v>35833771</v>
      </c>
      <c r="D165">
        <v>18411771</v>
      </c>
      <c r="E165">
        <v>1</v>
      </c>
      <c r="F165">
        <v>1</v>
      </c>
      <c r="G165">
        <v>1</v>
      </c>
      <c r="H165">
        <v>1</v>
      </c>
      <c r="I165" t="s">
        <v>321</v>
      </c>
      <c r="J165" t="s">
        <v>3</v>
      </c>
      <c r="K165" t="s">
        <v>322</v>
      </c>
      <c r="L165">
        <v>1369</v>
      </c>
      <c r="N165">
        <v>1013</v>
      </c>
      <c r="O165" t="s">
        <v>323</v>
      </c>
      <c r="P165" t="s">
        <v>323</v>
      </c>
      <c r="Q165">
        <v>1</v>
      </c>
      <c r="W165">
        <v>0</v>
      </c>
      <c r="X165">
        <v>922534627</v>
      </c>
      <c r="Y165">
        <v>47.3</v>
      </c>
      <c r="AA165">
        <v>0</v>
      </c>
      <c r="AB165">
        <v>0</v>
      </c>
      <c r="AC165">
        <v>0</v>
      </c>
      <c r="AD165">
        <v>259.24</v>
      </c>
      <c r="AE165">
        <v>0</v>
      </c>
      <c r="AF165">
        <v>0</v>
      </c>
      <c r="AG165">
        <v>0</v>
      </c>
      <c r="AH165">
        <v>259.24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3</v>
      </c>
      <c r="AT165">
        <v>47.3</v>
      </c>
      <c r="AU165" t="s">
        <v>3</v>
      </c>
      <c r="AV165">
        <v>1</v>
      </c>
      <c r="AW165">
        <v>2</v>
      </c>
      <c r="AX165">
        <v>35833772</v>
      </c>
      <c r="AY165">
        <v>1</v>
      </c>
      <c r="AZ165">
        <v>0</v>
      </c>
      <c r="BA165">
        <v>168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Y165*Source!I132</f>
        <v>3.3109999999999999</v>
      </c>
      <c r="CY165">
        <f>AD165</f>
        <v>259.24</v>
      </c>
      <c r="CZ165">
        <f>AH165</f>
        <v>259.24</v>
      </c>
      <c r="DA165">
        <f>AL165</f>
        <v>1</v>
      </c>
      <c r="DB165">
        <f t="shared" si="26"/>
        <v>12262.05</v>
      </c>
      <c r="DC165">
        <f t="shared" si="27"/>
        <v>0</v>
      </c>
    </row>
    <row r="166" spans="1:107">
      <c r="A166">
        <f>ROW(Source!A132)</f>
        <v>132</v>
      </c>
      <c r="B166">
        <v>34132744</v>
      </c>
      <c r="C166">
        <v>35833771</v>
      </c>
      <c r="D166">
        <v>29172659</v>
      </c>
      <c r="E166">
        <v>1</v>
      </c>
      <c r="F166">
        <v>1</v>
      </c>
      <c r="G166">
        <v>1</v>
      </c>
      <c r="H166">
        <v>2</v>
      </c>
      <c r="I166" t="s">
        <v>368</v>
      </c>
      <c r="J166" t="s">
        <v>369</v>
      </c>
      <c r="K166" t="s">
        <v>370</v>
      </c>
      <c r="L166">
        <v>1368</v>
      </c>
      <c r="N166">
        <v>1011</v>
      </c>
      <c r="O166" t="s">
        <v>331</v>
      </c>
      <c r="P166" t="s">
        <v>331</v>
      </c>
      <c r="Q166">
        <v>1</v>
      </c>
      <c r="W166">
        <v>0</v>
      </c>
      <c r="X166">
        <v>-664376910</v>
      </c>
      <c r="Y166">
        <v>4.7</v>
      </c>
      <c r="AA166">
        <v>0</v>
      </c>
      <c r="AB166">
        <v>8.5399999999999991</v>
      </c>
      <c r="AC166">
        <v>0</v>
      </c>
      <c r="AD166">
        <v>0</v>
      </c>
      <c r="AE166">
        <v>0</v>
      </c>
      <c r="AF166">
        <v>1.2</v>
      </c>
      <c r="AG166">
        <v>0</v>
      </c>
      <c r="AH166">
        <v>0</v>
      </c>
      <c r="AI166">
        <v>1</v>
      </c>
      <c r="AJ166">
        <v>7.12</v>
      </c>
      <c r="AK166">
        <v>33.049999999999997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4.7</v>
      </c>
      <c r="AU166" t="s">
        <v>3</v>
      </c>
      <c r="AV166">
        <v>0</v>
      </c>
      <c r="AW166">
        <v>2</v>
      </c>
      <c r="AX166">
        <v>35833773</v>
      </c>
      <c r="AY166">
        <v>1</v>
      </c>
      <c r="AZ166">
        <v>0</v>
      </c>
      <c r="BA166">
        <v>169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Y166*Source!I132</f>
        <v>0.32900000000000007</v>
      </c>
      <c r="CY166">
        <f>AB166</f>
        <v>8.5399999999999991</v>
      </c>
      <c r="CZ166">
        <f>AF166</f>
        <v>1.2</v>
      </c>
      <c r="DA166">
        <f>AJ166</f>
        <v>7.12</v>
      </c>
      <c r="DB166">
        <f t="shared" si="26"/>
        <v>5.64</v>
      </c>
      <c r="DC166">
        <f t="shared" si="27"/>
        <v>0</v>
      </c>
    </row>
    <row r="167" spans="1:107">
      <c r="A167">
        <f>ROW(Source!A132)</f>
        <v>132</v>
      </c>
      <c r="B167">
        <v>34132744</v>
      </c>
      <c r="C167">
        <v>35833771</v>
      </c>
      <c r="D167">
        <v>29107441</v>
      </c>
      <c r="E167">
        <v>1</v>
      </c>
      <c r="F167">
        <v>1</v>
      </c>
      <c r="G167">
        <v>1</v>
      </c>
      <c r="H167">
        <v>3</v>
      </c>
      <c r="I167" t="s">
        <v>383</v>
      </c>
      <c r="J167" t="s">
        <v>384</v>
      </c>
      <c r="K167" t="s">
        <v>385</v>
      </c>
      <c r="L167">
        <v>1339</v>
      </c>
      <c r="N167">
        <v>1007</v>
      </c>
      <c r="O167" t="s">
        <v>182</v>
      </c>
      <c r="P167" t="s">
        <v>182</v>
      </c>
      <c r="Q167">
        <v>1</v>
      </c>
      <c r="W167">
        <v>0</v>
      </c>
      <c r="X167">
        <v>1086220539</v>
      </c>
      <c r="Y167">
        <v>3.9</v>
      </c>
      <c r="AA167">
        <v>75.069999999999993</v>
      </c>
      <c r="AB167">
        <v>0</v>
      </c>
      <c r="AC167">
        <v>0</v>
      </c>
      <c r="AD167">
        <v>0</v>
      </c>
      <c r="AE167">
        <v>6.23</v>
      </c>
      <c r="AF167">
        <v>0</v>
      </c>
      <c r="AG167">
        <v>0</v>
      </c>
      <c r="AH167">
        <v>0</v>
      </c>
      <c r="AI167">
        <v>12.05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3.9</v>
      </c>
      <c r="AU167" t="s">
        <v>3</v>
      </c>
      <c r="AV167">
        <v>0</v>
      </c>
      <c r="AW167">
        <v>2</v>
      </c>
      <c r="AX167">
        <v>35833774</v>
      </c>
      <c r="AY167">
        <v>1</v>
      </c>
      <c r="AZ167">
        <v>0</v>
      </c>
      <c r="BA167">
        <v>170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Y167*Source!I132</f>
        <v>0.27300000000000002</v>
      </c>
      <c r="CY167">
        <f>AA167</f>
        <v>75.069999999999993</v>
      </c>
      <c r="CZ167">
        <f>AE167</f>
        <v>6.23</v>
      </c>
      <c r="DA167">
        <f>AI167</f>
        <v>12.05</v>
      </c>
      <c r="DB167">
        <f t="shared" si="26"/>
        <v>24.3</v>
      </c>
      <c r="DC167">
        <f t="shared" si="27"/>
        <v>0</v>
      </c>
    </row>
    <row r="168" spans="1:107">
      <c r="A168">
        <f>ROW(Source!A132)</f>
        <v>132</v>
      </c>
      <c r="B168">
        <v>34132744</v>
      </c>
      <c r="C168">
        <v>35833771</v>
      </c>
      <c r="D168">
        <v>29107430</v>
      </c>
      <c r="E168">
        <v>1</v>
      </c>
      <c r="F168">
        <v>1</v>
      </c>
      <c r="G168">
        <v>1</v>
      </c>
      <c r="H168">
        <v>3</v>
      </c>
      <c r="I168" t="s">
        <v>564</v>
      </c>
      <c r="J168" t="s">
        <v>565</v>
      </c>
      <c r="K168" t="s">
        <v>566</v>
      </c>
      <c r="L168">
        <v>1339</v>
      </c>
      <c r="N168">
        <v>1007</v>
      </c>
      <c r="O168" t="s">
        <v>182</v>
      </c>
      <c r="P168" t="s">
        <v>182</v>
      </c>
      <c r="Q168">
        <v>1</v>
      </c>
      <c r="W168">
        <v>0</v>
      </c>
      <c r="X168">
        <v>-1343210809</v>
      </c>
      <c r="Y168">
        <v>0.6</v>
      </c>
      <c r="AA168">
        <v>401.45</v>
      </c>
      <c r="AB168">
        <v>0</v>
      </c>
      <c r="AC168">
        <v>0</v>
      </c>
      <c r="AD168">
        <v>0</v>
      </c>
      <c r="AE168">
        <v>38.49</v>
      </c>
      <c r="AF168">
        <v>0</v>
      </c>
      <c r="AG168">
        <v>0</v>
      </c>
      <c r="AH168">
        <v>0</v>
      </c>
      <c r="AI168">
        <v>10.43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0.6</v>
      </c>
      <c r="AU168" t="s">
        <v>3</v>
      </c>
      <c r="AV168">
        <v>0</v>
      </c>
      <c r="AW168">
        <v>2</v>
      </c>
      <c r="AX168">
        <v>35833775</v>
      </c>
      <c r="AY168">
        <v>1</v>
      </c>
      <c r="AZ168">
        <v>0</v>
      </c>
      <c r="BA168">
        <v>171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Y168*Source!I132</f>
        <v>4.2000000000000003E-2</v>
      </c>
      <c r="CY168">
        <f>AA168</f>
        <v>401.45</v>
      </c>
      <c r="CZ168">
        <f>AE168</f>
        <v>38.49</v>
      </c>
      <c r="DA168">
        <f>AI168</f>
        <v>10.43</v>
      </c>
      <c r="DB168">
        <f t="shared" si="26"/>
        <v>23.09</v>
      </c>
      <c r="DC168">
        <f t="shared" si="27"/>
        <v>0</v>
      </c>
    </row>
    <row r="169" spans="1:107">
      <c r="A169">
        <f>ROW(Source!A132)</f>
        <v>132</v>
      </c>
      <c r="B169">
        <v>34132744</v>
      </c>
      <c r="C169">
        <v>35833771</v>
      </c>
      <c r="D169">
        <v>29164349</v>
      </c>
      <c r="E169">
        <v>1</v>
      </c>
      <c r="F169">
        <v>1</v>
      </c>
      <c r="G169">
        <v>1</v>
      </c>
      <c r="H169">
        <v>3</v>
      </c>
      <c r="I169" t="s">
        <v>24</v>
      </c>
      <c r="J169" t="s">
        <v>27</v>
      </c>
      <c r="K169" t="s">
        <v>25</v>
      </c>
      <c r="L169">
        <v>1348</v>
      </c>
      <c r="N169">
        <v>1009</v>
      </c>
      <c r="O169" t="s">
        <v>26</v>
      </c>
      <c r="P169" t="s">
        <v>26</v>
      </c>
      <c r="Q169">
        <v>1000</v>
      </c>
      <c r="W169">
        <v>0</v>
      </c>
      <c r="X169">
        <v>-304821490</v>
      </c>
      <c r="Y169">
        <v>2.5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N169">
        <v>0</v>
      </c>
      <c r="AO169">
        <v>0</v>
      </c>
      <c r="AP169">
        <v>0</v>
      </c>
      <c r="AQ169">
        <v>0</v>
      </c>
      <c r="AR169">
        <v>0</v>
      </c>
      <c r="AS169" t="s">
        <v>3</v>
      </c>
      <c r="AT169">
        <v>2.5</v>
      </c>
      <c r="AU169" t="s">
        <v>3</v>
      </c>
      <c r="AV169">
        <v>0</v>
      </c>
      <c r="AW169">
        <v>2</v>
      </c>
      <c r="AX169">
        <v>35833776</v>
      </c>
      <c r="AY169">
        <v>1</v>
      </c>
      <c r="AZ169">
        <v>0</v>
      </c>
      <c r="BA169">
        <v>172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Y169*Source!I132</f>
        <v>0.17500000000000002</v>
      </c>
      <c r="CY169">
        <f>AA169</f>
        <v>0</v>
      </c>
      <c r="CZ169">
        <f>AE169</f>
        <v>0</v>
      </c>
      <c r="DA169">
        <f>AI169</f>
        <v>1</v>
      </c>
      <c r="DB169">
        <f t="shared" si="26"/>
        <v>0</v>
      </c>
      <c r="DC169">
        <f t="shared" si="27"/>
        <v>0</v>
      </c>
    </row>
    <row r="170" spans="1:107">
      <c r="A170">
        <f>ROW(Source!A134)</f>
        <v>134</v>
      </c>
      <c r="B170">
        <v>34132744</v>
      </c>
      <c r="C170">
        <v>35833779</v>
      </c>
      <c r="D170">
        <v>18406785</v>
      </c>
      <c r="E170">
        <v>1</v>
      </c>
      <c r="F170">
        <v>1</v>
      </c>
      <c r="G170">
        <v>1</v>
      </c>
      <c r="H170">
        <v>1</v>
      </c>
      <c r="I170" t="s">
        <v>567</v>
      </c>
      <c r="J170" t="s">
        <v>3</v>
      </c>
      <c r="K170" t="s">
        <v>568</v>
      </c>
      <c r="L170">
        <v>1369</v>
      </c>
      <c r="N170">
        <v>1013</v>
      </c>
      <c r="O170" t="s">
        <v>323</v>
      </c>
      <c r="P170" t="s">
        <v>323</v>
      </c>
      <c r="Q170">
        <v>1</v>
      </c>
      <c r="W170">
        <v>0</v>
      </c>
      <c r="X170">
        <v>645971194</v>
      </c>
      <c r="Y170">
        <v>33.097000000000001</v>
      </c>
      <c r="AA170">
        <v>0</v>
      </c>
      <c r="AB170">
        <v>0</v>
      </c>
      <c r="AC170">
        <v>0</v>
      </c>
      <c r="AD170">
        <v>289.27999999999997</v>
      </c>
      <c r="AE170">
        <v>0</v>
      </c>
      <c r="AF170">
        <v>0</v>
      </c>
      <c r="AG170">
        <v>0</v>
      </c>
      <c r="AH170">
        <v>289.27999999999997</v>
      </c>
      <c r="AI170">
        <v>1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28.78</v>
      </c>
      <c r="AU170" t="s">
        <v>101</v>
      </c>
      <c r="AV170">
        <v>1</v>
      </c>
      <c r="AW170">
        <v>2</v>
      </c>
      <c r="AX170">
        <v>35833780</v>
      </c>
      <c r="AY170">
        <v>1</v>
      </c>
      <c r="AZ170">
        <v>0</v>
      </c>
      <c r="BA170">
        <v>173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Y170*Source!I134</f>
        <v>2.3167900000000001</v>
      </c>
      <c r="CY170">
        <f>AD170</f>
        <v>289.27999999999997</v>
      </c>
      <c r="CZ170">
        <f>AH170</f>
        <v>289.27999999999997</v>
      </c>
      <c r="DA170">
        <f>AL170</f>
        <v>1</v>
      </c>
      <c r="DB170">
        <f>ROUND((ROUND(AT170*CZ170,2)*1.15),6)</f>
        <v>9574.3019999999997</v>
      </c>
      <c r="DC170">
        <f>ROUND((ROUND(AT170*AG170,2)*1.15),6)</f>
        <v>0</v>
      </c>
    </row>
    <row r="171" spans="1:107">
      <c r="A171">
        <f>ROW(Source!A134)</f>
        <v>134</v>
      </c>
      <c r="B171">
        <v>34132744</v>
      </c>
      <c r="C171">
        <v>35833779</v>
      </c>
      <c r="D171">
        <v>121548</v>
      </c>
      <c r="E171">
        <v>1</v>
      </c>
      <c r="F171">
        <v>1</v>
      </c>
      <c r="G171">
        <v>1</v>
      </c>
      <c r="H171">
        <v>1</v>
      </c>
      <c r="I171" t="s">
        <v>28</v>
      </c>
      <c r="J171" t="s">
        <v>3</v>
      </c>
      <c r="K171" t="s">
        <v>326</v>
      </c>
      <c r="L171">
        <v>608254</v>
      </c>
      <c r="N171">
        <v>1013</v>
      </c>
      <c r="O171" t="s">
        <v>327</v>
      </c>
      <c r="P171" t="s">
        <v>327</v>
      </c>
      <c r="Q171">
        <v>1</v>
      </c>
      <c r="W171">
        <v>0</v>
      </c>
      <c r="X171">
        <v>-185737400</v>
      </c>
      <c r="Y171">
        <v>0.58749999999999991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3</v>
      </c>
      <c r="AT171">
        <v>0.47</v>
      </c>
      <c r="AU171" t="s">
        <v>100</v>
      </c>
      <c r="AV171">
        <v>2</v>
      </c>
      <c r="AW171">
        <v>2</v>
      </c>
      <c r="AX171">
        <v>35833781</v>
      </c>
      <c r="AY171">
        <v>1</v>
      </c>
      <c r="AZ171">
        <v>0</v>
      </c>
      <c r="BA171">
        <v>174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Y171*Source!I134</f>
        <v>4.1124999999999995E-2</v>
      </c>
      <c r="CY171">
        <f>AD171</f>
        <v>0</v>
      </c>
      <c r="CZ171">
        <f>AH171</f>
        <v>0</v>
      </c>
      <c r="DA171">
        <f>AL171</f>
        <v>1</v>
      </c>
      <c r="DB171">
        <f>ROUND((ROUND(AT171*CZ171,2)*1.25),6)</f>
        <v>0</v>
      </c>
      <c r="DC171">
        <f>ROUND((ROUND(AT171*AG171,2)*1.25),6)</f>
        <v>0</v>
      </c>
    </row>
    <row r="172" spans="1:107">
      <c r="A172">
        <f>ROW(Source!A134)</f>
        <v>134</v>
      </c>
      <c r="B172">
        <v>34132744</v>
      </c>
      <c r="C172">
        <v>35833779</v>
      </c>
      <c r="D172">
        <v>29172379</v>
      </c>
      <c r="E172">
        <v>1</v>
      </c>
      <c r="F172">
        <v>1</v>
      </c>
      <c r="G172">
        <v>1</v>
      </c>
      <c r="H172">
        <v>2</v>
      </c>
      <c r="I172" t="s">
        <v>359</v>
      </c>
      <c r="J172" t="s">
        <v>360</v>
      </c>
      <c r="K172" t="s">
        <v>361</v>
      </c>
      <c r="L172">
        <v>1368</v>
      </c>
      <c r="N172">
        <v>1011</v>
      </c>
      <c r="O172" t="s">
        <v>331</v>
      </c>
      <c r="P172" t="s">
        <v>331</v>
      </c>
      <c r="Q172">
        <v>1</v>
      </c>
      <c r="W172">
        <v>0</v>
      </c>
      <c r="X172">
        <v>-151619853</v>
      </c>
      <c r="Y172">
        <v>0.58749999999999991</v>
      </c>
      <c r="AA172">
        <v>0</v>
      </c>
      <c r="AB172">
        <v>1102.08</v>
      </c>
      <c r="AC172">
        <v>446.18</v>
      </c>
      <c r="AD172">
        <v>0</v>
      </c>
      <c r="AE172">
        <v>0</v>
      </c>
      <c r="AF172">
        <v>112</v>
      </c>
      <c r="AG172">
        <v>13.5</v>
      </c>
      <c r="AH172">
        <v>0</v>
      </c>
      <c r="AI172">
        <v>1</v>
      </c>
      <c r="AJ172">
        <v>9.84</v>
      </c>
      <c r="AK172">
        <v>33.049999999999997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</v>
      </c>
      <c r="AT172">
        <v>0.47</v>
      </c>
      <c r="AU172" t="s">
        <v>100</v>
      </c>
      <c r="AV172">
        <v>0</v>
      </c>
      <c r="AW172">
        <v>2</v>
      </c>
      <c r="AX172">
        <v>35833782</v>
      </c>
      <c r="AY172">
        <v>1</v>
      </c>
      <c r="AZ172">
        <v>0</v>
      </c>
      <c r="BA172">
        <v>175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Y172*Source!I134</f>
        <v>4.1124999999999995E-2</v>
      </c>
      <c r="CY172">
        <f>AB172</f>
        <v>1102.08</v>
      </c>
      <c r="CZ172">
        <f>AF172</f>
        <v>112</v>
      </c>
      <c r="DA172">
        <f>AJ172</f>
        <v>9.84</v>
      </c>
      <c r="DB172">
        <f>ROUND((ROUND(AT172*CZ172,2)*1.25),6)</f>
        <v>65.8</v>
      </c>
      <c r="DC172">
        <f>ROUND((ROUND(AT172*AG172,2)*1.25),6)</f>
        <v>7.9375</v>
      </c>
    </row>
    <row r="173" spans="1:107">
      <c r="A173">
        <f>ROW(Source!A134)</f>
        <v>134</v>
      </c>
      <c r="B173">
        <v>34132744</v>
      </c>
      <c r="C173">
        <v>35833779</v>
      </c>
      <c r="D173">
        <v>29174913</v>
      </c>
      <c r="E173">
        <v>1</v>
      </c>
      <c r="F173">
        <v>1</v>
      </c>
      <c r="G173">
        <v>1</v>
      </c>
      <c r="H173">
        <v>2</v>
      </c>
      <c r="I173" t="s">
        <v>342</v>
      </c>
      <c r="J173" t="s">
        <v>343</v>
      </c>
      <c r="K173" t="s">
        <v>344</v>
      </c>
      <c r="L173">
        <v>1368</v>
      </c>
      <c r="N173">
        <v>1011</v>
      </c>
      <c r="O173" t="s">
        <v>331</v>
      </c>
      <c r="P173" t="s">
        <v>331</v>
      </c>
      <c r="Q173">
        <v>1</v>
      </c>
      <c r="W173">
        <v>0</v>
      </c>
      <c r="X173">
        <v>458544584</v>
      </c>
      <c r="Y173">
        <v>0.875</v>
      </c>
      <c r="AA173">
        <v>0</v>
      </c>
      <c r="AB173">
        <v>932.72</v>
      </c>
      <c r="AC173">
        <v>383.38</v>
      </c>
      <c r="AD173">
        <v>0</v>
      </c>
      <c r="AE173">
        <v>0</v>
      </c>
      <c r="AF173">
        <v>87.17</v>
      </c>
      <c r="AG173">
        <v>11.6</v>
      </c>
      <c r="AH173">
        <v>0</v>
      </c>
      <c r="AI173">
        <v>1</v>
      </c>
      <c r="AJ173">
        <v>10.7</v>
      </c>
      <c r="AK173">
        <v>33.049999999999997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0.7</v>
      </c>
      <c r="AU173" t="s">
        <v>100</v>
      </c>
      <c r="AV173">
        <v>0</v>
      </c>
      <c r="AW173">
        <v>2</v>
      </c>
      <c r="AX173">
        <v>35833783</v>
      </c>
      <c r="AY173">
        <v>1</v>
      </c>
      <c r="AZ173">
        <v>0</v>
      </c>
      <c r="BA173">
        <v>176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Y173*Source!I134</f>
        <v>6.1250000000000006E-2</v>
      </c>
      <c r="CY173">
        <f>AB173</f>
        <v>932.72</v>
      </c>
      <c r="CZ173">
        <f>AF173</f>
        <v>87.17</v>
      </c>
      <c r="DA173">
        <f>AJ173</f>
        <v>10.7</v>
      </c>
      <c r="DB173">
        <f>ROUND((ROUND(AT173*CZ173,2)*1.25),6)</f>
        <v>76.275000000000006</v>
      </c>
      <c r="DC173">
        <f>ROUND((ROUND(AT173*AG173,2)*1.25),6)</f>
        <v>10.15</v>
      </c>
    </row>
    <row r="174" spans="1:107">
      <c r="A174">
        <f>ROW(Source!A134)</f>
        <v>134</v>
      </c>
      <c r="B174">
        <v>34132744</v>
      </c>
      <c r="C174">
        <v>35833779</v>
      </c>
      <c r="D174">
        <v>29114332</v>
      </c>
      <c r="E174">
        <v>1</v>
      </c>
      <c r="F174">
        <v>1</v>
      </c>
      <c r="G174">
        <v>1</v>
      </c>
      <c r="H174">
        <v>3</v>
      </c>
      <c r="I174" t="s">
        <v>345</v>
      </c>
      <c r="J174" t="s">
        <v>346</v>
      </c>
      <c r="K174" t="s">
        <v>347</v>
      </c>
      <c r="L174">
        <v>1348</v>
      </c>
      <c r="N174">
        <v>1009</v>
      </c>
      <c r="O174" t="s">
        <v>26</v>
      </c>
      <c r="P174" t="s">
        <v>26</v>
      </c>
      <c r="Q174">
        <v>1000</v>
      </c>
      <c r="W174">
        <v>0</v>
      </c>
      <c r="X174">
        <v>233971917</v>
      </c>
      <c r="Y174">
        <v>7.62E-3</v>
      </c>
      <c r="AA174">
        <v>54619.68</v>
      </c>
      <c r="AB174">
        <v>0</v>
      </c>
      <c r="AC174">
        <v>0</v>
      </c>
      <c r="AD174">
        <v>0</v>
      </c>
      <c r="AE174">
        <v>11978</v>
      </c>
      <c r="AF174">
        <v>0</v>
      </c>
      <c r="AG174">
        <v>0</v>
      </c>
      <c r="AH174">
        <v>0</v>
      </c>
      <c r="AI174">
        <v>4.5599999999999996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7.62E-3</v>
      </c>
      <c r="AU174" t="s">
        <v>3</v>
      </c>
      <c r="AV174">
        <v>0</v>
      </c>
      <c r="AW174">
        <v>2</v>
      </c>
      <c r="AX174">
        <v>35833784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Y174*Source!I134</f>
        <v>5.3340000000000006E-4</v>
      </c>
      <c r="CY174">
        <f>AA174</f>
        <v>54619.68</v>
      </c>
      <c r="CZ174">
        <f>AE174</f>
        <v>11978</v>
      </c>
      <c r="DA174">
        <f>AI174</f>
        <v>4.5599999999999996</v>
      </c>
      <c r="DB174">
        <f t="shared" ref="DB174:DB183" si="28">ROUND(ROUND(AT174*CZ174,2),6)</f>
        <v>91.27</v>
      </c>
      <c r="DC174">
        <f t="shared" ref="DC174:DC183" si="29">ROUND(ROUND(AT174*AG174,2),6)</f>
        <v>0</v>
      </c>
    </row>
    <row r="175" spans="1:107">
      <c r="A175">
        <f>ROW(Source!A136)</f>
        <v>136</v>
      </c>
      <c r="B175">
        <v>34132744</v>
      </c>
      <c r="C175">
        <v>35797749</v>
      </c>
      <c r="D175">
        <v>18409661</v>
      </c>
      <c r="E175">
        <v>1</v>
      </c>
      <c r="F175">
        <v>1</v>
      </c>
      <c r="G175">
        <v>1</v>
      </c>
      <c r="H175">
        <v>1</v>
      </c>
      <c r="I175" t="s">
        <v>569</v>
      </c>
      <c r="J175" t="s">
        <v>3</v>
      </c>
      <c r="K175" t="s">
        <v>570</v>
      </c>
      <c r="L175">
        <v>1369</v>
      </c>
      <c r="N175">
        <v>1013</v>
      </c>
      <c r="O175" t="s">
        <v>323</v>
      </c>
      <c r="P175" t="s">
        <v>323</v>
      </c>
      <c r="Q175">
        <v>1</v>
      </c>
      <c r="W175">
        <v>0</v>
      </c>
      <c r="X175">
        <v>1989723076</v>
      </c>
      <c r="Y175">
        <v>102.89</v>
      </c>
      <c r="AA175">
        <v>0</v>
      </c>
      <c r="AB175">
        <v>0</v>
      </c>
      <c r="AC175">
        <v>0</v>
      </c>
      <c r="AD175">
        <v>282.08999999999997</v>
      </c>
      <c r="AE175">
        <v>0</v>
      </c>
      <c r="AF175">
        <v>0</v>
      </c>
      <c r="AG175">
        <v>0</v>
      </c>
      <c r="AH175">
        <v>282.08999999999997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102.89</v>
      </c>
      <c r="AU175" t="s">
        <v>3</v>
      </c>
      <c r="AV175">
        <v>1</v>
      </c>
      <c r="AW175">
        <v>2</v>
      </c>
      <c r="AX175">
        <v>35797750</v>
      </c>
      <c r="AY175">
        <v>2</v>
      </c>
      <c r="AZ175">
        <v>131072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Y175*Source!I136</f>
        <v>3.2924800000000003</v>
      </c>
      <c r="CY175">
        <f>AD175</f>
        <v>282.08999999999997</v>
      </c>
      <c r="CZ175">
        <f>AH175</f>
        <v>282.08999999999997</v>
      </c>
      <c r="DA175">
        <f>AL175</f>
        <v>1</v>
      </c>
      <c r="DB175">
        <f t="shared" si="28"/>
        <v>29024.240000000002</v>
      </c>
      <c r="DC175">
        <f t="shared" si="29"/>
        <v>0</v>
      </c>
    </row>
    <row r="176" spans="1:107">
      <c r="A176">
        <f>ROW(Source!A136)</f>
        <v>136</v>
      </c>
      <c r="B176">
        <v>34132744</v>
      </c>
      <c r="C176">
        <v>35797749</v>
      </c>
      <c r="D176">
        <v>121548</v>
      </c>
      <c r="E176">
        <v>1</v>
      </c>
      <c r="F176">
        <v>1</v>
      </c>
      <c r="G176">
        <v>1</v>
      </c>
      <c r="H176">
        <v>1</v>
      </c>
      <c r="I176" t="s">
        <v>28</v>
      </c>
      <c r="J176" t="s">
        <v>3</v>
      </c>
      <c r="K176" t="s">
        <v>326</v>
      </c>
      <c r="L176">
        <v>608254</v>
      </c>
      <c r="N176">
        <v>1013</v>
      </c>
      <c r="O176" t="s">
        <v>327</v>
      </c>
      <c r="P176" t="s">
        <v>327</v>
      </c>
      <c r="Q176">
        <v>1</v>
      </c>
      <c r="W176">
        <v>0</v>
      </c>
      <c r="X176">
        <v>-185737400</v>
      </c>
      <c r="Y176">
        <v>0.28999999999999998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0.28999999999999998</v>
      </c>
      <c r="AU176" t="s">
        <v>3</v>
      </c>
      <c r="AV176">
        <v>2</v>
      </c>
      <c r="AW176">
        <v>2</v>
      </c>
      <c r="AX176">
        <v>35797751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Y176*Source!I136</f>
        <v>9.2800000000000001E-3</v>
      </c>
      <c r="CY176">
        <f>AD176</f>
        <v>0</v>
      </c>
      <c r="CZ176">
        <f>AH176</f>
        <v>0</v>
      </c>
      <c r="DA176">
        <f>AL176</f>
        <v>1</v>
      </c>
      <c r="DB176">
        <f t="shared" si="28"/>
        <v>0</v>
      </c>
      <c r="DC176">
        <f t="shared" si="29"/>
        <v>0</v>
      </c>
    </row>
    <row r="177" spans="1:107">
      <c r="A177">
        <f>ROW(Source!A136)</f>
        <v>136</v>
      </c>
      <c r="B177">
        <v>34132744</v>
      </c>
      <c r="C177">
        <v>35797749</v>
      </c>
      <c r="D177">
        <v>29172556</v>
      </c>
      <c r="E177">
        <v>1</v>
      </c>
      <c r="F177">
        <v>1</v>
      </c>
      <c r="G177">
        <v>1</v>
      </c>
      <c r="H177">
        <v>2</v>
      </c>
      <c r="I177" t="s">
        <v>337</v>
      </c>
      <c r="J177" t="s">
        <v>338</v>
      </c>
      <c r="K177" t="s">
        <v>339</v>
      </c>
      <c r="L177">
        <v>1368</v>
      </c>
      <c r="N177">
        <v>1011</v>
      </c>
      <c r="O177" t="s">
        <v>331</v>
      </c>
      <c r="P177" t="s">
        <v>331</v>
      </c>
      <c r="Q177">
        <v>1</v>
      </c>
      <c r="W177">
        <v>0</v>
      </c>
      <c r="X177">
        <v>-1302720870</v>
      </c>
      <c r="Y177">
        <v>0.28999999999999998</v>
      </c>
      <c r="AA177">
        <v>0</v>
      </c>
      <c r="AB177">
        <v>466.71</v>
      </c>
      <c r="AC177">
        <v>446.18</v>
      </c>
      <c r="AD177">
        <v>0</v>
      </c>
      <c r="AE177">
        <v>0</v>
      </c>
      <c r="AF177">
        <v>31.26</v>
      </c>
      <c r="AG177">
        <v>13.5</v>
      </c>
      <c r="AH177">
        <v>0</v>
      </c>
      <c r="AI177">
        <v>1</v>
      </c>
      <c r="AJ177">
        <v>14.93</v>
      </c>
      <c r="AK177">
        <v>33.049999999999997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0.28999999999999998</v>
      </c>
      <c r="AU177" t="s">
        <v>3</v>
      </c>
      <c r="AV177">
        <v>0</v>
      </c>
      <c r="AW177">
        <v>2</v>
      </c>
      <c r="AX177">
        <v>35797752</v>
      </c>
      <c r="AY177">
        <v>1</v>
      </c>
      <c r="AZ177">
        <v>0</v>
      </c>
      <c r="BA177">
        <v>180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Y177*Source!I136</f>
        <v>9.2800000000000001E-3</v>
      </c>
      <c r="CY177">
        <f>AB177</f>
        <v>466.71</v>
      </c>
      <c r="CZ177">
        <f>AF177</f>
        <v>31.26</v>
      </c>
      <c r="DA177">
        <f>AJ177</f>
        <v>14.93</v>
      </c>
      <c r="DB177">
        <f t="shared" si="28"/>
        <v>9.07</v>
      </c>
      <c r="DC177">
        <f t="shared" si="29"/>
        <v>3.92</v>
      </c>
    </row>
    <row r="178" spans="1:107">
      <c r="A178">
        <f>ROW(Source!A136)</f>
        <v>136</v>
      </c>
      <c r="B178">
        <v>34132744</v>
      </c>
      <c r="C178">
        <v>35797749</v>
      </c>
      <c r="D178">
        <v>29174913</v>
      </c>
      <c r="E178">
        <v>1</v>
      </c>
      <c r="F178">
        <v>1</v>
      </c>
      <c r="G178">
        <v>1</v>
      </c>
      <c r="H178">
        <v>2</v>
      </c>
      <c r="I178" t="s">
        <v>342</v>
      </c>
      <c r="J178" t="s">
        <v>343</v>
      </c>
      <c r="K178" t="s">
        <v>344</v>
      </c>
      <c r="L178">
        <v>1368</v>
      </c>
      <c r="N178">
        <v>1011</v>
      </c>
      <c r="O178" t="s">
        <v>331</v>
      </c>
      <c r="P178" t="s">
        <v>331</v>
      </c>
      <c r="Q178">
        <v>1</v>
      </c>
      <c r="W178">
        <v>0</v>
      </c>
      <c r="X178">
        <v>458544584</v>
      </c>
      <c r="Y178">
        <v>0.15</v>
      </c>
      <c r="AA178">
        <v>0</v>
      </c>
      <c r="AB178">
        <v>932.72</v>
      </c>
      <c r="AC178">
        <v>383.38</v>
      </c>
      <c r="AD178">
        <v>0</v>
      </c>
      <c r="AE178">
        <v>0</v>
      </c>
      <c r="AF178">
        <v>87.17</v>
      </c>
      <c r="AG178">
        <v>11.6</v>
      </c>
      <c r="AH178">
        <v>0</v>
      </c>
      <c r="AI178">
        <v>1</v>
      </c>
      <c r="AJ178">
        <v>10.7</v>
      </c>
      <c r="AK178">
        <v>33.049999999999997</v>
      </c>
      <c r="AL178">
        <v>1</v>
      </c>
      <c r="AN178">
        <v>0</v>
      </c>
      <c r="AO178">
        <v>1</v>
      </c>
      <c r="AP178">
        <v>0</v>
      </c>
      <c r="AQ178">
        <v>0</v>
      </c>
      <c r="AR178">
        <v>0</v>
      </c>
      <c r="AS178" t="s">
        <v>3</v>
      </c>
      <c r="AT178">
        <v>0.15</v>
      </c>
      <c r="AU178" t="s">
        <v>3</v>
      </c>
      <c r="AV178">
        <v>0</v>
      </c>
      <c r="AW178">
        <v>2</v>
      </c>
      <c r="AX178">
        <v>35797753</v>
      </c>
      <c r="AY178">
        <v>1</v>
      </c>
      <c r="AZ178">
        <v>0</v>
      </c>
      <c r="BA178">
        <v>181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Y178*Source!I136</f>
        <v>4.7999999999999996E-3</v>
      </c>
      <c r="CY178">
        <f>AB178</f>
        <v>932.72</v>
      </c>
      <c r="CZ178">
        <f>AF178</f>
        <v>87.17</v>
      </c>
      <c r="DA178">
        <f>AJ178</f>
        <v>10.7</v>
      </c>
      <c r="DB178">
        <f t="shared" si="28"/>
        <v>13.08</v>
      </c>
      <c r="DC178">
        <f t="shared" si="29"/>
        <v>1.74</v>
      </c>
    </row>
    <row r="179" spans="1:107">
      <c r="A179">
        <f>ROW(Source!A136)</f>
        <v>136</v>
      </c>
      <c r="B179">
        <v>34132744</v>
      </c>
      <c r="C179">
        <v>35797749</v>
      </c>
      <c r="D179">
        <v>29109197</v>
      </c>
      <c r="E179">
        <v>1</v>
      </c>
      <c r="F179">
        <v>1</v>
      </c>
      <c r="G179">
        <v>1</v>
      </c>
      <c r="H179">
        <v>3</v>
      </c>
      <c r="I179" t="s">
        <v>571</v>
      </c>
      <c r="J179" t="s">
        <v>572</v>
      </c>
      <c r="K179" t="s">
        <v>573</v>
      </c>
      <c r="L179">
        <v>1348</v>
      </c>
      <c r="N179">
        <v>1009</v>
      </c>
      <c r="O179" t="s">
        <v>26</v>
      </c>
      <c r="P179" t="s">
        <v>26</v>
      </c>
      <c r="Q179">
        <v>1000</v>
      </c>
      <c r="W179">
        <v>0</v>
      </c>
      <c r="X179">
        <v>-725440123</v>
      </c>
      <c r="Y179">
        <v>0.1</v>
      </c>
      <c r="AA179">
        <v>3675.13</v>
      </c>
      <c r="AB179">
        <v>0</v>
      </c>
      <c r="AC179">
        <v>0</v>
      </c>
      <c r="AD179">
        <v>0</v>
      </c>
      <c r="AE179">
        <v>412.01</v>
      </c>
      <c r="AF179">
        <v>0</v>
      </c>
      <c r="AG179">
        <v>0</v>
      </c>
      <c r="AH179">
        <v>0</v>
      </c>
      <c r="AI179">
        <v>8.92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0</v>
      </c>
      <c r="AQ179">
        <v>0</v>
      </c>
      <c r="AR179">
        <v>0</v>
      </c>
      <c r="AS179" t="s">
        <v>3</v>
      </c>
      <c r="AT179">
        <v>0.1</v>
      </c>
      <c r="AU179" t="s">
        <v>3</v>
      </c>
      <c r="AV179">
        <v>0</v>
      </c>
      <c r="AW179">
        <v>2</v>
      </c>
      <c r="AX179">
        <v>35797754</v>
      </c>
      <c r="AY179">
        <v>1</v>
      </c>
      <c r="AZ179">
        <v>0</v>
      </c>
      <c r="BA179">
        <v>182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Y179*Source!I136</f>
        <v>3.2000000000000002E-3</v>
      </c>
      <c r="CY179">
        <f>AA179</f>
        <v>3675.13</v>
      </c>
      <c r="CZ179">
        <f>AE179</f>
        <v>412.01</v>
      </c>
      <c r="DA179">
        <f>AI179</f>
        <v>8.92</v>
      </c>
      <c r="DB179">
        <f t="shared" si="28"/>
        <v>41.2</v>
      </c>
      <c r="DC179">
        <f t="shared" si="29"/>
        <v>0</v>
      </c>
    </row>
    <row r="180" spans="1:107">
      <c r="A180">
        <f>ROW(Source!A136)</f>
        <v>136</v>
      </c>
      <c r="B180">
        <v>34132744</v>
      </c>
      <c r="C180">
        <v>35797749</v>
      </c>
      <c r="D180">
        <v>29114332</v>
      </c>
      <c r="E180">
        <v>1</v>
      </c>
      <c r="F180">
        <v>1</v>
      </c>
      <c r="G180">
        <v>1</v>
      </c>
      <c r="H180">
        <v>3</v>
      </c>
      <c r="I180" t="s">
        <v>345</v>
      </c>
      <c r="J180" t="s">
        <v>346</v>
      </c>
      <c r="K180" t="s">
        <v>347</v>
      </c>
      <c r="L180">
        <v>1348</v>
      </c>
      <c r="N180">
        <v>1009</v>
      </c>
      <c r="O180" t="s">
        <v>26</v>
      </c>
      <c r="P180" t="s">
        <v>26</v>
      </c>
      <c r="Q180">
        <v>1000</v>
      </c>
      <c r="W180">
        <v>0</v>
      </c>
      <c r="X180">
        <v>233971917</v>
      </c>
      <c r="Y180">
        <v>1E-3</v>
      </c>
      <c r="AA180">
        <v>54619.68</v>
      </c>
      <c r="AB180">
        <v>0</v>
      </c>
      <c r="AC180">
        <v>0</v>
      </c>
      <c r="AD180">
        <v>0</v>
      </c>
      <c r="AE180">
        <v>11978</v>
      </c>
      <c r="AF180">
        <v>0</v>
      </c>
      <c r="AG180">
        <v>0</v>
      </c>
      <c r="AH180">
        <v>0</v>
      </c>
      <c r="AI180">
        <v>4.5599999999999996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0</v>
      </c>
      <c r="AQ180">
        <v>0</v>
      </c>
      <c r="AR180">
        <v>0</v>
      </c>
      <c r="AS180" t="s">
        <v>3</v>
      </c>
      <c r="AT180">
        <v>1E-3</v>
      </c>
      <c r="AU180" t="s">
        <v>3</v>
      </c>
      <c r="AV180">
        <v>0</v>
      </c>
      <c r="AW180">
        <v>2</v>
      </c>
      <c r="AX180">
        <v>35797755</v>
      </c>
      <c r="AY180">
        <v>1</v>
      </c>
      <c r="AZ180">
        <v>0</v>
      </c>
      <c r="BA180">
        <v>183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Y180*Source!I136</f>
        <v>3.1999999999999999E-5</v>
      </c>
      <c r="CY180">
        <f>AA180</f>
        <v>54619.68</v>
      </c>
      <c r="CZ180">
        <f>AE180</f>
        <v>11978</v>
      </c>
      <c r="DA180">
        <f>AI180</f>
        <v>4.5599999999999996</v>
      </c>
      <c r="DB180">
        <f t="shared" si="28"/>
        <v>11.98</v>
      </c>
      <c r="DC180">
        <f t="shared" si="29"/>
        <v>0</v>
      </c>
    </row>
    <row r="181" spans="1:107">
      <c r="A181">
        <f>ROW(Source!A136)</f>
        <v>136</v>
      </c>
      <c r="B181">
        <v>34132744</v>
      </c>
      <c r="C181">
        <v>35797749</v>
      </c>
      <c r="D181">
        <v>29115584</v>
      </c>
      <c r="E181">
        <v>1</v>
      </c>
      <c r="F181">
        <v>1</v>
      </c>
      <c r="G181">
        <v>1</v>
      </c>
      <c r="H181">
        <v>3</v>
      </c>
      <c r="I181" t="s">
        <v>574</v>
      </c>
      <c r="J181" t="s">
        <v>575</v>
      </c>
      <c r="K181" t="s">
        <v>576</v>
      </c>
      <c r="L181">
        <v>1339</v>
      </c>
      <c r="N181">
        <v>1007</v>
      </c>
      <c r="O181" t="s">
        <v>182</v>
      </c>
      <c r="P181" t="s">
        <v>182</v>
      </c>
      <c r="Q181">
        <v>1</v>
      </c>
      <c r="W181">
        <v>0</v>
      </c>
      <c r="X181">
        <v>-1842146247</v>
      </c>
      <c r="Y181">
        <v>0.52900000000000003</v>
      </c>
      <c r="AA181">
        <v>4286.17</v>
      </c>
      <c r="AB181">
        <v>0</v>
      </c>
      <c r="AC181">
        <v>0</v>
      </c>
      <c r="AD181">
        <v>0</v>
      </c>
      <c r="AE181">
        <v>601.99</v>
      </c>
      <c r="AF181">
        <v>0</v>
      </c>
      <c r="AG181">
        <v>0</v>
      </c>
      <c r="AH181">
        <v>0</v>
      </c>
      <c r="AI181">
        <v>7.12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0</v>
      </c>
      <c r="AQ181">
        <v>0</v>
      </c>
      <c r="AR181">
        <v>0</v>
      </c>
      <c r="AS181" t="s">
        <v>3</v>
      </c>
      <c r="AT181">
        <v>0.52900000000000003</v>
      </c>
      <c r="AU181" t="s">
        <v>3</v>
      </c>
      <c r="AV181">
        <v>0</v>
      </c>
      <c r="AW181">
        <v>2</v>
      </c>
      <c r="AX181">
        <v>35797756</v>
      </c>
      <c r="AY181">
        <v>1</v>
      </c>
      <c r="AZ181">
        <v>0</v>
      </c>
      <c r="BA181">
        <v>184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Y181*Source!I136</f>
        <v>1.6928000000000002E-2</v>
      </c>
      <c r="CY181">
        <f>AA181</f>
        <v>4286.17</v>
      </c>
      <c r="CZ181">
        <f>AE181</f>
        <v>601.99</v>
      </c>
      <c r="DA181">
        <f>AI181</f>
        <v>7.12</v>
      </c>
      <c r="DB181">
        <f t="shared" si="28"/>
        <v>318.45</v>
      </c>
      <c r="DC181">
        <f t="shared" si="29"/>
        <v>0</v>
      </c>
    </row>
    <row r="182" spans="1:107">
      <c r="A182">
        <f>ROW(Source!A136)</f>
        <v>136</v>
      </c>
      <c r="B182">
        <v>34132744</v>
      </c>
      <c r="C182">
        <v>35797749</v>
      </c>
      <c r="D182">
        <v>29131507</v>
      </c>
      <c r="E182">
        <v>1</v>
      </c>
      <c r="F182">
        <v>1</v>
      </c>
      <c r="G182">
        <v>1</v>
      </c>
      <c r="H182">
        <v>3</v>
      </c>
      <c r="I182" t="s">
        <v>577</v>
      </c>
      <c r="J182" t="s">
        <v>578</v>
      </c>
      <c r="K182" t="s">
        <v>579</v>
      </c>
      <c r="L182">
        <v>1348</v>
      </c>
      <c r="N182">
        <v>1009</v>
      </c>
      <c r="O182" t="s">
        <v>26</v>
      </c>
      <c r="P182" t="s">
        <v>26</v>
      </c>
      <c r="Q182">
        <v>1000</v>
      </c>
      <c r="W182">
        <v>0</v>
      </c>
      <c r="X182">
        <v>-1607932892</v>
      </c>
      <c r="Y182">
        <v>2E-3</v>
      </c>
      <c r="AA182">
        <v>53064.15</v>
      </c>
      <c r="AB182">
        <v>0</v>
      </c>
      <c r="AC182">
        <v>0</v>
      </c>
      <c r="AD182">
        <v>0</v>
      </c>
      <c r="AE182">
        <v>7200.02</v>
      </c>
      <c r="AF182">
        <v>0</v>
      </c>
      <c r="AG182">
        <v>0</v>
      </c>
      <c r="AH182">
        <v>0</v>
      </c>
      <c r="AI182">
        <v>7.37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0</v>
      </c>
      <c r="AQ182">
        <v>0</v>
      </c>
      <c r="AR182">
        <v>0</v>
      </c>
      <c r="AS182" t="s">
        <v>3</v>
      </c>
      <c r="AT182">
        <v>2E-3</v>
      </c>
      <c r="AU182" t="s">
        <v>3</v>
      </c>
      <c r="AV182">
        <v>0</v>
      </c>
      <c r="AW182">
        <v>2</v>
      </c>
      <c r="AX182">
        <v>35797757</v>
      </c>
      <c r="AY182">
        <v>1</v>
      </c>
      <c r="AZ182">
        <v>0</v>
      </c>
      <c r="BA182">
        <v>185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Y182*Source!I136</f>
        <v>6.3999999999999997E-5</v>
      </c>
      <c r="CY182">
        <f>AA182</f>
        <v>53064.15</v>
      </c>
      <c r="CZ182">
        <f>AE182</f>
        <v>7200.02</v>
      </c>
      <c r="DA182">
        <f>AI182</f>
        <v>7.37</v>
      </c>
      <c r="DB182">
        <f t="shared" si="28"/>
        <v>14.4</v>
      </c>
      <c r="DC182">
        <f t="shared" si="29"/>
        <v>0</v>
      </c>
    </row>
    <row r="183" spans="1:107">
      <c r="A183">
        <f>ROW(Source!A136)</f>
        <v>136</v>
      </c>
      <c r="B183">
        <v>34132744</v>
      </c>
      <c r="C183">
        <v>35797749</v>
      </c>
      <c r="D183">
        <v>29145008</v>
      </c>
      <c r="E183">
        <v>1</v>
      </c>
      <c r="F183">
        <v>1</v>
      </c>
      <c r="G183">
        <v>1</v>
      </c>
      <c r="H183">
        <v>3</v>
      </c>
      <c r="I183" t="s">
        <v>580</v>
      </c>
      <c r="J183" t="s">
        <v>581</v>
      </c>
      <c r="K183" t="s">
        <v>582</v>
      </c>
      <c r="L183">
        <v>1339</v>
      </c>
      <c r="N183">
        <v>1007</v>
      </c>
      <c r="O183" t="s">
        <v>182</v>
      </c>
      <c r="P183" t="s">
        <v>182</v>
      </c>
      <c r="Q183">
        <v>1</v>
      </c>
      <c r="W183">
        <v>0</v>
      </c>
      <c r="X183">
        <v>32332317</v>
      </c>
      <c r="Y183">
        <v>0.28000000000000003</v>
      </c>
      <c r="AA183">
        <v>3938.27</v>
      </c>
      <c r="AB183">
        <v>0</v>
      </c>
      <c r="AC183">
        <v>0</v>
      </c>
      <c r="AD183">
        <v>0</v>
      </c>
      <c r="AE183">
        <v>580.01</v>
      </c>
      <c r="AF183">
        <v>0</v>
      </c>
      <c r="AG183">
        <v>0</v>
      </c>
      <c r="AH183">
        <v>0</v>
      </c>
      <c r="AI183">
        <v>6.79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0</v>
      </c>
      <c r="AQ183">
        <v>0</v>
      </c>
      <c r="AR183">
        <v>0</v>
      </c>
      <c r="AS183" t="s">
        <v>3</v>
      </c>
      <c r="AT183">
        <v>0.28000000000000003</v>
      </c>
      <c r="AU183" t="s">
        <v>3</v>
      </c>
      <c r="AV183">
        <v>0</v>
      </c>
      <c r="AW183">
        <v>2</v>
      </c>
      <c r="AX183">
        <v>35797758</v>
      </c>
      <c r="AY183">
        <v>1</v>
      </c>
      <c r="AZ183">
        <v>0</v>
      </c>
      <c r="BA183">
        <v>186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Y183*Source!I136</f>
        <v>8.9600000000000009E-3</v>
      </c>
      <c r="CY183">
        <f>AA183</f>
        <v>3938.27</v>
      </c>
      <c r="CZ183">
        <f>AE183</f>
        <v>580.01</v>
      </c>
      <c r="DA183">
        <f>AI183</f>
        <v>6.79</v>
      </c>
      <c r="DB183">
        <f t="shared" si="28"/>
        <v>162.4</v>
      </c>
      <c r="DC183">
        <f t="shared" si="29"/>
        <v>0</v>
      </c>
    </row>
    <row r="184" spans="1:107">
      <c r="A184">
        <f>ROW(Source!A137)</f>
        <v>137</v>
      </c>
      <c r="B184">
        <v>34132744</v>
      </c>
      <c r="C184">
        <v>35797782</v>
      </c>
      <c r="D184">
        <v>18413230</v>
      </c>
      <c r="E184">
        <v>1</v>
      </c>
      <c r="F184">
        <v>1</v>
      </c>
      <c r="G184">
        <v>1</v>
      </c>
      <c r="H184">
        <v>1</v>
      </c>
      <c r="I184" t="s">
        <v>435</v>
      </c>
      <c r="J184" t="s">
        <v>3</v>
      </c>
      <c r="K184" t="s">
        <v>436</v>
      </c>
      <c r="L184">
        <v>1369</v>
      </c>
      <c r="N184">
        <v>1013</v>
      </c>
      <c r="O184" t="s">
        <v>323</v>
      </c>
      <c r="P184" t="s">
        <v>323</v>
      </c>
      <c r="Q184">
        <v>1</v>
      </c>
      <c r="W184">
        <v>0</v>
      </c>
      <c r="X184">
        <v>355262106</v>
      </c>
      <c r="Y184">
        <v>434.89549999999997</v>
      </c>
      <c r="AA184">
        <v>0</v>
      </c>
      <c r="AB184">
        <v>0</v>
      </c>
      <c r="AC184">
        <v>0</v>
      </c>
      <c r="AD184">
        <v>299.72000000000003</v>
      </c>
      <c r="AE184">
        <v>0</v>
      </c>
      <c r="AF184">
        <v>0</v>
      </c>
      <c r="AG184">
        <v>0</v>
      </c>
      <c r="AH184">
        <v>299.72000000000003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3</v>
      </c>
      <c r="AT184">
        <v>378.17</v>
      </c>
      <c r="AU184" t="s">
        <v>101</v>
      </c>
      <c r="AV184">
        <v>1</v>
      </c>
      <c r="AW184">
        <v>2</v>
      </c>
      <c r="AX184">
        <v>36151141</v>
      </c>
      <c r="AY184">
        <v>1</v>
      </c>
      <c r="AZ184">
        <v>0</v>
      </c>
      <c r="BA184">
        <v>187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Y184*Source!I137</f>
        <v>13.916656</v>
      </c>
      <c r="CY184">
        <f>AD184</f>
        <v>299.72000000000003</v>
      </c>
      <c r="CZ184">
        <f>AH184</f>
        <v>299.72000000000003</v>
      </c>
      <c r="DA184">
        <f>AL184</f>
        <v>1</v>
      </c>
      <c r="DB184">
        <f>ROUND((ROUND(AT184*CZ184,2)*1.15),6)</f>
        <v>130346.8765</v>
      </c>
      <c r="DC184">
        <f>ROUND((ROUND(AT184*AG184,2)*1.15),6)</f>
        <v>0</v>
      </c>
    </row>
    <row r="185" spans="1:107">
      <c r="A185">
        <f>ROW(Source!A137)</f>
        <v>137</v>
      </c>
      <c r="B185">
        <v>34132744</v>
      </c>
      <c r="C185">
        <v>35797782</v>
      </c>
      <c r="D185">
        <v>121548</v>
      </c>
      <c r="E185">
        <v>1</v>
      </c>
      <c r="F185">
        <v>1</v>
      </c>
      <c r="G185">
        <v>1</v>
      </c>
      <c r="H185">
        <v>1</v>
      </c>
      <c r="I185" t="s">
        <v>28</v>
      </c>
      <c r="J185" t="s">
        <v>3</v>
      </c>
      <c r="K185" t="s">
        <v>326</v>
      </c>
      <c r="L185">
        <v>608254</v>
      </c>
      <c r="N185">
        <v>1013</v>
      </c>
      <c r="O185" t="s">
        <v>327</v>
      </c>
      <c r="P185" t="s">
        <v>327</v>
      </c>
      <c r="Q185">
        <v>1</v>
      </c>
      <c r="W185">
        <v>0</v>
      </c>
      <c r="X185">
        <v>-185737400</v>
      </c>
      <c r="Y185">
        <v>2.7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2.16</v>
      </c>
      <c r="AU185" t="s">
        <v>100</v>
      </c>
      <c r="AV185">
        <v>2</v>
      </c>
      <c r="AW185">
        <v>2</v>
      </c>
      <c r="AX185">
        <v>36151142</v>
      </c>
      <c r="AY185">
        <v>1</v>
      </c>
      <c r="AZ185">
        <v>0</v>
      </c>
      <c r="BA185">
        <v>188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Y185*Source!I137</f>
        <v>8.6400000000000005E-2</v>
      </c>
      <c r="CY185">
        <f>AD185</f>
        <v>0</v>
      </c>
      <c r="CZ185">
        <f>AH185</f>
        <v>0</v>
      </c>
      <c r="DA185">
        <f>AL185</f>
        <v>1</v>
      </c>
      <c r="DB185">
        <f t="shared" ref="DB185:DB190" si="30">ROUND((ROUND(AT185*CZ185,2)*1.25),6)</f>
        <v>0</v>
      </c>
      <c r="DC185">
        <f t="shared" ref="DC185:DC190" si="31">ROUND((ROUND(AT185*AG185,2)*1.25),6)</f>
        <v>0</v>
      </c>
    </row>
    <row r="186" spans="1:107">
      <c r="A186">
        <f>ROW(Source!A137)</f>
        <v>137</v>
      </c>
      <c r="B186">
        <v>34132744</v>
      </c>
      <c r="C186">
        <v>35797782</v>
      </c>
      <c r="D186">
        <v>29172267</v>
      </c>
      <c r="E186">
        <v>1</v>
      </c>
      <c r="F186">
        <v>1</v>
      </c>
      <c r="G186">
        <v>1</v>
      </c>
      <c r="H186">
        <v>2</v>
      </c>
      <c r="I186" t="s">
        <v>499</v>
      </c>
      <c r="J186" t="s">
        <v>500</v>
      </c>
      <c r="K186" t="s">
        <v>501</v>
      </c>
      <c r="L186">
        <v>1368</v>
      </c>
      <c r="N186">
        <v>1011</v>
      </c>
      <c r="O186" t="s">
        <v>331</v>
      </c>
      <c r="P186" t="s">
        <v>331</v>
      </c>
      <c r="Q186">
        <v>1</v>
      </c>
      <c r="W186">
        <v>0</v>
      </c>
      <c r="X186">
        <v>892994112</v>
      </c>
      <c r="Y186">
        <v>0.42500000000000004</v>
      </c>
      <c r="AA186">
        <v>0</v>
      </c>
      <c r="AB186">
        <v>848.48</v>
      </c>
      <c r="AC186">
        <v>446.18</v>
      </c>
      <c r="AD186">
        <v>0</v>
      </c>
      <c r="AE186">
        <v>0</v>
      </c>
      <c r="AF186">
        <v>83.43</v>
      </c>
      <c r="AG186">
        <v>13.5</v>
      </c>
      <c r="AH186">
        <v>0</v>
      </c>
      <c r="AI186">
        <v>1</v>
      </c>
      <c r="AJ186">
        <v>10.17</v>
      </c>
      <c r="AK186">
        <v>33.049999999999997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0.34</v>
      </c>
      <c r="AU186" t="s">
        <v>100</v>
      </c>
      <c r="AV186">
        <v>0</v>
      </c>
      <c r="AW186">
        <v>2</v>
      </c>
      <c r="AX186">
        <v>36151143</v>
      </c>
      <c r="AY186">
        <v>1</v>
      </c>
      <c r="AZ186">
        <v>0</v>
      </c>
      <c r="BA186">
        <v>189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Y186*Source!I137</f>
        <v>1.3600000000000001E-2</v>
      </c>
      <c r="CY186">
        <f>AB186</f>
        <v>848.48</v>
      </c>
      <c r="CZ186">
        <f>AF186</f>
        <v>83.43</v>
      </c>
      <c r="DA186">
        <f>AJ186</f>
        <v>10.17</v>
      </c>
      <c r="DB186">
        <f t="shared" si="30"/>
        <v>35.462499999999999</v>
      </c>
      <c r="DC186">
        <f t="shared" si="31"/>
        <v>5.7374999999999998</v>
      </c>
    </row>
    <row r="187" spans="1:107">
      <c r="A187">
        <f>ROW(Source!A137)</f>
        <v>137</v>
      </c>
      <c r="B187">
        <v>34132744</v>
      </c>
      <c r="C187">
        <v>35797782</v>
      </c>
      <c r="D187">
        <v>29172378</v>
      </c>
      <c r="E187">
        <v>1</v>
      </c>
      <c r="F187">
        <v>1</v>
      </c>
      <c r="G187">
        <v>1</v>
      </c>
      <c r="H187">
        <v>2</v>
      </c>
      <c r="I187" t="s">
        <v>502</v>
      </c>
      <c r="J187" t="s">
        <v>503</v>
      </c>
      <c r="K187" t="s">
        <v>504</v>
      </c>
      <c r="L187">
        <v>1368</v>
      </c>
      <c r="N187">
        <v>1011</v>
      </c>
      <c r="O187" t="s">
        <v>331</v>
      </c>
      <c r="P187" t="s">
        <v>331</v>
      </c>
      <c r="Q187">
        <v>1</v>
      </c>
      <c r="W187">
        <v>0</v>
      </c>
      <c r="X187">
        <v>912204425</v>
      </c>
      <c r="Y187">
        <v>0.16250000000000001</v>
      </c>
      <c r="AA187">
        <v>0</v>
      </c>
      <c r="AB187">
        <v>955.79</v>
      </c>
      <c r="AC187">
        <v>383.38</v>
      </c>
      <c r="AD187">
        <v>0</v>
      </c>
      <c r="AE187">
        <v>0</v>
      </c>
      <c r="AF187">
        <v>88.01</v>
      </c>
      <c r="AG187">
        <v>11.6</v>
      </c>
      <c r="AH187">
        <v>0</v>
      </c>
      <c r="AI187">
        <v>1</v>
      </c>
      <c r="AJ187">
        <v>10.86</v>
      </c>
      <c r="AK187">
        <v>33.049999999999997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0.13</v>
      </c>
      <c r="AU187" t="s">
        <v>100</v>
      </c>
      <c r="AV187">
        <v>0</v>
      </c>
      <c r="AW187">
        <v>2</v>
      </c>
      <c r="AX187">
        <v>36151144</v>
      </c>
      <c r="AY187">
        <v>1</v>
      </c>
      <c r="AZ187">
        <v>0</v>
      </c>
      <c r="BA187">
        <v>190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Y187*Source!I137</f>
        <v>5.2000000000000006E-3</v>
      </c>
      <c r="CY187">
        <f>AB187</f>
        <v>955.79</v>
      </c>
      <c r="CZ187">
        <f>AF187</f>
        <v>88.01</v>
      </c>
      <c r="DA187">
        <f>AJ187</f>
        <v>10.86</v>
      </c>
      <c r="DB187">
        <f t="shared" si="30"/>
        <v>14.3</v>
      </c>
      <c r="DC187">
        <f t="shared" si="31"/>
        <v>1.8875</v>
      </c>
    </row>
    <row r="188" spans="1:107">
      <c r="A188">
        <f>ROW(Source!A137)</f>
        <v>137</v>
      </c>
      <c r="B188">
        <v>34132744</v>
      </c>
      <c r="C188">
        <v>35797782</v>
      </c>
      <c r="D188">
        <v>29173141</v>
      </c>
      <c r="E188">
        <v>1</v>
      </c>
      <c r="F188">
        <v>1</v>
      </c>
      <c r="G188">
        <v>1</v>
      </c>
      <c r="H188">
        <v>2</v>
      </c>
      <c r="I188" t="s">
        <v>505</v>
      </c>
      <c r="J188" t="s">
        <v>506</v>
      </c>
      <c r="K188" t="s">
        <v>507</v>
      </c>
      <c r="L188">
        <v>1368</v>
      </c>
      <c r="N188">
        <v>1011</v>
      </c>
      <c r="O188" t="s">
        <v>331</v>
      </c>
      <c r="P188" t="s">
        <v>331</v>
      </c>
      <c r="Q188">
        <v>1</v>
      </c>
      <c r="W188">
        <v>0</v>
      </c>
      <c r="X188">
        <v>1314032473</v>
      </c>
      <c r="Y188">
        <v>2.1124999999999998</v>
      </c>
      <c r="AA188">
        <v>0</v>
      </c>
      <c r="AB188">
        <v>364.68</v>
      </c>
      <c r="AC188">
        <v>332.48</v>
      </c>
      <c r="AD188">
        <v>0</v>
      </c>
      <c r="AE188">
        <v>0</v>
      </c>
      <c r="AF188">
        <v>12.4</v>
      </c>
      <c r="AG188">
        <v>10.06</v>
      </c>
      <c r="AH188">
        <v>0</v>
      </c>
      <c r="AI188">
        <v>1</v>
      </c>
      <c r="AJ188">
        <v>29.41</v>
      </c>
      <c r="AK188">
        <v>33.049999999999997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1.69</v>
      </c>
      <c r="AU188" t="s">
        <v>100</v>
      </c>
      <c r="AV188">
        <v>0</v>
      </c>
      <c r="AW188">
        <v>2</v>
      </c>
      <c r="AX188">
        <v>36151145</v>
      </c>
      <c r="AY188">
        <v>1</v>
      </c>
      <c r="AZ188">
        <v>0</v>
      </c>
      <c r="BA188">
        <v>191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Y188*Source!I137</f>
        <v>6.7599999999999993E-2</v>
      </c>
      <c r="CY188">
        <f>AB188</f>
        <v>364.68</v>
      </c>
      <c r="CZ188">
        <f>AF188</f>
        <v>12.4</v>
      </c>
      <c r="DA188">
        <f>AJ188</f>
        <v>29.41</v>
      </c>
      <c r="DB188">
        <f t="shared" si="30"/>
        <v>26.2</v>
      </c>
      <c r="DC188">
        <f t="shared" si="31"/>
        <v>21.25</v>
      </c>
    </row>
    <row r="189" spans="1:107">
      <c r="A189">
        <f>ROW(Source!A137)</f>
        <v>137</v>
      </c>
      <c r="B189">
        <v>34132744</v>
      </c>
      <c r="C189">
        <v>35797782</v>
      </c>
      <c r="D189">
        <v>29174638</v>
      </c>
      <c r="E189">
        <v>1</v>
      </c>
      <c r="F189">
        <v>1</v>
      </c>
      <c r="G189">
        <v>1</v>
      </c>
      <c r="H189">
        <v>2</v>
      </c>
      <c r="I189" t="s">
        <v>508</v>
      </c>
      <c r="J189" t="s">
        <v>509</v>
      </c>
      <c r="K189" t="s">
        <v>510</v>
      </c>
      <c r="L189">
        <v>1368</v>
      </c>
      <c r="N189">
        <v>1011</v>
      </c>
      <c r="O189" t="s">
        <v>331</v>
      </c>
      <c r="P189" t="s">
        <v>331</v>
      </c>
      <c r="Q189">
        <v>1</v>
      </c>
      <c r="W189">
        <v>0</v>
      </c>
      <c r="X189">
        <v>-2119287708</v>
      </c>
      <c r="Y189">
        <v>0.11249999999999999</v>
      </c>
      <c r="AA189">
        <v>0</v>
      </c>
      <c r="AB189">
        <v>17.45</v>
      </c>
      <c r="AC189">
        <v>0</v>
      </c>
      <c r="AD189">
        <v>0</v>
      </c>
      <c r="AE189">
        <v>0</v>
      </c>
      <c r="AF189">
        <v>9.9700000000000006</v>
      </c>
      <c r="AG189">
        <v>0</v>
      </c>
      <c r="AH189">
        <v>0</v>
      </c>
      <c r="AI189">
        <v>1</v>
      </c>
      <c r="AJ189">
        <v>1.75</v>
      </c>
      <c r="AK189">
        <v>33.049999999999997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</v>
      </c>
      <c r="AT189">
        <v>0.09</v>
      </c>
      <c r="AU189" t="s">
        <v>100</v>
      </c>
      <c r="AV189">
        <v>0</v>
      </c>
      <c r="AW189">
        <v>2</v>
      </c>
      <c r="AX189">
        <v>36151146</v>
      </c>
      <c r="AY189">
        <v>1</v>
      </c>
      <c r="AZ189">
        <v>0</v>
      </c>
      <c r="BA189">
        <v>192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Y189*Source!I137</f>
        <v>3.5999999999999999E-3</v>
      </c>
      <c r="CY189">
        <f>AB189</f>
        <v>17.45</v>
      </c>
      <c r="CZ189">
        <f>AF189</f>
        <v>9.9700000000000006</v>
      </c>
      <c r="DA189">
        <f>AJ189</f>
        <v>1.75</v>
      </c>
      <c r="DB189">
        <f t="shared" si="30"/>
        <v>1.125</v>
      </c>
      <c r="DC189">
        <f t="shared" si="31"/>
        <v>0</v>
      </c>
    </row>
    <row r="190" spans="1:107">
      <c r="A190">
        <f>ROW(Source!A137)</f>
        <v>137</v>
      </c>
      <c r="B190">
        <v>34132744</v>
      </c>
      <c r="C190">
        <v>35797782</v>
      </c>
      <c r="D190">
        <v>29174913</v>
      </c>
      <c r="E190">
        <v>1</v>
      </c>
      <c r="F190">
        <v>1</v>
      </c>
      <c r="G190">
        <v>1</v>
      </c>
      <c r="H190">
        <v>2</v>
      </c>
      <c r="I190" t="s">
        <v>342</v>
      </c>
      <c r="J190" t="s">
        <v>343</v>
      </c>
      <c r="K190" t="s">
        <v>344</v>
      </c>
      <c r="L190">
        <v>1368</v>
      </c>
      <c r="N190">
        <v>1011</v>
      </c>
      <c r="O190" t="s">
        <v>331</v>
      </c>
      <c r="P190" t="s">
        <v>331</v>
      </c>
      <c r="Q190">
        <v>1</v>
      </c>
      <c r="W190">
        <v>0</v>
      </c>
      <c r="X190">
        <v>458544584</v>
      </c>
      <c r="Y190">
        <v>0.16250000000000001</v>
      </c>
      <c r="AA190">
        <v>0</v>
      </c>
      <c r="AB190">
        <v>932.72</v>
      </c>
      <c r="AC190">
        <v>383.38</v>
      </c>
      <c r="AD190">
        <v>0</v>
      </c>
      <c r="AE190">
        <v>0</v>
      </c>
      <c r="AF190">
        <v>87.17</v>
      </c>
      <c r="AG190">
        <v>11.6</v>
      </c>
      <c r="AH190">
        <v>0</v>
      </c>
      <c r="AI190">
        <v>1</v>
      </c>
      <c r="AJ190">
        <v>10.7</v>
      </c>
      <c r="AK190">
        <v>33.049999999999997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</v>
      </c>
      <c r="AT190">
        <v>0.13</v>
      </c>
      <c r="AU190" t="s">
        <v>100</v>
      </c>
      <c r="AV190">
        <v>0</v>
      </c>
      <c r="AW190">
        <v>2</v>
      </c>
      <c r="AX190">
        <v>36151147</v>
      </c>
      <c r="AY190">
        <v>1</v>
      </c>
      <c r="AZ190">
        <v>0</v>
      </c>
      <c r="BA190">
        <v>193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Y190*Source!I137</f>
        <v>5.2000000000000006E-3</v>
      </c>
      <c r="CY190">
        <f>AB190</f>
        <v>932.72</v>
      </c>
      <c r="CZ190">
        <f>AF190</f>
        <v>87.17</v>
      </c>
      <c r="DA190">
        <f>AJ190</f>
        <v>10.7</v>
      </c>
      <c r="DB190">
        <f t="shared" si="30"/>
        <v>14.1625</v>
      </c>
      <c r="DC190">
        <f t="shared" si="31"/>
        <v>1.8875</v>
      </c>
    </row>
    <row r="191" spans="1:107">
      <c r="A191">
        <f>ROW(Source!A137)</f>
        <v>137</v>
      </c>
      <c r="B191">
        <v>34132744</v>
      </c>
      <c r="C191">
        <v>35797782</v>
      </c>
      <c r="D191">
        <v>29107863</v>
      </c>
      <c r="E191">
        <v>1</v>
      </c>
      <c r="F191">
        <v>1</v>
      </c>
      <c r="G191">
        <v>1</v>
      </c>
      <c r="H191">
        <v>3</v>
      </c>
      <c r="I191" t="s">
        <v>511</v>
      </c>
      <c r="J191" t="s">
        <v>512</v>
      </c>
      <c r="K191" t="s">
        <v>513</v>
      </c>
      <c r="L191">
        <v>1348</v>
      </c>
      <c r="N191">
        <v>1009</v>
      </c>
      <c r="O191" t="s">
        <v>26</v>
      </c>
      <c r="P191" t="s">
        <v>26</v>
      </c>
      <c r="Q191">
        <v>1000</v>
      </c>
      <c r="W191">
        <v>0</v>
      </c>
      <c r="X191">
        <v>362594991</v>
      </c>
      <c r="Y191">
        <v>2.1000000000000001E-2</v>
      </c>
      <c r="AA191">
        <v>38737.9</v>
      </c>
      <c r="AB191">
        <v>0</v>
      </c>
      <c r="AC191">
        <v>0</v>
      </c>
      <c r="AD191">
        <v>0</v>
      </c>
      <c r="AE191">
        <v>6532.53</v>
      </c>
      <c r="AF191">
        <v>0</v>
      </c>
      <c r="AG191">
        <v>0</v>
      </c>
      <c r="AH191">
        <v>0</v>
      </c>
      <c r="AI191">
        <v>5.93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0</v>
      </c>
      <c r="AQ191">
        <v>0</v>
      </c>
      <c r="AR191">
        <v>0</v>
      </c>
      <c r="AS191" t="s">
        <v>3</v>
      </c>
      <c r="AT191">
        <v>2.1000000000000001E-2</v>
      </c>
      <c r="AU191" t="s">
        <v>3</v>
      </c>
      <c r="AV191">
        <v>0</v>
      </c>
      <c r="AW191">
        <v>2</v>
      </c>
      <c r="AX191">
        <v>36151148</v>
      </c>
      <c r="AY191">
        <v>1</v>
      </c>
      <c r="AZ191">
        <v>0</v>
      </c>
      <c r="BA191">
        <v>194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Y191*Source!I137</f>
        <v>6.7200000000000007E-4</v>
      </c>
      <c r="CY191">
        <f>AA191</f>
        <v>38737.9</v>
      </c>
      <c r="CZ191">
        <f>AE191</f>
        <v>6532.53</v>
      </c>
      <c r="DA191">
        <f>AI191</f>
        <v>5.93</v>
      </c>
      <c r="DB191">
        <f>ROUND(ROUND(AT191*CZ191,2),6)</f>
        <v>137.18</v>
      </c>
      <c r="DC191">
        <f>ROUND(ROUND(AT191*AG191,2),6)</f>
        <v>0</v>
      </c>
    </row>
    <row r="192" spans="1:107">
      <c r="A192">
        <f>ROW(Source!A137)</f>
        <v>137</v>
      </c>
      <c r="B192">
        <v>34132744</v>
      </c>
      <c r="C192">
        <v>35797782</v>
      </c>
      <c r="D192">
        <v>29109437</v>
      </c>
      <c r="E192">
        <v>1</v>
      </c>
      <c r="F192">
        <v>1</v>
      </c>
      <c r="G192">
        <v>1</v>
      </c>
      <c r="H192">
        <v>3</v>
      </c>
      <c r="I192" t="s">
        <v>514</v>
      </c>
      <c r="J192" t="s">
        <v>515</v>
      </c>
      <c r="K192" t="s">
        <v>516</v>
      </c>
      <c r="L192">
        <v>1346</v>
      </c>
      <c r="N192">
        <v>1009</v>
      </c>
      <c r="O192" t="s">
        <v>401</v>
      </c>
      <c r="P192" t="s">
        <v>401</v>
      </c>
      <c r="Q192">
        <v>1</v>
      </c>
      <c r="W192">
        <v>0</v>
      </c>
      <c r="X192">
        <v>-1940067584</v>
      </c>
      <c r="Y192">
        <v>1200</v>
      </c>
      <c r="AA192">
        <v>15.98</v>
      </c>
      <c r="AB192">
        <v>0</v>
      </c>
      <c r="AC192">
        <v>0</v>
      </c>
      <c r="AD192">
        <v>0</v>
      </c>
      <c r="AE192">
        <v>3.86</v>
      </c>
      <c r="AF192">
        <v>0</v>
      </c>
      <c r="AG192">
        <v>0</v>
      </c>
      <c r="AH192">
        <v>0</v>
      </c>
      <c r="AI192">
        <v>4.1399999999999997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0</v>
      </c>
      <c r="AQ192">
        <v>0</v>
      </c>
      <c r="AR192">
        <v>0</v>
      </c>
      <c r="AS192" t="s">
        <v>3</v>
      </c>
      <c r="AT192">
        <v>1200</v>
      </c>
      <c r="AU192" t="s">
        <v>3</v>
      </c>
      <c r="AV192">
        <v>0</v>
      </c>
      <c r="AW192">
        <v>2</v>
      </c>
      <c r="AX192">
        <v>36151149</v>
      </c>
      <c r="AY192">
        <v>1</v>
      </c>
      <c r="AZ192">
        <v>0</v>
      </c>
      <c r="BA192">
        <v>195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Y192*Source!I137</f>
        <v>38.4</v>
      </c>
      <c r="CY192">
        <f>AA192</f>
        <v>15.98</v>
      </c>
      <c r="CZ192">
        <f>AE192</f>
        <v>3.86</v>
      </c>
      <c r="DA192">
        <f>AI192</f>
        <v>4.1399999999999997</v>
      </c>
      <c r="DB192">
        <f>ROUND(ROUND(AT192*CZ192,2),6)</f>
        <v>4632</v>
      </c>
      <c r="DC192">
        <f>ROUND(ROUND(AT192*AG192,2),6)</f>
        <v>0</v>
      </c>
    </row>
    <row r="193" spans="1:107">
      <c r="A193">
        <f>ROW(Source!A137)</f>
        <v>137</v>
      </c>
      <c r="B193">
        <v>34132744</v>
      </c>
      <c r="C193">
        <v>35797782</v>
      </c>
      <c r="D193">
        <v>29109878</v>
      </c>
      <c r="E193">
        <v>1</v>
      </c>
      <c r="F193">
        <v>1</v>
      </c>
      <c r="G193">
        <v>1</v>
      </c>
      <c r="H193">
        <v>3</v>
      </c>
      <c r="I193" t="s">
        <v>583</v>
      </c>
      <c r="J193" t="s">
        <v>584</v>
      </c>
      <c r="K193" t="s">
        <v>585</v>
      </c>
      <c r="L193">
        <v>1327</v>
      </c>
      <c r="N193">
        <v>1005</v>
      </c>
      <c r="O193" t="s">
        <v>140</v>
      </c>
      <c r="P193" t="s">
        <v>140</v>
      </c>
      <c r="Q193">
        <v>1</v>
      </c>
      <c r="W193">
        <v>0</v>
      </c>
      <c r="X193">
        <v>631478248</v>
      </c>
      <c r="Y193">
        <v>102</v>
      </c>
      <c r="AA193">
        <v>437.86</v>
      </c>
      <c r="AB193">
        <v>0</v>
      </c>
      <c r="AC193">
        <v>0</v>
      </c>
      <c r="AD193">
        <v>0</v>
      </c>
      <c r="AE193">
        <v>126.55</v>
      </c>
      <c r="AF193">
        <v>0</v>
      </c>
      <c r="AG193">
        <v>0</v>
      </c>
      <c r="AH193">
        <v>0</v>
      </c>
      <c r="AI193">
        <v>3.46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102</v>
      </c>
      <c r="AU193" t="s">
        <v>3</v>
      </c>
      <c r="AV193">
        <v>0</v>
      </c>
      <c r="AW193">
        <v>2</v>
      </c>
      <c r="AX193">
        <v>36151150</v>
      </c>
      <c r="AY193">
        <v>1</v>
      </c>
      <c r="AZ193">
        <v>0</v>
      </c>
      <c r="BA193">
        <v>196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Y193*Source!I137</f>
        <v>3.2640000000000002</v>
      </c>
      <c r="CY193">
        <f>AA193</f>
        <v>437.86</v>
      </c>
      <c r="CZ193">
        <f>AE193</f>
        <v>126.55</v>
      </c>
      <c r="DA193">
        <f>AI193</f>
        <v>3.46</v>
      </c>
      <c r="DB193">
        <f>ROUND(ROUND(AT193*CZ193,2),6)</f>
        <v>12908.1</v>
      </c>
      <c r="DC193">
        <f>ROUND(ROUND(AT193*AG193,2),6)</f>
        <v>0</v>
      </c>
    </row>
    <row r="194" spans="1:107">
      <c r="A194">
        <f>ROW(Source!A137)</f>
        <v>137</v>
      </c>
      <c r="B194">
        <v>34132744</v>
      </c>
      <c r="C194">
        <v>35797782</v>
      </c>
      <c r="D194">
        <v>29150040</v>
      </c>
      <c r="E194">
        <v>1</v>
      </c>
      <c r="F194">
        <v>1</v>
      </c>
      <c r="G194">
        <v>1</v>
      </c>
      <c r="H194">
        <v>3</v>
      </c>
      <c r="I194" t="s">
        <v>520</v>
      </c>
      <c r="J194" t="s">
        <v>521</v>
      </c>
      <c r="K194" t="s">
        <v>522</v>
      </c>
      <c r="L194">
        <v>1339</v>
      </c>
      <c r="N194">
        <v>1007</v>
      </c>
      <c r="O194" t="s">
        <v>182</v>
      </c>
      <c r="P194" t="s">
        <v>182</v>
      </c>
      <c r="Q194">
        <v>1</v>
      </c>
      <c r="W194">
        <v>0</v>
      </c>
      <c r="X194">
        <v>693153122</v>
      </c>
      <c r="Y194">
        <v>0.45</v>
      </c>
      <c r="AA194">
        <v>22.2</v>
      </c>
      <c r="AB194">
        <v>0</v>
      </c>
      <c r="AC194">
        <v>0</v>
      </c>
      <c r="AD194">
        <v>0</v>
      </c>
      <c r="AE194">
        <v>2.44</v>
      </c>
      <c r="AF194">
        <v>0</v>
      </c>
      <c r="AG194">
        <v>0</v>
      </c>
      <c r="AH194">
        <v>0</v>
      </c>
      <c r="AI194">
        <v>9.1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3</v>
      </c>
      <c r="AT194">
        <v>0.45</v>
      </c>
      <c r="AU194" t="s">
        <v>3</v>
      </c>
      <c r="AV194">
        <v>0</v>
      </c>
      <c r="AW194">
        <v>2</v>
      </c>
      <c r="AX194">
        <v>36151152</v>
      </c>
      <c r="AY194">
        <v>1</v>
      </c>
      <c r="AZ194">
        <v>0</v>
      </c>
      <c r="BA194">
        <v>198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Y194*Source!I137</f>
        <v>1.4400000000000001E-2</v>
      </c>
      <c r="CY194">
        <f>AA194</f>
        <v>22.2</v>
      </c>
      <c r="CZ194">
        <f>AE194</f>
        <v>2.44</v>
      </c>
      <c r="DA194">
        <f>AI194</f>
        <v>9.1</v>
      </c>
      <c r="DB194">
        <f>ROUND(ROUND(AT194*CZ194,2),6)</f>
        <v>1.1000000000000001</v>
      </c>
      <c r="DC194">
        <f>ROUND(ROUND(AT194*AG194,2),6)</f>
        <v>0</v>
      </c>
    </row>
    <row r="195" spans="1:107">
      <c r="A195">
        <f>ROW(Source!A138)</f>
        <v>138</v>
      </c>
      <c r="B195">
        <v>34132744</v>
      </c>
      <c r="C195">
        <v>34232179</v>
      </c>
      <c r="D195">
        <v>18410572</v>
      </c>
      <c r="E195">
        <v>1</v>
      </c>
      <c r="F195">
        <v>1</v>
      </c>
      <c r="G195">
        <v>1</v>
      </c>
      <c r="H195">
        <v>1</v>
      </c>
      <c r="I195" t="s">
        <v>354</v>
      </c>
      <c r="J195" t="s">
        <v>3</v>
      </c>
      <c r="K195" t="s">
        <v>355</v>
      </c>
      <c r="L195">
        <v>1369</v>
      </c>
      <c r="N195">
        <v>1013</v>
      </c>
      <c r="O195" t="s">
        <v>323</v>
      </c>
      <c r="P195" t="s">
        <v>323</v>
      </c>
      <c r="Q195">
        <v>1</v>
      </c>
      <c r="W195">
        <v>0</v>
      </c>
      <c r="X195">
        <v>-546915240</v>
      </c>
      <c r="Y195">
        <v>40.824999999999996</v>
      </c>
      <c r="AA195">
        <v>0</v>
      </c>
      <c r="AB195">
        <v>0</v>
      </c>
      <c r="AC195">
        <v>0</v>
      </c>
      <c r="AD195">
        <v>285.36</v>
      </c>
      <c r="AE195">
        <v>0</v>
      </c>
      <c r="AF195">
        <v>0</v>
      </c>
      <c r="AG195">
        <v>0</v>
      </c>
      <c r="AH195">
        <v>285.36</v>
      </c>
      <c r="AI195">
        <v>1</v>
      </c>
      <c r="AJ195">
        <v>1</v>
      </c>
      <c r="AK195">
        <v>1</v>
      </c>
      <c r="AL195">
        <v>1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</v>
      </c>
      <c r="AT195">
        <v>35.5</v>
      </c>
      <c r="AU195" t="s">
        <v>101</v>
      </c>
      <c r="AV195">
        <v>1</v>
      </c>
      <c r="AW195">
        <v>2</v>
      </c>
      <c r="AX195">
        <v>36151111</v>
      </c>
      <c r="AY195">
        <v>1</v>
      </c>
      <c r="AZ195">
        <v>0</v>
      </c>
      <c r="BA195">
        <v>199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Y195*Source!I138</f>
        <v>0.61237499999999989</v>
      </c>
      <c r="CY195">
        <f>AD195</f>
        <v>285.36</v>
      </c>
      <c r="CZ195">
        <f>AH195</f>
        <v>285.36</v>
      </c>
      <c r="DA195">
        <f>AL195</f>
        <v>1</v>
      </c>
      <c r="DB195">
        <f>ROUND((ROUND(AT195*CZ195,2)*1.15),6)</f>
        <v>11649.822</v>
      </c>
      <c r="DC195">
        <f>ROUND((ROUND(AT195*AG195,2)*1.15),6)</f>
        <v>0</v>
      </c>
    </row>
    <row r="196" spans="1:107">
      <c r="A196">
        <f>ROW(Source!A138)</f>
        <v>138</v>
      </c>
      <c r="B196">
        <v>34132744</v>
      </c>
      <c r="C196">
        <v>34232179</v>
      </c>
      <c r="D196">
        <v>121548</v>
      </c>
      <c r="E196">
        <v>1</v>
      </c>
      <c r="F196">
        <v>1</v>
      </c>
      <c r="G196">
        <v>1</v>
      </c>
      <c r="H196">
        <v>1</v>
      </c>
      <c r="I196" t="s">
        <v>28</v>
      </c>
      <c r="J196" t="s">
        <v>3</v>
      </c>
      <c r="K196" t="s">
        <v>326</v>
      </c>
      <c r="L196">
        <v>608254</v>
      </c>
      <c r="N196">
        <v>1013</v>
      </c>
      <c r="O196" t="s">
        <v>327</v>
      </c>
      <c r="P196" t="s">
        <v>327</v>
      </c>
      <c r="Q196">
        <v>1</v>
      </c>
      <c r="W196">
        <v>0</v>
      </c>
      <c r="X196">
        <v>-185737400</v>
      </c>
      <c r="Y196">
        <v>3.2624999999999997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2.61</v>
      </c>
      <c r="AU196" t="s">
        <v>100</v>
      </c>
      <c r="AV196">
        <v>2</v>
      </c>
      <c r="AW196">
        <v>2</v>
      </c>
      <c r="AX196">
        <v>36151112</v>
      </c>
      <c r="AY196">
        <v>1</v>
      </c>
      <c r="AZ196">
        <v>0</v>
      </c>
      <c r="BA196">
        <v>200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Y196*Source!I138</f>
        <v>4.8937499999999995E-2</v>
      </c>
      <c r="CY196">
        <f>AD196</f>
        <v>0</v>
      </c>
      <c r="CZ196">
        <f>AH196</f>
        <v>0</v>
      </c>
      <c r="DA196">
        <f>AL196</f>
        <v>1</v>
      </c>
      <c r="DB196">
        <f t="shared" ref="DB196:DB205" si="32">ROUND((ROUND(AT196*CZ196,2)*1.25),6)</f>
        <v>0</v>
      </c>
      <c r="DC196">
        <f t="shared" ref="DC196:DC205" si="33">ROUND((ROUND(AT196*AG196,2)*1.25),6)</f>
        <v>0</v>
      </c>
    </row>
    <row r="197" spans="1:107">
      <c r="A197">
        <f>ROW(Source!A138)</f>
        <v>138</v>
      </c>
      <c r="B197">
        <v>34132744</v>
      </c>
      <c r="C197">
        <v>34232179</v>
      </c>
      <c r="D197">
        <v>29172285</v>
      </c>
      <c r="E197">
        <v>1</v>
      </c>
      <c r="F197">
        <v>1</v>
      </c>
      <c r="G197">
        <v>1</v>
      </c>
      <c r="H197">
        <v>2</v>
      </c>
      <c r="I197" t="s">
        <v>356</v>
      </c>
      <c r="J197" t="s">
        <v>357</v>
      </c>
      <c r="K197" t="s">
        <v>358</v>
      </c>
      <c r="L197">
        <v>1368</v>
      </c>
      <c r="N197">
        <v>1011</v>
      </c>
      <c r="O197" t="s">
        <v>331</v>
      </c>
      <c r="P197" t="s">
        <v>331</v>
      </c>
      <c r="Q197">
        <v>1</v>
      </c>
      <c r="W197">
        <v>0</v>
      </c>
      <c r="X197">
        <v>-1710824664</v>
      </c>
      <c r="Y197">
        <v>0.05</v>
      </c>
      <c r="AA197">
        <v>0</v>
      </c>
      <c r="AB197">
        <v>981.03</v>
      </c>
      <c r="AC197">
        <v>509.63</v>
      </c>
      <c r="AD197">
        <v>0</v>
      </c>
      <c r="AE197">
        <v>0</v>
      </c>
      <c r="AF197">
        <v>120.52</v>
      </c>
      <c r="AG197">
        <v>15.42</v>
      </c>
      <c r="AH197">
        <v>0</v>
      </c>
      <c r="AI197">
        <v>1</v>
      </c>
      <c r="AJ197">
        <v>8.14</v>
      </c>
      <c r="AK197">
        <v>33.049999999999997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</v>
      </c>
      <c r="AT197">
        <v>0.04</v>
      </c>
      <c r="AU197" t="s">
        <v>100</v>
      </c>
      <c r="AV197">
        <v>0</v>
      </c>
      <c r="AW197">
        <v>2</v>
      </c>
      <c r="AX197">
        <v>36151113</v>
      </c>
      <c r="AY197">
        <v>1</v>
      </c>
      <c r="AZ197">
        <v>0</v>
      </c>
      <c r="BA197">
        <v>201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Y197*Source!I138</f>
        <v>7.5000000000000002E-4</v>
      </c>
      <c r="CY197">
        <f t="shared" ref="CY197:CY205" si="34">AB197</f>
        <v>981.03</v>
      </c>
      <c r="CZ197">
        <f t="shared" ref="CZ197:CZ205" si="35">AF197</f>
        <v>120.52</v>
      </c>
      <c r="DA197">
        <f t="shared" ref="DA197:DA205" si="36">AJ197</f>
        <v>8.14</v>
      </c>
      <c r="DB197">
        <f t="shared" si="32"/>
        <v>6.0250000000000004</v>
      </c>
      <c r="DC197">
        <f t="shared" si="33"/>
        <v>0.77500000000000002</v>
      </c>
    </row>
    <row r="198" spans="1:107">
      <c r="A198">
        <f>ROW(Source!A138)</f>
        <v>138</v>
      </c>
      <c r="B198">
        <v>34132744</v>
      </c>
      <c r="C198">
        <v>34232179</v>
      </c>
      <c r="D198">
        <v>29172379</v>
      </c>
      <c r="E198">
        <v>1</v>
      </c>
      <c r="F198">
        <v>1</v>
      </c>
      <c r="G198">
        <v>1</v>
      </c>
      <c r="H198">
        <v>2</v>
      </c>
      <c r="I198" t="s">
        <v>359</v>
      </c>
      <c r="J198" t="s">
        <v>360</v>
      </c>
      <c r="K198" t="s">
        <v>361</v>
      </c>
      <c r="L198">
        <v>1368</v>
      </c>
      <c r="N198">
        <v>1011</v>
      </c>
      <c r="O198" t="s">
        <v>331</v>
      </c>
      <c r="P198" t="s">
        <v>331</v>
      </c>
      <c r="Q198">
        <v>1</v>
      </c>
      <c r="W198">
        <v>0</v>
      </c>
      <c r="X198">
        <v>-151619853</v>
      </c>
      <c r="Y198">
        <v>0.26250000000000001</v>
      </c>
      <c r="AA198">
        <v>0</v>
      </c>
      <c r="AB198">
        <v>1102.08</v>
      </c>
      <c r="AC198">
        <v>446.18</v>
      </c>
      <c r="AD198">
        <v>0</v>
      </c>
      <c r="AE198">
        <v>0</v>
      </c>
      <c r="AF198">
        <v>112</v>
      </c>
      <c r="AG198">
        <v>13.5</v>
      </c>
      <c r="AH198">
        <v>0</v>
      </c>
      <c r="AI198">
        <v>1</v>
      </c>
      <c r="AJ198">
        <v>9.84</v>
      </c>
      <c r="AK198">
        <v>33.049999999999997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</v>
      </c>
      <c r="AT198">
        <v>0.21</v>
      </c>
      <c r="AU198" t="s">
        <v>100</v>
      </c>
      <c r="AV198">
        <v>0</v>
      </c>
      <c r="AW198">
        <v>2</v>
      </c>
      <c r="AX198">
        <v>36151114</v>
      </c>
      <c r="AY198">
        <v>1</v>
      </c>
      <c r="AZ198">
        <v>0</v>
      </c>
      <c r="BA198">
        <v>202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Y198*Source!I138</f>
        <v>3.9375E-3</v>
      </c>
      <c r="CY198">
        <f t="shared" si="34"/>
        <v>1102.08</v>
      </c>
      <c r="CZ198">
        <f t="shared" si="35"/>
        <v>112</v>
      </c>
      <c r="DA198">
        <f t="shared" si="36"/>
        <v>9.84</v>
      </c>
      <c r="DB198">
        <f t="shared" si="32"/>
        <v>29.4</v>
      </c>
      <c r="DC198">
        <f t="shared" si="33"/>
        <v>3.55</v>
      </c>
    </row>
    <row r="199" spans="1:107">
      <c r="A199">
        <f>ROW(Source!A138)</f>
        <v>138</v>
      </c>
      <c r="B199">
        <v>34132744</v>
      </c>
      <c r="C199">
        <v>34232179</v>
      </c>
      <c r="D199">
        <v>29172409</v>
      </c>
      <c r="E199">
        <v>1</v>
      </c>
      <c r="F199">
        <v>1</v>
      </c>
      <c r="G199">
        <v>1</v>
      </c>
      <c r="H199">
        <v>2</v>
      </c>
      <c r="I199" t="s">
        <v>362</v>
      </c>
      <c r="J199" t="s">
        <v>363</v>
      </c>
      <c r="K199" t="s">
        <v>364</v>
      </c>
      <c r="L199">
        <v>1368</v>
      </c>
      <c r="N199">
        <v>1011</v>
      </c>
      <c r="O199" t="s">
        <v>331</v>
      </c>
      <c r="P199" t="s">
        <v>331</v>
      </c>
      <c r="Q199">
        <v>1</v>
      </c>
      <c r="W199">
        <v>0</v>
      </c>
      <c r="X199">
        <v>1494694365</v>
      </c>
      <c r="Y199">
        <v>2.9499999999999997</v>
      </c>
      <c r="AA199">
        <v>0</v>
      </c>
      <c r="AB199">
        <v>1374.56</v>
      </c>
      <c r="AC199">
        <v>475.92</v>
      </c>
      <c r="AD199">
        <v>0</v>
      </c>
      <c r="AE199">
        <v>0</v>
      </c>
      <c r="AF199">
        <v>175.55</v>
      </c>
      <c r="AG199">
        <v>14.4</v>
      </c>
      <c r="AH199">
        <v>0</v>
      </c>
      <c r="AI199">
        <v>1</v>
      </c>
      <c r="AJ199">
        <v>7.83</v>
      </c>
      <c r="AK199">
        <v>33.049999999999997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</v>
      </c>
      <c r="AT199">
        <v>2.36</v>
      </c>
      <c r="AU199" t="s">
        <v>100</v>
      </c>
      <c r="AV199">
        <v>0</v>
      </c>
      <c r="AW199">
        <v>2</v>
      </c>
      <c r="AX199">
        <v>36151115</v>
      </c>
      <c r="AY199">
        <v>1</v>
      </c>
      <c r="AZ199">
        <v>0</v>
      </c>
      <c r="BA199">
        <v>203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Y199*Source!I138</f>
        <v>4.4249999999999998E-2</v>
      </c>
      <c r="CY199">
        <f t="shared" si="34"/>
        <v>1374.56</v>
      </c>
      <c r="CZ199">
        <f t="shared" si="35"/>
        <v>175.55</v>
      </c>
      <c r="DA199">
        <f t="shared" si="36"/>
        <v>7.83</v>
      </c>
      <c r="DB199">
        <f t="shared" si="32"/>
        <v>517.875</v>
      </c>
      <c r="DC199">
        <f t="shared" si="33"/>
        <v>42.475000000000001</v>
      </c>
    </row>
    <row r="200" spans="1:107">
      <c r="A200">
        <f>ROW(Source!A138)</f>
        <v>138</v>
      </c>
      <c r="B200">
        <v>34132744</v>
      </c>
      <c r="C200">
        <v>34232179</v>
      </c>
      <c r="D200">
        <v>29172498</v>
      </c>
      <c r="E200">
        <v>1</v>
      </c>
      <c r="F200">
        <v>1</v>
      </c>
      <c r="G200">
        <v>1</v>
      </c>
      <c r="H200">
        <v>2</v>
      </c>
      <c r="I200" t="s">
        <v>365</v>
      </c>
      <c r="J200" t="s">
        <v>366</v>
      </c>
      <c r="K200" t="s">
        <v>367</v>
      </c>
      <c r="L200">
        <v>1368</v>
      </c>
      <c r="N200">
        <v>1011</v>
      </c>
      <c r="O200" t="s">
        <v>331</v>
      </c>
      <c r="P200" t="s">
        <v>331</v>
      </c>
      <c r="Q200">
        <v>1</v>
      </c>
      <c r="W200">
        <v>0</v>
      </c>
      <c r="X200">
        <v>2059246442</v>
      </c>
      <c r="Y200">
        <v>1.2375</v>
      </c>
      <c r="AA200">
        <v>0</v>
      </c>
      <c r="AB200">
        <v>10.07</v>
      </c>
      <c r="AC200">
        <v>0</v>
      </c>
      <c r="AD200">
        <v>0</v>
      </c>
      <c r="AE200">
        <v>0</v>
      </c>
      <c r="AF200">
        <v>2.37</v>
      </c>
      <c r="AG200">
        <v>0</v>
      </c>
      <c r="AH200">
        <v>0</v>
      </c>
      <c r="AI200">
        <v>1</v>
      </c>
      <c r="AJ200">
        <v>4.25</v>
      </c>
      <c r="AK200">
        <v>33.049999999999997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</v>
      </c>
      <c r="AT200">
        <v>0.99</v>
      </c>
      <c r="AU200" t="s">
        <v>100</v>
      </c>
      <c r="AV200">
        <v>0</v>
      </c>
      <c r="AW200">
        <v>2</v>
      </c>
      <c r="AX200">
        <v>36151116</v>
      </c>
      <c r="AY200">
        <v>1</v>
      </c>
      <c r="AZ200">
        <v>0</v>
      </c>
      <c r="BA200">
        <v>204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Y200*Source!I138</f>
        <v>1.8562499999999999E-2</v>
      </c>
      <c r="CY200">
        <f t="shared" si="34"/>
        <v>10.07</v>
      </c>
      <c r="CZ200">
        <f t="shared" si="35"/>
        <v>2.37</v>
      </c>
      <c r="DA200">
        <f t="shared" si="36"/>
        <v>4.25</v>
      </c>
      <c r="DB200">
        <f t="shared" si="32"/>
        <v>2.9375</v>
      </c>
      <c r="DC200">
        <f t="shared" si="33"/>
        <v>0</v>
      </c>
    </row>
    <row r="201" spans="1:107">
      <c r="A201">
        <f>ROW(Source!A138)</f>
        <v>138</v>
      </c>
      <c r="B201">
        <v>34132744</v>
      </c>
      <c r="C201">
        <v>34232179</v>
      </c>
      <c r="D201">
        <v>29172659</v>
      </c>
      <c r="E201">
        <v>1</v>
      </c>
      <c r="F201">
        <v>1</v>
      </c>
      <c r="G201">
        <v>1</v>
      </c>
      <c r="H201">
        <v>2</v>
      </c>
      <c r="I201" t="s">
        <v>368</v>
      </c>
      <c r="J201" t="s">
        <v>369</v>
      </c>
      <c r="K201" t="s">
        <v>370</v>
      </c>
      <c r="L201">
        <v>1368</v>
      </c>
      <c r="N201">
        <v>1011</v>
      </c>
      <c r="O201" t="s">
        <v>331</v>
      </c>
      <c r="P201" t="s">
        <v>331</v>
      </c>
      <c r="Q201">
        <v>1</v>
      </c>
      <c r="W201">
        <v>0</v>
      </c>
      <c r="X201">
        <v>-664376910</v>
      </c>
      <c r="Y201">
        <v>2.1</v>
      </c>
      <c r="AA201">
        <v>0</v>
      </c>
      <c r="AB201">
        <v>8.5399999999999991</v>
      </c>
      <c r="AC201">
        <v>0</v>
      </c>
      <c r="AD201">
        <v>0</v>
      </c>
      <c r="AE201">
        <v>0</v>
      </c>
      <c r="AF201">
        <v>1.2</v>
      </c>
      <c r="AG201">
        <v>0</v>
      </c>
      <c r="AH201">
        <v>0</v>
      </c>
      <c r="AI201">
        <v>1</v>
      </c>
      <c r="AJ201">
        <v>7.12</v>
      </c>
      <c r="AK201">
        <v>33.049999999999997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3</v>
      </c>
      <c r="AT201">
        <v>1.68</v>
      </c>
      <c r="AU201" t="s">
        <v>100</v>
      </c>
      <c r="AV201">
        <v>0</v>
      </c>
      <c r="AW201">
        <v>2</v>
      </c>
      <c r="AX201">
        <v>36151117</v>
      </c>
      <c r="AY201">
        <v>1</v>
      </c>
      <c r="AZ201">
        <v>0</v>
      </c>
      <c r="BA201">
        <v>205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Y201*Source!I138</f>
        <v>3.15E-2</v>
      </c>
      <c r="CY201">
        <f t="shared" si="34"/>
        <v>8.5399999999999991</v>
      </c>
      <c r="CZ201">
        <f t="shared" si="35"/>
        <v>1.2</v>
      </c>
      <c r="DA201">
        <f t="shared" si="36"/>
        <v>7.12</v>
      </c>
      <c r="DB201">
        <f t="shared" si="32"/>
        <v>2.5249999999999999</v>
      </c>
      <c r="DC201">
        <f t="shared" si="33"/>
        <v>0</v>
      </c>
    </row>
    <row r="202" spans="1:107">
      <c r="A202">
        <f>ROW(Source!A138)</f>
        <v>138</v>
      </c>
      <c r="B202">
        <v>34132744</v>
      </c>
      <c r="C202">
        <v>34232179</v>
      </c>
      <c r="D202">
        <v>29172669</v>
      </c>
      <c r="E202">
        <v>1</v>
      </c>
      <c r="F202">
        <v>1</v>
      </c>
      <c r="G202">
        <v>1</v>
      </c>
      <c r="H202">
        <v>2</v>
      </c>
      <c r="I202" t="s">
        <v>371</v>
      </c>
      <c r="J202" t="s">
        <v>372</v>
      </c>
      <c r="K202" t="s">
        <v>373</v>
      </c>
      <c r="L202">
        <v>1368</v>
      </c>
      <c r="N202">
        <v>1011</v>
      </c>
      <c r="O202" t="s">
        <v>331</v>
      </c>
      <c r="P202" t="s">
        <v>331</v>
      </c>
      <c r="Q202">
        <v>1</v>
      </c>
      <c r="W202">
        <v>0</v>
      </c>
      <c r="X202">
        <v>341785304</v>
      </c>
      <c r="Y202">
        <v>0.22499999999999998</v>
      </c>
      <c r="AA202">
        <v>0</v>
      </c>
      <c r="AB202">
        <v>104.14</v>
      </c>
      <c r="AC202">
        <v>0</v>
      </c>
      <c r="AD202">
        <v>0</v>
      </c>
      <c r="AE202">
        <v>0</v>
      </c>
      <c r="AF202">
        <v>12.31</v>
      </c>
      <c r="AG202">
        <v>0</v>
      </c>
      <c r="AH202">
        <v>0</v>
      </c>
      <c r="AI202">
        <v>1</v>
      </c>
      <c r="AJ202">
        <v>8.4600000000000009</v>
      </c>
      <c r="AK202">
        <v>33.049999999999997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</v>
      </c>
      <c r="AT202">
        <v>0.18</v>
      </c>
      <c r="AU202" t="s">
        <v>100</v>
      </c>
      <c r="AV202">
        <v>0</v>
      </c>
      <c r="AW202">
        <v>2</v>
      </c>
      <c r="AX202">
        <v>36151118</v>
      </c>
      <c r="AY202">
        <v>1</v>
      </c>
      <c r="AZ202">
        <v>0</v>
      </c>
      <c r="BA202">
        <v>206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Y202*Source!I138</f>
        <v>3.3749999999999995E-3</v>
      </c>
      <c r="CY202">
        <f t="shared" si="34"/>
        <v>104.14</v>
      </c>
      <c r="CZ202">
        <f t="shared" si="35"/>
        <v>12.31</v>
      </c>
      <c r="DA202">
        <f t="shared" si="36"/>
        <v>8.4600000000000009</v>
      </c>
      <c r="DB202">
        <f t="shared" si="32"/>
        <v>2.7749999999999999</v>
      </c>
      <c r="DC202">
        <f t="shared" si="33"/>
        <v>0</v>
      </c>
    </row>
    <row r="203" spans="1:107">
      <c r="A203">
        <f>ROW(Source!A138)</f>
        <v>138</v>
      </c>
      <c r="B203">
        <v>34132744</v>
      </c>
      <c r="C203">
        <v>34232179</v>
      </c>
      <c r="D203">
        <v>29172679</v>
      </c>
      <c r="E203">
        <v>1</v>
      </c>
      <c r="F203">
        <v>1</v>
      </c>
      <c r="G203">
        <v>1</v>
      </c>
      <c r="H203">
        <v>2</v>
      </c>
      <c r="I203" t="s">
        <v>374</v>
      </c>
      <c r="J203" t="s">
        <v>375</v>
      </c>
      <c r="K203" t="s">
        <v>376</v>
      </c>
      <c r="L203">
        <v>1368</v>
      </c>
      <c r="N203">
        <v>1011</v>
      </c>
      <c r="O203" t="s">
        <v>331</v>
      </c>
      <c r="P203" t="s">
        <v>331</v>
      </c>
      <c r="Q203">
        <v>1</v>
      </c>
      <c r="W203">
        <v>0</v>
      </c>
      <c r="X203">
        <v>12839444</v>
      </c>
      <c r="Y203">
        <v>2.5000000000000001E-2</v>
      </c>
      <c r="AA203">
        <v>0</v>
      </c>
      <c r="AB203">
        <v>56.75</v>
      </c>
      <c r="AC203">
        <v>0</v>
      </c>
      <c r="AD203">
        <v>0</v>
      </c>
      <c r="AE203">
        <v>0</v>
      </c>
      <c r="AF203">
        <v>6.7</v>
      </c>
      <c r="AG203">
        <v>0</v>
      </c>
      <c r="AH203">
        <v>0</v>
      </c>
      <c r="AI203">
        <v>1</v>
      </c>
      <c r="AJ203">
        <v>8.4700000000000006</v>
      </c>
      <c r="AK203">
        <v>33.049999999999997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3</v>
      </c>
      <c r="AT203">
        <v>0.02</v>
      </c>
      <c r="AU203" t="s">
        <v>100</v>
      </c>
      <c r="AV203">
        <v>0</v>
      </c>
      <c r="AW203">
        <v>2</v>
      </c>
      <c r="AX203">
        <v>36151119</v>
      </c>
      <c r="AY203">
        <v>1</v>
      </c>
      <c r="AZ203">
        <v>0</v>
      </c>
      <c r="BA203">
        <v>207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Y203*Source!I138</f>
        <v>3.7500000000000001E-4</v>
      </c>
      <c r="CY203">
        <f t="shared" si="34"/>
        <v>56.75</v>
      </c>
      <c r="CZ203">
        <f t="shared" si="35"/>
        <v>6.7</v>
      </c>
      <c r="DA203">
        <f t="shared" si="36"/>
        <v>8.4700000000000006</v>
      </c>
      <c r="DB203">
        <f t="shared" si="32"/>
        <v>0.16250000000000001</v>
      </c>
      <c r="DC203">
        <f t="shared" si="33"/>
        <v>0</v>
      </c>
    </row>
    <row r="204" spans="1:107">
      <c r="A204">
        <f>ROW(Source!A138)</f>
        <v>138</v>
      </c>
      <c r="B204">
        <v>34132744</v>
      </c>
      <c r="C204">
        <v>34232179</v>
      </c>
      <c r="D204">
        <v>29174500</v>
      </c>
      <c r="E204">
        <v>1</v>
      </c>
      <c r="F204">
        <v>1</v>
      </c>
      <c r="G204">
        <v>1</v>
      </c>
      <c r="H204">
        <v>2</v>
      </c>
      <c r="I204" t="s">
        <v>377</v>
      </c>
      <c r="J204" t="s">
        <v>378</v>
      </c>
      <c r="K204" t="s">
        <v>379</v>
      </c>
      <c r="L204">
        <v>1368</v>
      </c>
      <c r="N204">
        <v>1011</v>
      </c>
      <c r="O204" t="s">
        <v>331</v>
      </c>
      <c r="P204" t="s">
        <v>331</v>
      </c>
      <c r="Q204">
        <v>1</v>
      </c>
      <c r="W204">
        <v>0</v>
      </c>
      <c r="X204">
        <v>-239831557</v>
      </c>
      <c r="Y204">
        <v>3.0125000000000002</v>
      </c>
      <c r="AA204">
        <v>0</v>
      </c>
      <c r="AB204">
        <v>7.33</v>
      </c>
      <c r="AC204">
        <v>0</v>
      </c>
      <c r="AD204">
        <v>0</v>
      </c>
      <c r="AE204">
        <v>0</v>
      </c>
      <c r="AF204">
        <v>1.95</v>
      </c>
      <c r="AG204">
        <v>0</v>
      </c>
      <c r="AH204">
        <v>0</v>
      </c>
      <c r="AI204">
        <v>1</v>
      </c>
      <c r="AJ204">
        <v>3.76</v>
      </c>
      <c r="AK204">
        <v>33.049999999999997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3</v>
      </c>
      <c r="AT204">
        <v>2.41</v>
      </c>
      <c r="AU204" t="s">
        <v>100</v>
      </c>
      <c r="AV204">
        <v>0</v>
      </c>
      <c r="AW204">
        <v>2</v>
      </c>
      <c r="AX204">
        <v>36151120</v>
      </c>
      <c r="AY204">
        <v>1</v>
      </c>
      <c r="AZ204">
        <v>0</v>
      </c>
      <c r="BA204">
        <v>208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Y204*Source!I138</f>
        <v>4.5187499999999999E-2</v>
      </c>
      <c r="CY204">
        <f t="shared" si="34"/>
        <v>7.33</v>
      </c>
      <c r="CZ204">
        <f t="shared" si="35"/>
        <v>1.95</v>
      </c>
      <c r="DA204">
        <f t="shared" si="36"/>
        <v>3.76</v>
      </c>
      <c r="DB204">
        <f t="shared" si="32"/>
        <v>5.875</v>
      </c>
      <c r="DC204">
        <f t="shared" si="33"/>
        <v>0</v>
      </c>
    </row>
    <row r="205" spans="1:107">
      <c r="A205">
        <f>ROW(Source!A138)</f>
        <v>138</v>
      </c>
      <c r="B205">
        <v>34132744</v>
      </c>
      <c r="C205">
        <v>34232179</v>
      </c>
      <c r="D205">
        <v>29174913</v>
      </c>
      <c r="E205">
        <v>1</v>
      </c>
      <c r="F205">
        <v>1</v>
      </c>
      <c r="G205">
        <v>1</v>
      </c>
      <c r="H205">
        <v>2</v>
      </c>
      <c r="I205" t="s">
        <v>342</v>
      </c>
      <c r="J205" t="s">
        <v>343</v>
      </c>
      <c r="K205" t="s">
        <v>344</v>
      </c>
      <c r="L205">
        <v>1368</v>
      </c>
      <c r="N205">
        <v>1011</v>
      </c>
      <c r="O205" t="s">
        <v>331</v>
      </c>
      <c r="P205" t="s">
        <v>331</v>
      </c>
      <c r="Q205">
        <v>1</v>
      </c>
      <c r="W205">
        <v>0</v>
      </c>
      <c r="X205">
        <v>458544584</v>
      </c>
      <c r="Y205">
        <v>0.4</v>
      </c>
      <c r="AA205">
        <v>0</v>
      </c>
      <c r="AB205">
        <v>932.72</v>
      </c>
      <c r="AC205">
        <v>383.38</v>
      </c>
      <c r="AD205">
        <v>0</v>
      </c>
      <c r="AE205">
        <v>0</v>
      </c>
      <c r="AF205">
        <v>87.17</v>
      </c>
      <c r="AG205">
        <v>11.6</v>
      </c>
      <c r="AH205">
        <v>0</v>
      </c>
      <c r="AI205">
        <v>1</v>
      </c>
      <c r="AJ205">
        <v>10.7</v>
      </c>
      <c r="AK205">
        <v>33.049999999999997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3</v>
      </c>
      <c r="AT205">
        <v>0.32</v>
      </c>
      <c r="AU205" t="s">
        <v>100</v>
      </c>
      <c r="AV205">
        <v>0</v>
      </c>
      <c r="AW205">
        <v>2</v>
      </c>
      <c r="AX205">
        <v>36151121</v>
      </c>
      <c r="AY205">
        <v>1</v>
      </c>
      <c r="AZ205">
        <v>0</v>
      </c>
      <c r="BA205">
        <v>209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Y205*Source!I138</f>
        <v>6.0000000000000001E-3</v>
      </c>
      <c r="CY205">
        <f t="shared" si="34"/>
        <v>932.72</v>
      </c>
      <c r="CZ205">
        <f t="shared" si="35"/>
        <v>87.17</v>
      </c>
      <c r="DA205">
        <f t="shared" si="36"/>
        <v>10.7</v>
      </c>
      <c r="DB205">
        <f t="shared" si="32"/>
        <v>34.862499999999997</v>
      </c>
      <c r="DC205">
        <f t="shared" si="33"/>
        <v>4.6375000000000002</v>
      </c>
    </row>
    <row r="206" spans="1:107">
      <c r="A206">
        <f>ROW(Source!A138)</f>
        <v>138</v>
      </c>
      <c r="B206">
        <v>34132744</v>
      </c>
      <c r="C206">
        <v>34232179</v>
      </c>
      <c r="D206">
        <v>29107906</v>
      </c>
      <c r="E206">
        <v>1</v>
      </c>
      <c r="F206">
        <v>1</v>
      </c>
      <c r="G206">
        <v>1</v>
      </c>
      <c r="H206">
        <v>3</v>
      </c>
      <c r="I206" t="s">
        <v>380</v>
      </c>
      <c r="J206" t="s">
        <v>381</v>
      </c>
      <c r="K206" t="s">
        <v>382</v>
      </c>
      <c r="L206">
        <v>1348</v>
      </c>
      <c r="N206">
        <v>1009</v>
      </c>
      <c r="O206" t="s">
        <v>26</v>
      </c>
      <c r="P206" t="s">
        <v>26</v>
      </c>
      <c r="Q206">
        <v>1000</v>
      </c>
      <c r="W206">
        <v>0</v>
      </c>
      <c r="X206">
        <v>1503255097</v>
      </c>
      <c r="Y206">
        <v>1.4999999999999999E-4</v>
      </c>
      <c r="AA206">
        <v>191774</v>
      </c>
      <c r="AB206">
        <v>0</v>
      </c>
      <c r="AC206">
        <v>0</v>
      </c>
      <c r="AD206">
        <v>0</v>
      </c>
      <c r="AE206">
        <v>37900</v>
      </c>
      <c r="AF206">
        <v>0</v>
      </c>
      <c r="AG206">
        <v>0</v>
      </c>
      <c r="AH206">
        <v>0</v>
      </c>
      <c r="AI206">
        <v>5.0599999999999996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0</v>
      </c>
      <c r="AQ206">
        <v>0</v>
      </c>
      <c r="AR206">
        <v>0</v>
      </c>
      <c r="AS206" t="s">
        <v>3</v>
      </c>
      <c r="AT206">
        <v>1.4999999999999999E-4</v>
      </c>
      <c r="AU206" t="s">
        <v>3</v>
      </c>
      <c r="AV206">
        <v>0</v>
      </c>
      <c r="AW206">
        <v>2</v>
      </c>
      <c r="AX206">
        <v>36151122</v>
      </c>
      <c r="AY206">
        <v>1</v>
      </c>
      <c r="AZ206">
        <v>0</v>
      </c>
      <c r="BA206">
        <v>210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Y206*Source!I138</f>
        <v>2.2499999999999996E-6</v>
      </c>
      <c r="CY206">
        <f t="shared" ref="CY206:CY217" si="37">AA206</f>
        <v>191774</v>
      </c>
      <c r="CZ206">
        <f t="shared" ref="CZ206:CZ217" si="38">AE206</f>
        <v>37900</v>
      </c>
      <c r="DA206">
        <f t="shared" ref="DA206:DA217" si="39">AI206</f>
        <v>5.0599999999999996</v>
      </c>
      <c r="DB206">
        <f t="shared" ref="DB206:DB217" si="40">ROUND(ROUND(AT206*CZ206,2),6)</f>
        <v>5.69</v>
      </c>
      <c r="DC206">
        <f t="shared" ref="DC206:DC217" si="41">ROUND(ROUND(AT206*AG206,2),6)</f>
        <v>0</v>
      </c>
    </row>
    <row r="207" spans="1:107">
      <c r="A207">
        <f>ROW(Source!A138)</f>
        <v>138</v>
      </c>
      <c r="B207">
        <v>34132744</v>
      </c>
      <c r="C207">
        <v>34232179</v>
      </c>
      <c r="D207">
        <v>29107441</v>
      </c>
      <c r="E207">
        <v>1</v>
      </c>
      <c r="F207">
        <v>1</v>
      </c>
      <c r="G207">
        <v>1</v>
      </c>
      <c r="H207">
        <v>3</v>
      </c>
      <c r="I207" t="s">
        <v>383</v>
      </c>
      <c r="J207" t="s">
        <v>384</v>
      </c>
      <c r="K207" t="s">
        <v>385</v>
      </c>
      <c r="L207">
        <v>1339</v>
      </c>
      <c r="N207">
        <v>1007</v>
      </c>
      <c r="O207" t="s">
        <v>182</v>
      </c>
      <c r="P207" t="s">
        <v>182</v>
      </c>
      <c r="Q207">
        <v>1</v>
      </c>
      <c r="W207">
        <v>0</v>
      </c>
      <c r="X207">
        <v>1086220539</v>
      </c>
      <c r="Y207">
        <v>1.4</v>
      </c>
      <c r="AA207">
        <v>75.069999999999993</v>
      </c>
      <c r="AB207">
        <v>0</v>
      </c>
      <c r="AC207">
        <v>0</v>
      </c>
      <c r="AD207">
        <v>0</v>
      </c>
      <c r="AE207">
        <v>6.23</v>
      </c>
      <c r="AF207">
        <v>0</v>
      </c>
      <c r="AG207">
        <v>0</v>
      </c>
      <c r="AH207">
        <v>0</v>
      </c>
      <c r="AI207">
        <v>12.05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0</v>
      </c>
      <c r="AQ207">
        <v>0</v>
      </c>
      <c r="AR207">
        <v>0</v>
      </c>
      <c r="AS207" t="s">
        <v>3</v>
      </c>
      <c r="AT207">
        <v>1.4</v>
      </c>
      <c r="AU207" t="s">
        <v>3</v>
      </c>
      <c r="AV207">
        <v>0</v>
      </c>
      <c r="AW207">
        <v>2</v>
      </c>
      <c r="AX207">
        <v>36151123</v>
      </c>
      <c r="AY207">
        <v>1</v>
      </c>
      <c r="AZ207">
        <v>0</v>
      </c>
      <c r="BA207">
        <v>211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Y207*Source!I138</f>
        <v>2.0999999999999998E-2</v>
      </c>
      <c r="CY207">
        <f t="shared" si="37"/>
        <v>75.069999999999993</v>
      </c>
      <c r="CZ207">
        <f t="shared" si="38"/>
        <v>6.23</v>
      </c>
      <c r="DA207">
        <f t="shared" si="39"/>
        <v>12.05</v>
      </c>
      <c r="DB207">
        <f t="shared" si="40"/>
        <v>8.7200000000000006</v>
      </c>
      <c r="DC207">
        <f t="shared" si="41"/>
        <v>0</v>
      </c>
    </row>
    <row r="208" spans="1:107">
      <c r="A208">
        <f>ROW(Source!A138)</f>
        <v>138</v>
      </c>
      <c r="B208">
        <v>34132744</v>
      </c>
      <c r="C208">
        <v>34232179</v>
      </c>
      <c r="D208">
        <v>29113598</v>
      </c>
      <c r="E208">
        <v>1</v>
      </c>
      <c r="F208">
        <v>1</v>
      </c>
      <c r="G208">
        <v>1</v>
      </c>
      <c r="H208">
        <v>3</v>
      </c>
      <c r="I208" t="s">
        <v>386</v>
      </c>
      <c r="J208" t="s">
        <v>387</v>
      </c>
      <c r="K208" t="s">
        <v>388</v>
      </c>
      <c r="L208">
        <v>1348</v>
      </c>
      <c r="N208">
        <v>1009</v>
      </c>
      <c r="O208" t="s">
        <v>26</v>
      </c>
      <c r="P208" t="s">
        <v>26</v>
      </c>
      <c r="Q208">
        <v>1000</v>
      </c>
      <c r="W208">
        <v>0</v>
      </c>
      <c r="X208">
        <v>-18179437</v>
      </c>
      <c r="Y208">
        <v>4.0000000000000003E-5</v>
      </c>
      <c r="AA208">
        <v>57338.42</v>
      </c>
      <c r="AB208">
        <v>0</v>
      </c>
      <c r="AC208">
        <v>0</v>
      </c>
      <c r="AD208">
        <v>0</v>
      </c>
      <c r="AE208">
        <v>4455.2</v>
      </c>
      <c r="AF208">
        <v>0</v>
      </c>
      <c r="AG208">
        <v>0</v>
      </c>
      <c r="AH208">
        <v>0</v>
      </c>
      <c r="AI208">
        <v>12.87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</v>
      </c>
      <c r="AT208">
        <v>4.0000000000000003E-5</v>
      </c>
      <c r="AU208" t="s">
        <v>3</v>
      </c>
      <c r="AV208">
        <v>0</v>
      </c>
      <c r="AW208">
        <v>2</v>
      </c>
      <c r="AX208">
        <v>36151124</v>
      </c>
      <c r="AY208">
        <v>1</v>
      </c>
      <c r="AZ208">
        <v>0</v>
      </c>
      <c r="BA208">
        <v>212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Y208*Source!I138</f>
        <v>6.0000000000000008E-7</v>
      </c>
      <c r="CY208">
        <f t="shared" si="37"/>
        <v>57338.42</v>
      </c>
      <c r="CZ208">
        <f t="shared" si="38"/>
        <v>4455.2</v>
      </c>
      <c r="DA208">
        <f t="shared" si="39"/>
        <v>12.87</v>
      </c>
      <c r="DB208">
        <f t="shared" si="40"/>
        <v>0.18</v>
      </c>
      <c r="DC208">
        <f t="shared" si="41"/>
        <v>0</v>
      </c>
    </row>
    <row r="209" spans="1:107">
      <c r="A209">
        <f>ROW(Source!A138)</f>
        <v>138</v>
      </c>
      <c r="B209">
        <v>34132744</v>
      </c>
      <c r="C209">
        <v>34232179</v>
      </c>
      <c r="D209">
        <v>29113797</v>
      </c>
      <c r="E209">
        <v>1</v>
      </c>
      <c r="F209">
        <v>1</v>
      </c>
      <c r="G209">
        <v>1</v>
      </c>
      <c r="H209">
        <v>3</v>
      </c>
      <c r="I209" t="s">
        <v>389</v>
      </c>
      <c r="J209" t="s">
        <v>390</v>
      </c>
      <c r="K209" t="s">
        <v>391</v>
      </c>
      <c r="L209">
        <v>1348</v>
      </c>
      <c r="N209">
        <v>1009</v>
      </c>
      <c r="O209" t="s">
        <v>26</v>
      </c>
      <c r="P209" t="s">
        <v>26</v>
      </c>
      <c r="Q209">
        <v>1000</v>
      </c>
      <c r="W209">
        <v>0</v>
      </c>
      <c r="X209">
        <v>-1732621387</v>
      </c>
      <c r="Y209">
        <v>2.97E-3</v>
      </c>
      <c r="AA209">
        <v>98301.6</v>
      </c>
      <c r="AB209">
        <v>0</v>
      </c>
      <c r="AC209">
        <v>0</v>
      </c>
      <c r="AD209">
        <v>0</v>
      </c>
      <c r="AE209">
        <v>4920</v>
      </c>
      <c r="AF209">
        <v>0</v>
      </c>
      <c r="AG209">
        <v>0</v>
      </c>
      <c r="AH209">
        <v>0</v>
      </c>
      <c r="AI209">
        <v>19.98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0</v>
      </c>
      <c r="AQ209">
        <v>0</v>
      </c>
      <c r="AR209">
        <v>0</v>
      </c>
      <c r="AS209" t="s">
        <v>3</v>
      </c>
      <c r="AT209">
        <v>2.97E-3</v>
      </c>
      <c r="AU209" t="s">
        <v>3</v>
      </c>
      <c r="AV209">
        <v>0</v>
      </c>
      <c r="AW209">
        <v>2</v>
      </c>
      <c r="AX209">
        <v>36151125</v>
      </c>
      <c r="AY209">
        <v>1</v>
      </c>
      <c r="AZ209">
        <v>0</v>
      </c>
      <c r="BA209">
        <v>213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Y209*Source!I138</f>
        <v>4.4549999999999999E-5</v>
      </c>
      <c r="CY209">
        <f t="shared" si="37"/>
        <v>98301.6</v>
      </c>
      <c r="CZ209">
        <f t="shared" si="38"/>
        <v>4920</v>
      </c>
      <c r="DA209">
        <f t="shared" si="39"/>
        <v>19.98</v>
      </c>
      <c r="DB209">
        <f t="shared" si="40"/>
        <v>14.61</v>
      </c>
      <c r="DC209">
        <f t="shared" si="41"/>
        <v>0</v>
      </c>
    </row>
    <row r="210" spans="1:107">
      <c r="A210">
        <f>ROW(Source!A138)</f>
        <v>138</v>
      </c>
      <c r="B210">
        <v>34132744</v>
      </c>
      <c r="C210">
        <v>34232179</v>
      </c>
      <c r="D210">
        <v>29113979</v>
      </c>
      <c r="E210">
        <v>1</v>
      </c>
      <c r="F210">
        <v>1</v>
      </c>
      <c r="G210">
        <v>1</v>
      </c>
      <c r="H210">
        <v>3</v>
      </c>
      <c r="I210" t="s">
        <v>392</v>
      </c>
      <c r="J210" t="s">
        <v>393</v>
      </c>
      <c r="K210" t="s">
        <v>394</v>
      </c>
      <c r="L210">
        <v>1348</v>
      </c>
      <c r="N210">
        <v>1009</v>
      </c>
      <c r="O210" t="s">
        <v>26</v>
      </c>
      <c r="P210" t="s">
        <v>26</v>
      </c>
      <c r="Q210">
        <v>1000</v>
      </c>
      <c r="W210">
        <v>0</v>
      </c>
      <c r="X210">
        <v>1352318502</v>
      </c>
      <c r="Y210">
        <v>6.0999999999999997E-4</v>
      </c>
      <c r="AA210">
        <v>89992.41</v>
      </c>
      <c r="AB210">
        <v>0</v>
      </c>
      <c r="AC210">
        <v>0</v>
      </c>
      <c r="AD210">
        <v>0</v>
      </c>
      <c r="AE210">
        <v>9749.99</v>
      </c>
      <c r="AF210">
        <v>0</v>
      </c>
      <c r="AG210">
        <v>0</v>
      </c>
      <c r="AH210">
        <v>0</v>
      </c>
      <c r="AI210">
        <v>9.23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0</v>
      </c>
      <c r="AQ210">
        <v>0</v>
      </c>
      <c r="AR210">
        <v>0</v>
      </c>
      <c r="AS210" t="s">
        <v>3</v>
      </c>
      <c r="AT210">
        <v>6.0999999999999997E-4</v>
      </c>
      <c r="AU210" t="s">
        <v>3</v>
      </c>
      <c r="AV210">
        <v>0</v>
      </c>
      <c r="AW210">
        <v>2</v>
      </c>
      <c r="AX210">
        <v>36151126</v>
      </c>
      <c r="AY210">
        <v>1</v>
      </c>
      <c r="AZ210">
        <v>0</v>
      </c>
      <c r="BA210">
        <v>214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Y210*Source!I138</f>
        <v>9.1499999999999988E-6</v>
      </c>
      <c r="CY210">
        <f t="shared" si="37"/>
        <v>89992.41</v>
      </c>
      <c r="CZ210">
        <f t="shared" si="38"/>
        <v>9749.99</v>
      </c>
      <c r="DA210">
        <f t="shared" si="39"/>
        <v>9.23</v>
      </c>
      <c r="DB210">
        <f t="shared" si="40"/>
        <v>5.95</v>
      </c>
      <c r="DC210">
        <f t="shared" si="41"/>
        <v>0</v>
      </c>
    </row>
    <row r="211" spans="1:107">
      <c r="A211">
        <f>ROW(Source!A138)</f>
        <v>138</v>
      </c>
      <c r="B211">
        <v>34132744</v>
      </c>
      <c r="C211">
        <v>34232179</v>
      </c>
      <c r="D211">
        <v>29114247</v>
      </c>
      <c r="E211">
        <v>1</v>
      </c>
      <c r="F211">
        <v>1</v>
      </c>
      <c r="G211">
        <v>1</v>
      </c>
      <c r="H211">
        <v>3</v>
      </c>
      <c r="I211" t="s">
        <v>395</v>
      </c>
      <c r="J211" t="s">
        <v>396</v>
      </c>
      <c r="K211" t="s">
        <v>397</v>
      </c>
      <c r="L211">
        <v>1348</v>
      </c>
      <c r="N211">
        <v>1009</v>
      </c>
      <c r="O211" t="s">
        <v>26</v>
      </c>
      <c r="P211" t="s">
        <v>26</v>
      </c>
      <c r="Q211">
        <v>1000</v>
      </c>
      <c r="W211">
        <v>0</v>
      </c>
      <c r="X211">
        <v>-2116060276</v>
      </c>
      <c r="Y211">
        <v>2.2000000000000001E-3</v>
      </c>
      <c r="AA211">
        <v>83077.69</v>
      </c>
      <c r="AB211">
        <v>0</v>
      </c>
      <c r="AC211">
        <v>0</v>
      </c>
      <c r="AD211">
        <v>0</v>
      </c>
      <c r="AE211">
        <v>9040.01</v>
      </c>
      <c r="AF211">
        <v>0</v>
      </c>
      <c r="AG211">
        <v>0</v>
      </c>
      <c r="AH211">
        <v>0</v>
      </c>
      <c r="AI211">
        <v>9.19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2.2000000000000001E-3</v>
      </c>
      <c r="AU211" t="s">
        <v>3</v>
      </c>
      <c r="AV211">
        <v>0</v>
      </c>
      <c r="AW211">
        <v>2</v>
      </c>
      <c r="AX211">
        <v>36151127</v>
      </c>
      <c r="AY211">
        <v>1</v>
      </c>
      <c r="AZ211">
        <v>0</v>
      </c>
      <c r="BA211">
        <v>215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Y211*Source!I138</f>
        <v>3.3000000000000003E-5</v>
      </c>
      <c r="CY211">
        <f t="shared" si="37"/>
        <v>83077.69</v>
      </c>
      <c r="CZ211">
        <f t="shared" si="38"/>
        <v>9040.01</v>
      </c>
      <c r="DA211">
        <f t="shared" si="39"/>
        <v>9.19</v>
      </c>
      <c r="DB211">
        <f t="shared" si="40"/>
        <v>19.89</v>
      </c>
      <c r="DC211">
        <f t="shared" si="41"/>
        <v>0</v>
      </c>
    </row>
    <row r="212" spans="1:107">
      <c r="A212">
        <f>ROW(Source!A138)</f>
        <v>138</v>
      </c>
      <c r="B212">
        <v>34132744</v>
      </c>
      <c r="C212">
        <v>34232179</v>
      </c>
      <c r="D212">
        <v>29107444</v>
      </c>
      <c r="E212">
        <v>1</v>
      </c>
      <c r="F212">
        <v>1</v>
      </c>
      <c r="G212">
        <v>1</v>
      </c>
      <c r="H212">
        <v>3</v>
      </c>
      <c r="I212" t="s">
        <v>398</v>
      </c>
      <c r="J212" t="s">
        <v>399</v>
      </c>
      <c r="K212" t="s">
        <v>400</v>
      </c>
      <c r="L212">
        <v>1346</v>
      </c>
      <c r="N212">
        <v>1009</v>
      </c>
      <c r="O212" t="s">
        <v>401</v>
      </c>
      <c r="P212" t="s">
        <v>401</v>
      </c>
      <c r="Q212">
        <v>1</v>
      </c>
      <c r="W212">
        <v>0</v>
      </c>
      <c r="X212">
        <v>-1984574147</v>
      </c>
      <c r="Y212">
        <v>0.42</v>
      </c>
      <c r="AA212">
        <v>55.54</v>
      </c>
      <c r="AB212">
        <v>0</v>
      </c>
      <c r="AC212">
        <v>0</v>
      </c>
      <c r="AD212">
        <v>0</v>
      </c>
      <c r="AE212">
        <v>6.09</v>
      </c>
      <c r="AF212">
        <v>0</v>
      </c>
      <c r="AG212">
        <v>0</v>
      </c>
      <c r="AH212">
        <v>0</v>
      </c>
      <c r="AI212">
        <v>9.1199999999999992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0</v>
      </c>
      <c r="AQ212">
        <v>0</v>
      </c>
      <c r="AR212">
        <v>0</v>
      </c>
      <c r="AS212" t="s">
        <v>3</v>
      </c>
      <c r="AT212">
        <v>0.42</v>
      </c>
      <c r="AU212" t="s">
        <v>3</v>
      </c>
      <c r="AV212">
        <v>0</v>
      </c>
      <c r="AW212">
        <v>2</v>
      </c>
      <c r="AX212">
        <v>36151128</v>
      </c>
      <c r="AY212">
        <v>1</v>
      </c>
      <c r="AZ212">
        <v>0</v>
      </c>
      <c r="BA212">
        <v>216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Y212*Source!I138</f>
        <v>6.2999999999999992E-3</v>
      </c>
      <c r="CY212">
        <f t="shared" si="37"/>
        <v>55.54</v>
      </c>
      <c r="CZ212">
        <f t="shared" si="38"/>
        <v>6.09</v>
      </c>
      <c r="DA212">
        <f t="shared" si="39"/>
        <v>9.1199999999999992</v>
      </c>
      <c r="DB212">
        <f t="shared" si="40"/>
        <v>2.56</v>
      </c>
      <c r="DC212">
        <f t="shared" si="41"/>
        <v>0</v>
      </c>
    </row>
    <row r="213" spans="1:107">
      <c r="A213">
        <f>ROW(Source!A138)</f>
        <v>138</v>
      </c>
      <c r="B213">
        <v>34132744</v>
      </c>
      <c r="C213">
        <v>34232179</v>
      </c>
      <c r="D213">
        <v>29110606</v>
      </c>
      <c r="E213">
        <v>1</v>
      </c>
      <c r="F213">
        <v>1</v>
      </c>
      <c r="G213">
        <v>1</v>
      </c>
      <c r="H213">
        <v>3</v>
      </c>
      <c r="I213" t="s">
        <v>402</v>
      </c>
      <c r="J213" t="s">
        <v>403</v>
      </c>
      <c r="K213" t="s">
        <v>404</v>
      </c>
      <c r="L213">
        <v>1348</v>
      </c>
      <c r="N213">
        <v>1009</v>
      </c>
      <c r="O213" t="s">
        <v>26</v>
      </c>
      <c r="P213" t="s">
        <v>26</v>
      </c>
      <c r="Q213">
        <v>1000</v>
      </c>
      <c r="W213">
        <v>0</v>
      </c>
      <c r="X213">
        <v>-1672330871</v>
      </c>
      <c r="Y213">
        <v>9.0000000000000006E-5</v>
      </c>
      <c r="AA213">
        <v>85910.399999999994</v>
      </c>
      <c r="AB213">
        <v>0</v>
      </c>
      <c r="AC213">
        <v>0</v>
      </c>
      <c r="AD213">
        <v>0</v>
      </c>
      <c r="AE213">
        <v>9420</v>
      </c>
      <c r="AF213">
        <v>0</v>
      </c>
      <c r="AG213">
        <v>0</v>
      </c>
      <c r="AH213">
        <v>0</v>
      </c>
      <c r="AI213">
        <v>9.1199999999999992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0</v>
      </c>
      <c r="AQ213">
        <v>0</v>
      </c>
      <c r="AR213">
        <v>0</v>
      </c>
      <c r="AS213" t="s">
        <v>3</v>
      </c>
      <c r="AT213">
        <v>9.0000000000000006E-5</v>
      </c>
      <c r="AU213" t="s">
        <v>3</v>
      </c>
      <c r="AV213">
        <v>0</v>
      </c>
      <c r="AW213">
        <v>2</v>
      </c>
      <c r="AX213">
        <v>36151129</v>
      </c>
      <c r="AY213">
        <v>1</v>
      </c>
      <c r="AZ213">
        <v>0</v>
      </c>
      <c r="BA213">
        <v>217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Y213*Source!I138</f>
        <v>1.35E-6</v>
      </c>
      <c r="CY213">
        <f t="shared" si="37"/>
        <v>85910.399999999994</v>
      </c>
      <c r="CZ213">
        <f t="shared" si="38"/>
        <v>9420</v>
      </c>
      <c r="DA213">
        <f t="shared" si="39"/>
        <v>9.1199999999999992</v>
      </c>
      <c r="DB213">
        <f t="shared" si="40"/>
        <v>0.85</v>
      </c>
      <c r="DC213">
        <f t="shared" si="41"/>
        <v>0</v>
      </c>
    </row>
    <row r="214" spans="1:107">
      <c r="A214">
        <f>ROW(Source!A138)</f>
        <v>138</v>
      </c>
      <c r="B214">
        <v>34132744</v>
      </c>
      <c r="C214">
        <v>34232179</v>
      </c>
      <c r="D214">
        <v>29115467</v>
      </c>
      <c r="E214">
        <v>1</v>
      </c>
      <c r="F214">
        <v>1</v>
      </c>
      <c r="G214">
        <v>1</v>
      </c>
      <c r="H214">
        <v>3</v>
      </c>
      <c r="I214" t="s">
        <v>405</v>
      </c>
      <c r="J214" t="s">
        <v>406</v>
      </c>
      <c r="K214" t="s">
        <v>407</v>
      </c>
      <c r="L214">
        <v>1339</v>
      </c>
      <c r="N214">
        <v>1007</v>
      </c>
      <c r="O214" t="s">
        <v>182</v>
      </c>
      <c r="P214" t="s">
        <v>182</v>
      </c>
      <c r="Q214">
        <v>1</v>
      </c>
      <c r="W214">
        <v>0</v>
      </c>
      <c r="X214">
        <v>501780071</v>
      </c>
      <c r="Y214">
        <v>1.2999999999999999E-3</v>
      </c>
      <c r="AA214">
        <v>8397.9500000000007</v>
      </c>
      <c r="AB214">
        <v>0</v>
      </c>
      <c r="AC214">
        <v>0</v>
      </c>
      <c r="AD214">
        <v>0</v>
      </c>
      <c r="AE214">
        <v>1699.99</v>
      </c>
      <c r="AF214">
        <v>0</v>
      </c>
      <c r="AG214">
        <v>0</v>
      </c>
      <c r="AH214">
        <v>0</v>
      </c>
      <c r="AI214">
        <v>4.9400000000000004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0</v>
      </c>
      <c r="AQ214">
        <v>0</v>
      </c>
      <c r="AR214">
        <v>0</v>
      </c>
      <c r="AS214" t="s">
        <v>3</v>
      </c>
      <c r="AT214">
        <v>1.2999999999999999E-3</v>
      </c>
      <c r="AU214" t="s">
        <v>3</v>
      </c>
      <c r="AV214">
        <v>0</v>
      </c>
      <c r="AW214">
        <v>2</v>
      </c>
      <c r="AX214">
        <v>36151132</v>
      </c>
      <c r="AY214">
        <v>1</v>
      </c>
      <c r="AZ214">
        <v>0</v>
      </c>
      <c r="BA214">
        <v>220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Y214*Source!I138</f>
        <v>1.95E-5</v>
      </c>
      <c r="CY214">
        <f t="shared" si="37"/>
        <v>8397.9500000000007</v>
      </c>
      <c r="CZ214">
        <f t="shared" si="38"/>
        <v>1699.99</v>
      </c>
      <c r="DA214">
        <f t="shared" si="39"/>
        <v>4.9400000000000004</v>
      </c>
      <c r="DB214">
        <f t="shared" si="40"/>
        <v>2.21</v>
      </c>
      <c r="DC214">
        <f t="shared" si="41"/>
        <v>0</v>
      </c>
    </row>
    <row r="215" spans="1:107">
      <c r="A215">
        <f>ROW(Source!A138)</f>
        <v>138</v>
      </c>
      <c r="B215">
        <v>34132744</v>
      </c>
      <c r="C215">
        <v>34232179</v>
      </c>
      <c r="D215">
        <v>29122102</v>
      </c>
      <c r="E215">
        <v>1</v>
      </c>
      <c r="F215">
        <v>1</v>
      </c>
      <c r="G215">
        <v>1</v>
      </c>
      <c r="H215">
        <v>3</v>
      </c>
      <c r="I215" t="s">
        <v>408</v>
      </c>
      <c r="J215" t="s">
        <v>409</v>
      </c>
      <c r="K215" t="s">
        <v>410</v>
      </c>
      <c r="L215">
        <v>1348</v>
      </c>
      <c r="N215">
        <v>1009</v>
      </c>
      <c r="O215" t="s">
        <v>26</v>
      </c>
      <c r="P215" t="s">
        <v>26</v>
      </c>
      <c r="Q215">
        <v>1000</v>
      </c>
      <c r="W215">
        <v>0</v>
      </c>
      <c r="X215">
        <v>191355920</v>
      </c>
      <c r="Y215">
        <v>4.6999999999999999E-4</v>
      </c>
      <c r="AA215">
        <v>47641</v>
      </c>
      <c r="AB215">
        <v>0</v>
      </c>
      <c r="AC215">
        <v>0</v>
      </c>
      <c r="AD215">
        <v>0</v>
      </c>
      <c r="AE215">
        <v>15620</v>
      </c>
      <c r="AF215">
        <v>0</v>
      </c>
      <c r="AG215">
        <v>0</v>
      </c>
      <c r="AH215">
        <v>0</v>
      </c>
      <c r="AI215">
        <v>3.05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4.6999999999999999E-4</v>
      </c>
      <c r="AU215" t="s">
        <v>3</v>
      </c>
      <c r="AV215">
        <v>0</v>
      </c>
      <c r="AW215">
        <v>2</v>
      </c>
      <c r="AX215">
        <v>36151133</v>
      </c>
      <c r="AY215">
        <v>1</v>
      </c>
      <c r="AZ215">
        <v>0</v>
      </c>
      <c r="BA215">
        <v>221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Y215*Source!I138</f>
        <v>7.0499999999999994E-6</v>
      </c>
      <c r="CY215">
        <f t="shared" si="37"/>
        <v>47641</v>
      </c>
      <c r="CZ215">
        <f t="shared" si="38"/>
        <v>15620</v>
      </c>
      <c r="DA215">
        <f t="shared" si="39"/>
        <v>3.05</v>
      </c>
      <c r="DB215">
        <f t="shared" si="40"/>
        <v>7.34</v>
      </c>
      <c r="DC215">
        <f t="shared" si="41"/>
        <v>0</v>
      </c>
    </row>
    <row r="216" spans="1:107">
      <c r="A216">
        <f>ROW(Source!A138)</f>
        <v>138</v>
      </c>
      <c r="B216">
        <v>34132744</v>
      </c>
      <c r="C216">
        <v>34232179</v>
      </c>
      <c r="D216">
        <v>29129276</v>
      </c>
      <c r="E216">
        <v>1</v>
      </c>
      <c r="F216">
        <v>1</v>
      </c>
      <c r="G216">
        <v>1</v>
      </c>
      <c r="H216">
        <v>3</v>
      </c>
      <c r="I216" t="s">
        <v>411</v>
      </c>
      <c r="J216" t="s">
        <v>412</v>
      </c>
      <c r="K216" t="s">
        <v>413</v>
      </c>
      <c r="L216">
        <v>1348</v>
      </c>
      <c r="N216">
        <v>1009</v>
      </c>
      <c r="O216" t="s">
        <v>26</v>
      </c>
      <c r="P216" t="s">
        <v>26</v>
      </c>
      <c r="Q216">
        <v>1000</v>
      </c>
      <c r="W216">
        <v>0</v>
      </c>
      <c r="X216">
        <v>1896961303</v>
      </c>
      <c r="Y216">
        <v>1.0999999999999999E-2</v>
      </c>
      <c r="AA216">
        <v>73418.240000000005</v>
      </c>
      <c r="AB216">
        <v>0</v>
      </c>
      <c r="AC216">
        <v>0</v>
      </c>
      <c r="AD216">
        <v>0</v>
      </c>
      <c r="AE216">
        <v>7712</v>
      </c>
      <c r="AF216">
        <v>0</v>
      </c>
      <c r="AG216">
        <v>0</v>
      </c>
      <c r="AH216">
        <v>0</v>
      </c>
      <c r="AI216">
        <v>9.52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0</v>
      </c>
      <c r="AQ216">
        <v>0</v>
      </c>
      <c r="AR216">
        <v>0</v>
      </c>
      <c r="AS216" t="s">
        <v>3</v>
      </c>
      <c r="AT216">
        <v>1.0999999999999999E-2</v>
      </c>
      <c r="AU216" t="s">
        <v>3</v>
      </c>
      <c r="AV216">
        <v>0</v>
      </c>
      <c r="AW216">
        <v>2</v>
      </c>
      <c r="AX216">
        <v>36151134</v>
      </c>
      <c r="AY216">
        <v>1</v>
      </c>
      <c r="AZ216">
        <v>0</v>
      </c>
      <c r="BA216">
        <v>222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Y216*Source!I138</f>
        <v>1.6499999999999997E-4</v>
      </c>
      <c r="CY216">
        <f t="shared" si="37"/>
        <v>73418.240000000005</v>
      </c>
      <c r="CZ216">
        <f t="shared" si="38"/>
        <v>7712</v>
      </c>
      <c r="DA216">
        <f t="shared" si="39"/>
        <v>9.52</v>
      </c>
      <c r="DB216">
        <f t="shared" si="40"/>
        <v>84.83</v>
      </c>
      <c r="DC216">
        <f t="shared" si="41"/>
        <v>0</v>
      </c>
    </row>
    <row r="217" spans="1:107">
      <c r="A217">
        <f>ROW(Source!A138)</f>
        <v>138</v>
      </c>
      <c r="B217">
        <v>34132744</v>
      </c>
      <c r="C217">
        <v>34232179</v>
      </c>
      <c r="D217">
        <v>29162764</v>
      </c>
      <c r="E217">
        <v>1</v>
      </c>
      <c r="F217">
        <v>1</v>
      </c>
      <c r="G217">
        <v>1</v>
      </c>
      <c r="H217">
        <v>3</v>
      </c>
      <c r="I217" t="s">
        <v>414</v>
      </c>
      <c r="J217" t="s">
        <v>415</v>
      </c>
      <c r="K217" t="s">
        <v>416</v>
      </c>
      <c r="L217">
        <v>1302</v>
      </c>
      <c r="N217">
        <v>1003</v>
      </c>
      <c r="O217" t="s">
        <v>417</v>
      </c>
      <c r="P217" t="s">
        <v>417</v>
      </c>
      <c r="Q217">
        <v>10</v>
      </c>
      <c r="W217">
        <v>0</v>
      </c>
      <c r="X217">
        <v>-74884692</v>
      </c>
      <c r="Y217">
        <v>1.6E-2</v>
      </c>
      <c r="AA217">
        <v>386.05</v>
      </c>
      <c r="AB217">
        <v>0</v>
      </c>
      <c r="AC217">
        <v>0</v>
      </c>
      <c r="AD217">
        <v>0</v>
      </c>
      <c r="AE217">
        <v>71.489999999999995</v>
      </c>
      <c r="AF217">
        <v>0</v>
      </c>
      <c r="AG217">
        <v>0</v>
      </c>
      <c r="AH217">
        <v>0</v>
      </c>
      <c r="AI217">
        <v>5.4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</v>
      </c>
      <c r="AT217">
        <v>1.6E-2</v>
      </c>
      <c r="AU217" t="s">
        <v>3</v>
      </c>
      <c r="AV217">
        <v>0</v>
      </c>
      <c r="AW217">
        <v>2</v>
      </c>
      <c r="AX217">
        <v>36151135</v>
      </c>
      <c r="AY217">
        <v>1</v>
      </c>
      <c r="AZ217">
        <v>0</v>
      </c>
      <c r="BA217">
        <v>223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Y217*Source!I138</f>
        <v>2.4000000000000001E-4</v>
      </c>
      <c r="CY217">
        <f t="shared" si="37"/>
        <v>386.05</v>
      </c>
      <c r="CZ217">
        <f t="shared" si="38"/>
        <v>71.489999999999995</v>
      </c>
      <c r="DA217">
        <f t="shared" si="39"/>
        <v>5.4</v>
      </c>
      <c r="DB217">
        <f t="shared" si="40"/>
        <v>1.1399999999999999</v>
      </c>
      <c r="DC217">
        <f t="shared" si="4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223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34133049</v>
      </c>
      <c r="C1">
        <v>34133046</v>
      </c>
      <c r="D1">
        <v>18411771</v>
      </c>
      <c r="E1">
        <v>1</v>
      </c>
      <c r="F1">
        <v>1</v>
      </c>
      <c r="G1">
        <v>1</v>
      </c>
      <c r="H1">
        <v>1</v>
      </c>
      <c r="I1" t="s">
        <v>321</v>
      </c>
      <c r="J1" t="s">
        <v>3</v>
      </c>
      <c r="K1" t="s">
        <v>322</v>
      </c>
      <c r="L1">
        <v>1369</v>
      </c>
      <c r="N1">
        <v>1013</v>
      </c>
      <c r="O1" t="s">
        <v>323</v>
      </c>
      <c r="P1" t="s">
        <v>323</v>
      </c>
      <c r="Q1">
        <v>1</v>
      </c>
      <c r="X1">
        <v>36.28</v>
      </c>
      <c r="Y1">
        <v>0</v>
      </c>
      <c r="Z1">
        <v>0</v>
      </c>
      <c r="AA1">
        <v>0</v>
      </c>
      <c r="AB1">
        <v>237.8</v>
      </c>
      <c r="AC1">
        <v>0</v>
      </c>
      <c r="AD1">
        <v>1</v>
      </c>
      <c r="AE1">
        <v>1</v>
      </c>
      <c r="AF1" t="s">
        <v>3</v>
      </c>
      <c r="AG1">
        <v>36.28</v>
      </c>
      <c r="AH1">
        <v>2</v>
      </c>
      <c r="AI1">
        <v>34133047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34133050</v>
      </c>
      <c r="C2">
        <v>34133046</v>
      </c>
      <c r="D2">
        <v>29164349</v>
      </c>
      <c r="E2">
        <v>1</v>
      </c>
      <c r="F2">
        <v>1</v>
      </c>
      <c r="G2">
        <v>1</v>
      </c>
      <c r="H2">
        <v>3</v>
      </c>
      <c r="I2" t="s">
        <v>24</v>
      </c>
      <c r="J2" t="s">
        <v>27</v>
      </c>
      <c r="K2" t="s">
        <v>25</v>
      </c>
      <c r="L2">
        <v>1348</v>
      </c>
      <c r="N2">
        <v>1009</v>
      </c>
      <c r="O2" t="s">
        <v>26</v>
      </c>
      <c r="P2" t="s">
        <v>26</v>
      </c>
      <c r="Q2">
        <v>1000</v>
      </c>
      <c r="X2">
        <v>1.18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t="s">
        <v>3</v>
      </c>
      <c r="AG2">
        <v>1.18</v>
      </c>
      <c r="AH2">
        <v>2</v>
      </c>
      <c r="AI2">
        <v>34133048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34133013</v>
      </c>
      <c r="C3">
        <v>34133007</v>
      </c>
      <c r="D3">
        <v>18408066</v>
      </c>
      <c r="E3">
        <v>1</v>
      </c>
      <c r="F3">
        <v>1</v>
      </c>
      <c r="G3">
        <v>1</v>
      </c>
      <c r="H3">
        <v>1</v>
      </c>
      <c r="I3" t="s">
        <v>324</v>
      </c>
      <c r="J3" t="s">
        <v>3</v>
      </c>
      <c r="K3" t="s">
        <v>325</v>
      </c>
      <c r="L3">
        <v>1369</v>
      </c>
      <c r="N3">
        <v>1013</v>
      </c>
      <c r="O3" t="s">
        <v>323</v>
      </c>
      <c r="P3" t="s">
        <v>323</v>
      </c>
      <c r="Q3">
        <v>1</v>
      </c>
      <c r="X3">
        <v>179.3</v>
      </c>
      <c r="Y3">
        <v>0</v>
      </c>
      <c r="Z3">
        <v>0</v>
      </c>
      <c r="AA3">
        <v>0</v>
      </c>
      <c r="AB3">
        <v>240.2</v>
      </c>
      <c r="AC3">
        <v>0</v>
      </c>
      <c r="AD3">
        <v>1</v>
      </c>
      <c r="AE3">
        <v>1</v>
      </c>
      <c r="AF3" t="s">
        <v>3</v>
      </c>
      <c r="AG3">
        <v>179.3</v>
      </c>
      <c r="AH3">
        <v>2</v>
      </c>
      <c r="AI3">
        <v>34133008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ROW(Source!A30)</f>
        <v>30</v>
      </c>
      <c r="B4">
        <v>34133014</v>
      </c>
      <c r="C4">
        <v>34133007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28</v>
      </c>
      <c r="J4" t="s">
        <v>3</v>
      </c>
      <c r="K4" t="s">
        <v>326</v>
      </c>
      <c r="L4">
        <v>608254</v>
      </c>
      <c r="N4">
        <v>1013</v>
      </c>
      <c r="O4" t="s">
        <v>327</v>
      </c>
      <c r="P4" t="s">
        <v>327</v>
      </c>
      <c r="Q4">
        <v>1</v>
      </c>
      <c r="X4">
        <v>3.97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2</v>
      </c>
      <c r="AF4" t="s">
        <v>3</v>
      </c>
      <c r="AG4">
        <v>3.97</v>
      </c>
      <c r="AH4">
        <v>2</v>
      </c>
      <c r="AI4">
        <v>34133009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ROW(Source!A30)</f>
        <v>30</v>
      </c>
      <c r="B5">
        <v>34133015</v>
      </c>
      <c r="C5">
        <v>34133007</v>
      </c>
      <c r="D5">
        <v>29172710</v>
      </c>
      <c r="E5">
        <v>1</v>
      </c>
      <c r="F5">
        <v>1</v>
      </c>
      <c r="G5">
        <v>1</v>
      </c>
      <c r="H5">
        <v>2</v>
      </c>
      <c r="I5" t="s">
        <v>328</v>
      </c>
      <c r="J5" t="s">
        <v>329</v>
      </c>
      <c r="K5" t="s">
        <v>330</v>
      </c>
      <c r="L5">
        <v>1368</v>
      </c>
      <c r="N5">
        <v>1011</v>
      </c>
      <c r="O5" t="s">
        <v>331</v>
      </c>
      <c r="P5" t="s">
        <v>331</v>
      </c>
      <c r="Q5">
        <v>1</v>
      </c>
      <c r="X5">
        <v>3.97</v>
      </c>
      <c r="Y5">
        <v>0</v>
      </c>
      <c r="Z5">
        <v>46.56</v>
      </c>
      <c r="AA5">
        <v>10.06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3.97</v>
      </c>
      <c r="AH5">
        <v>2</v>
      </c>
      <c r="AI5">
        <v>34133010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ROW(Source!A30)</f>
        <v>30</v>
      </c>
      <c r="B6">
        <v>34133016</v>
      </c>
      <c r="C6">
        <v>34133007</v>
      </c>
      <c r="D6">
        <v>29174533</v>
      </c>
      <c r="E6">
        <v>1</v>
      </c>
      <c r="F6">
        <v>1</v>
      </c>
      <c r="G6">
        <v>1</v>
      </c>
      <c r="H6">
        <v>2</v>
      </c>
      <c r="I6" t="s">
        <v>332</v>
      </c>
      <c r="J6" t="s">
        <v>333</v>
      </c>
      <c r="K6" t="s">
        <v>334</v>
      </c>
      <c r="L6">
        <v>1368</v>
      </c>
      <c r="N6">
        <v>1011</v>
      </c>
      <c r="O6" t="s">
        <v>331</v>
      </c>
      <c r="P6" t="s">
        <v>331</v>
      </c>
      <c r="Q6">
        <v>1</v>
      </c>
      <c r="X6">
        <v>7.93</v>
      </c>
      <c r="Y6">
        <v>0</v>
      </c>
      <c r="Z6">
        <v>1.53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7.93</v>
      </c>
      <c r="AH6">
        <v>2</v>
      </c>
      <c r="AI6">
        <v>34133011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ROW(Source!A30)</f>
        <v>30</v>
      </c>
      <c r="B7">
        <v>34133017</v>
      </c>
      <c r="C7">
        <v>34133007</v>
      </c>
      <c r="D7">
        <v>29164349</v>
      </c>
      <c r="E7">
        <v>1</v>
      </c>
      <c r="F7">
        <v>1</v>
      </c>
      <c r="G7">
        <v>1</v>
      </c>
      <c r="H7">
        <v>3</v>
      </c>
      <c r="I7" t="s">
        <v>24</v>
      </c>
      <c r="J7" t="s">
        <v>27</v>
      </c>
      <c r="K7" t="s">
        <v>25</v>
      </c>
      <c r="L7">
        <v>1348</v>
      </c>
      <c r="N7">
        <v>1009</v>
      </c>
      <c r="O7" t="s">
        <v>26</v>
      </c>
      <c r="P7" t="s">
        <v>26</v>
      </c>
      <c r="Q7">
        <v>1000</v>
      </c>
      <c r="X7">
        <v>10.5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3</v>
      </c>
      <c r="AG7">
        <v>10.5</v>
      </c>
      <c r="AH7">
        <v>2</v>
      </c>
      <c r="AI7">
        <v>34133012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35833269</v>
      </c>
      <c r="C8">
        <v>35833268</v>
      </c>
      <c r="D8">
        <v>18407150</v>
      </c>
      <c r="E8">
        <v>1</v>
      </c>
      <c r="F8">
        <v>1</v>
      </c>
      <c r="G8">
        <v>1</v>
      </c>
      <c r="H8">
        <v>1</v>
      </c>
      <c r="I8" t="s">
        <v>335</v>
      </c>
      <c r="J8" t="s">
        <v>3</v>
      </c>
      <c r="K8" t="s">
        <v>336</v>
      </c>
      <c r="L8">
        <v>1369</v>
      </c>
      <c r="N8">
        <v>1013</v>
      </c>
      <c r="O8" t="s">
        <v>323</v>
      </c>
      <c r="P8" t="s">
        <v>323</v>
      </c>
      <c r="Q8">
        <v>1</v>
      </c>
      <c r="X8">
        <v>69.87</v>
      </c>
      <c r="Y8">
        <v>0</v>
      </c>
      <c r="Z8">
        <v>0</v>
      </c>
      <c r="AA8">
        <v>0</v>
      </c>
      <c r="AB8">
        <v>278.5</v>
      </c>
      <c r="AC8">
        <v>0</v>
      </c>
      <c r="AD8">
        <v>1</v>
      </c>
      <c r="AE8">
        <v>1</v>
      </c>
      <c r="AF8" t="s">
        <v>3</v>
      </c>
      <c r="AG8">
        <v>69.87</v>
      </c>
      <c r="AH8">
        <v>2</v>
      </c>
      <c r="AI8">
        <v>35833269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35833270</v>
      </c>
      <c r="C9">
        <v>35833268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28</v>
      </c>
      <c r="J9" t="s">
        <v>3</v>
      </c>
      <c r="K9" t="s">
        <v>326</v>
      </c>
      <c r="L9">
        <v>608254</v>
      </c>
      <c r="N9">
        <v>1013</v>
      </c>
      <c r="O9" t="s">
        <v>327</v>
      </c>
      <c r="P9" t="s">
        <v>327</v>
      </c>
      <c r="Q9">
        <v>1</v>
      </c>
      <c r="X9">
        <v>1.44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3</v>
      </c>
      <c r="AG9">
        <v>1.44</v>
      </c>
      <c r="AH9">
        <v>2</v>
      </c>
      <c r="AI9">
        <v>35833270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35833271</v>
      </c>
      <c r="C10">
        <v>35833268</v>
      </c>
      <c r="D10">
        <v>29172556</v>
      </c>
      <c r="E10">
        <v>1</v>
      </c>
      <c r="F10">
        <v>1</v>
      </c>
      <c r="G10">
        <v>1</v>
      </c>
      <c r="H10">
        <v>2</v>
      </c>
      <c r="I10" t="s">
        <v>337</v>
      </c>
      <c r="J10" t="s">
        <v>338</v>
      </c>
      <c r="K10" t="s">
        <v>339</v>
      </c>
      <c r="L10">
        <v>1368</v>
      </c>
      <c r="N10">
        <v>1011</v>
      </c>
      <c r="O10" t="s">
        <v>331</v>
      </c>
      <c r="P10" t="s">
        <v>331</v>
      </c>
      <c r="Q10">
        <v>1</v>
      </c>
      <c r="X10">
        <v>1.44</v>
      </c>
      <c r="Y10">
        <v>0</v>
      </c>
      <c r="Z10">
        <v>31.26</v>
      </c>
      <c r="AA10">
        <v>13.5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1.44</v>
      </c>
      <c r="AH10">
        <v>2</v>
      </c>
      <c r="AI10">
        <v>35833271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35833272</v>
      </c>
      <c r="C11">
        <v>35833268</v>
      </c>
      <c r="D11">
        <v>29164349</v>
      </c>
      <c r="E11">
        <v>1</v>
      </c>
      <c r="F11">
        <v>1</v>
      </c>
      <c r="G11">
        <v>1</v>
      </c>
      <c r="H11">
        <v>3</v>
      </c>
      <c r="I11" t="s">
        <v>24</v>
      </c>
      <c r="J11" t="s">
        <v>27</v>
      </c>
      <c r="K11" t="s">
        <v>25</v>
      </c>
      <c r="L11">
        <v>1348</v>
      </c>
      <c r="N11">
        <v>1009</v>
      </c>
      <c r="O11" t="s">
        <v>26</v>
      </c>
      <c r="P11" t="s">
        <v>26</v>
      </c>
      <c r="Q11">
        <v>1000</v>
      </c>
      <c r="X11">
        <v>5.2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3</v>
      </c>
      <c r="AG11">
        <v>5.2</v>
      </c>
      <c r="AH11">
        <v>2</v>
      </c>
      <c r="AI11">
        <v>35833272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ROW(Source!A69)</f>
        <v>69</v>
      </c>
      <c r="B12">
        <v>34133130</v>
      </c>
      <c r="C12">
        <v>34133129</v>
      </c>
      <c r="D12">
        <v>18409850</v>
      </c>
      <c r="E12">
        <v>1</v>
      </c>
      <c r="F12">
        <v>1</v>
      </c>
      <c r="G12">
        <v>1</v>
      </c>
      <c r="H12">
        <v>1</v>
      </c>
      <c r="I12" t="s">
        <v>340</v>
      </c>
      <c r="J12" t="s">
        <v>3</v>
      </c>
      <c r="K12" t="s">
        <v>341</v>
      </c>
      <c r="L12">
        <v>1369</v>
      </c>
      <c r="N12">
        <v>1013</v>
      </c>
      <c r="O12" t="s">
        <v>323</v>
      </c>
      <c r="P12" t="s">
        <v>323</v>
      </c>
      <c r="Q12">
        <v>1</v>
      </c>
      <c r="X12">
        <v>4.9000000000000004</v>
      </c>
      <c r="Y12">
        <v>0</v>
      </c>
      <c r="Z12">
        <v>0</v>
      </c>
      <c r="AA12">
        <v>0</v>
      </c>
      <c r="AB12">
        <v>271.64999999999998</v>
      </c>
      <c r="AC12">
        <v>0</v>
      </c>
      <c r="AD12">
        <v>1</v>
      </c>
      <c r="AE12">
        <v>1</v>
      </c>
      <c r="AF12" t="s">
        <v>101</v>
      </c>
      <c r="AG12">
        <v>5.6349999999999998</v>
      </c>
      <c r="AH12">
        <v>2</v>
      </c>
      <c r="AI12">
        <v>34133130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ROW(Source!A69)</f>
        <v>69</v>
      </c>
      <c r="B13">
        <v>34133131</v>
      </c>
      <c r="C13">
        <v>34133129</v>
      </c>
      <c r="D13">
        <v>29174913</v>
      </c>
      <c r="E13">
        <v>1</v>
      </c>
      <c r="F13">
        <v>1</v>
      </c>
      <c r="G13">
        <v>1</v>
      </c>
      <c r="H13">
        <v>2</v>
      </c>
      <c r="I13" t="s">
        <v>342</v>
      </c>
      <c r="J13" t="s">
        <v>343</v>
      </c>
      <c r="K13" t="s">
        <v>344</v>
      </c>
      <c r="L13">
        <v>1368</v>
      </c>
      <c r="N13">
        <v>1011</v>
      </c>
      <c r="O13" t="s">
        <v>331</v>
      </c>
      <c r="P13" t="s">
        <v>331</v>
      </c>
      <c r="Q13">
        <v>1</v>
      </c>
      <c r="X13">
        <v>0.02</v>
      </c>
      <c r="Y13">
        <v>0</v>
      </c>
      <c r="Z13">
        <v>87.17</v>
      </c>
      <c r="AA13">
        <v>11.6</v>
      </c>
      <c r="AB13">
        <v>0</v>
      </c>
      <c r="AC13">
        <v>0</v>
      </c>
      <c r="AD13">
        <v>1</v>
      </c>
      <c r="AE13">
        <v>0</v>
      </c>
      <c r="AF13" t="s">
        <v>100</v>
      </c>
      <c r="AG13">
        <v>2.5000000000000001E-2</v>
      </c>
      <c r="AH13">
        <v>2</v>
      </c>
      <c r="AI13">
        <v>34133131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ROW(Source!A69)</f>
        <v>69</v>
      </c>
      <c r="B14">
        <v>34133132</v>
      </c>
      <c r="C14">
        <v>34133129</v>
      </c>
      <c r="D14">
        <v>29114332</v>
      </c>
      <c r="E14">
        <v>1</v>
      </c>
      <c r="F14">
        <v>1</v>
      </c>
      <c r="G14">
        <v>1</v>
      </c>
      <c r="H14">
        <v>3</v>
      </c>
      <c r="I14" t="s">
        <v>345</v>
      </c>
      <c r="J14" t="s">
        <v>346</v>
      </c>
      <c r="K14" t="s">
        <v>347</v>
      </c>
      <c r="L14">
        <v>1348</v>
      </c>
      <c r="N14">
        <v>1009</v>
      </c>
      <c r="O14" t="s">
        <v>26</v>
      </c>
      <c r="P14" t="s">
        <v>26</v>
      </c>
      <c r="Q14">
        <v>1000</v>
      </c>
      <c r="X14">
        <v>1.2E-4</v>
      </c>
      <c r="Y14">
        <v>11978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1.2E-4</v>
      </c>
      <c r="AH14">
        <v>2</v>
      </c>
      <c r="AI14">
        <v>34133132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ROW(Source!A69)</f>
        <v>69</v>
      </c>
      <c r="B15">
        <v>34133133</v>
      </c>
      <c r="C15">
        <v>34133129</v>
      </c>
      <c r="D15">
        <v>29115469</v>
      </c>
      <c r="E15">
        <v>1</v>
      </c>
      <c r="F15">
        <v>1</v>
      </c>
      <c r="G15">
        <v>1</v>
      </c>
      <c r="H15">
        <v>3</v>
      </c>
      <c r="I15" t="s">
        <v>348</v>
      </c>
      <c r="J15" t="s">
        <v>349</v>
      </c>
      <c r="K15" t="s">
        <v>350</v>
      </c>
      <c r="L15">
        <v>1339</v>
      </c>
      <c r="N15">
        <v>1007</v>
      </c>
      <c r="O15" t="s">
        <v>182</v>
      </c>
      <c r="P15" t="s">
        <v>182</v>
      </c>
      <c r="Q15">
        <v>1</v>
      </c>
      <c r="X15">
        <v>0.02</v>
      </c>
      <c r="Y15">
        <v>1287.01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0.02</v>
      </c>
      <c r="AH15">
        <v>2</v>
      </c>
      <c r="AI15">
        <v>34133133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ROW(Source!A69)</f>
        <v>69</v>
      </c>
      <c r="B16">
        <v>34133134</v>
      </c>
      <c r="C16">
        <v>34133129</v>
      </c>
      <c r="D16">
        <v>29115638</v>
      </c>
      <c r="E16">
        <v>1</v>
      </c>
      <c r="F16">
        <v>1</v>
      </c>
      <c r="G16">
        <v>1</v>
      </c>
      <c r="H16">
        <v>3</v>
      </c>
      <c r="I16" t="s">
        <v>351</v>
      </c>
      <c r="J16" t="s">
        <v>352</v>
      </c>
      <c r="K16" t="s">
        <v>353</v>
      </c>
      <c r="L16">
        <v>1339</v>
      </c>
      <c r="N16">
        <v>1007</v>
      </c>
      <c r="O16" t="s">
        <v>182</v>
      </c>
      <c r="P16" t="s">
        <v>182</v>
      </c>
      <c r="Q16">
        <v>1</v>
      </c>
      <c r="X16">
        <v>0.03</v>
      </c>
      <c r="Y16">
        <v>1242.21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0.03</v>
      </c>
      <c r="AH16">
        <v>2</v>
      </c>
      <c r="AI16">
        <v>34133134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ROW(Source!A70)</f>
        <v>70</v>
      </c>
      <c r="B17">
        <v>34232149</v>
      </c>
      <c r="C17">
        <v>34232123</v>
      </c>
      <c r="D17">
        <v>18410572</v>
      </c>
      <c r="E17">
        <v>1</v>
      </c>
      <c r="F17">
        <v>1</v>
      </c>
      <c r="G17">
        <v>1</v>
      </c>
      <c r="H17">
        <v>1</v>
      </c>
      <c r="I17" t="s">
        <v>354</v>
      </c>
      <c r="J17" t="s">
        <v>3</v>
      </c>
      <c r="K17" t="s">
        <v>355</v>
      </c>
      <c r="L17">
        <v>1369</v>
      </c>
      <c r="N17">
        <v>1013</v>
      </c>
      <c r="O17" t="s">
        <v>323</v>
      </c>
      <c r="P17" t="s">
        <v>323</v>
      </c>
      <c r="Q17">
        <v>1</v>
      </c>
      <c r="X17">
        <v>35.5</v>
      </c>
      <c r="Y17">
        <v>0</v>
      </c>
      <c r="Z17">
        <v>0</v>
      </c>
      <c r="AA17">
        <v>0</v>
      </c>
      <c r="AB17">
        <v>261.76</v>
      </c>
      <c r="AC17">
        <v>0</v>
      </c>
      <c r="AD17">
        <v>1</v>
      </c>
      <c r="AE17">
        <v>1</v>
      </c>
      <c r="AF17" t="s">
        <v>112</v>
      </c>
      <c r="AG17">
        <v>44.375</v>
      </c>
      <c r="AH17">
        <v>2</v>
      </c>
      <c r="AI17">
        <v>34232124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ROW(Source!A70)</f>
        <v>70</v>
      </c>
      <c r="B18">
        <v>34232150</v>
      </c>
      <c r="C18">
        <v>34232123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28</v>
      </c>
      <c r="J18" t="s">
        <v>3</v>
      </c>
      <c r="K18" t="s">
        <v>326</v>
      </c>
      <c r="L18">
        <v>608254</v>
      </c>
      <c r="N18">
        <v>1013</v>
      </c>
      <c r="O18" t="s">
        <v>327</v>
      </c>
      <c r="P18" t="s">
        <v>327</v>
      </c>
      <c r="Q18">
        <v>1</v>
      </c>
      <c r="X18">
        <v>2.61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3</v>
      </c>
      <c r="AG18">
        <v>2.61</v>
      </c>
      <c r="AH18">
        <v>2</v>
      </c>
      <c r="AI18">
        <v>34232125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ROW(Source!A70)</f>
        <v>70</v>
      </c>
      <c r="B19">
        <v>34232151</v>
      </c>
      <c r="C19">
        <v>34232123</v>
      </c>
      <c r="D19">
        <v>29172285</v>
      </c>
      <c r="E19">
        <v>1</v>
      </c>
      <c r="F19">
        <v>1</v>
      </c>
      <c r="G19">
        <v>1</v>
      </c>
      <c r="H19">
        <v>2</v>
      </c>
      <c r="I19" t="s">
        <v>356</v>
      </c>
      <c r="J19" t="s">
        <v>357</v>
      </c>
      <c r="K19" t="s">
        <v>358</v>
      </c>
      <c r="L19">
        <v>1368</v>
      </c>
      <c r="N19">
        <v>1011</v>
      </c>
      <c r="O19" t="s">
        <v>331</v>
      </c>
      <c r="P19" t="s">
        <v>331</v>
      </c>
      <c r="Q19">
        <v>1</v>
      </c>
      <c r="X19">
        <v>0.04</v>
      </c>
      <c r="Y19">
        <v>0</v>
      </c>
      <c r="Z19">
        <v>120.52</v>
      </c>
      <c r="AA19">
        <v>15.42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0.04</v>
      </c>
      <c r="AH19">
        <v>2</v>
      </c>
      <c r="AI19">
        <v>34232126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ROW(Source!A70)</f>
        <v>70</v>
      </c>
      <c r="B20">
        <v>34232152</v>
      </c>
      <c r="C20">
        <v>34232123</v>
      </c>
      <c r="D20">
        <v>29172379</v>
      </c>
      <c r="E20">
        <v>1</v>
      </c>
      <c r="F20">
        <v>1</v>
      </c>
      <c r="G20">
        <v>1</v>
      </c>
      <c r="H20">
        <v>2</v>
      </c>
      <c r="I20" t="s">
        <v>359</v>
      </c>
      <c r="J20" t="s">
        <v>360</v>
      </c>
      <c r="K20" t="s">
        <v>361</v>
      </c>
      <c r="L20">
        <v>1368</v>
      </c>
      <c r="N20">
        <v>1011</v>
      </c>
      <c r="O20" t="s">
        <v>331</v>
      </c>
      <c r="P20" t="s">
        <v>331</v>
      </c>
      <c r="Q20">
        <v>1</v>
      </c>
      <c r="X20">
        <v>0.21</v>
      </c>
      <c r="Y20">
        <v>0</v>
      </c>
      <c r="Z20">
        <v>112</v>
      </c>
      <c r="AA20">
        <v>13.5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0.21</v>
      </c>
      <c r="AH20">
        <v>2</v>
      </c>
      <c r="AI20">
        <v>34232127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ROW(Source!A70)</f>
        <v>70</v>
      </c>
      <c r="B21">
        <v>34232153</v>
      </c>
      <c r="C21">
        <v>34232123</v>
      </c>
      <c r="D21">
        <v>29172409</v>
      </c>
      <c r="E21">
        <v>1</v>
      </c>
      <c r="F21">
        <v>1</v>
      </c>
      <c r="G21">
        <v>1</v>
      </c>
      <c r="H21">
        <v>2</v>
      </c>
      <c r="I21" t="s">
        <v>362</v>
      </c>
      <c r="J21" t="s">
        <v>363</v>
      </c>
      <c r="K21" t="s">
        <v>364</v>
      </c>
      <c r="L21">
        <v>1368</v>
      </c>
      <c r="N21">
        <v>1011</v>
      </c>
      <c r="O21" t="s">
        <v>331</v>
      </c>
      <c r="P21" t="s">
        <v>331</v>
      </c>
      <c r="Q21">
        <v>1</v>
      </c>
      <c r="X21">
        <v>2.36</v>
      </c>
      <c r="Y21">
        <v>0</v>
      </c>
      <c r="Z21">
        <v>175.55</v>
      </c>
      <c r="AA21">
        <v>14.4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2.36</v>
      </c>
      <c r="AH21">
        <v>2</v>
      </c>
      <c r="AI21">
        <v>34232128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ROW(Source!A70)</f>
        <v>70</v>
      </c>
      <c r="B22">
        <v>34232154</v>
      </c>
      <c r="C22">
        <v>34232123</v>
      </c>
      <c r="D22">
        <v>29172498</v>
      </c>
      <c r="E22">
        <v>1</v>
      </c>
      <c r="F22">
        <v>1</v>
      </c>
      <c r="G22">
        <v>1</v>
      </c>
      <c r="H22">
        <v>2</v>
      </c>
      <c r="I22" t="s">
        <v>365</v>
      </c>
      <c r="J22" t="s">
        <v>366</v>
      </c>
      <c r="K22" t="s">
        <v>367</v>
      </c>
      <c r="L22">
        <v>1368</v>
      </c>
      <c r="N22">
        <v>1011</v>
      </c>
      <c r="O22" t="s">
        <v>331</v>
      </c>
      <c r="P22" t="s">
        <v>331</v>
      </c>
      <c r="Q22">
        <v>1</v>
      </c>
      <c r="X22">
        <v>0.99</v>
      </c>
      <c r="Y22">
        <v>0</v>
      </c>
      <c r="Z22">
        <v>2.37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0.99</v>
      </c>
      <c r="AH22">
        <v>2</v>
      </c>
      <c r="AI22">
        <v>34232129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ROW(Source!A70)</f>
        <v>70</v>
      </c>
      <c r="B23">
        <v>34232155</v>
      </c>
      <c r="C23">
        <v>34232123</v>
      </c>
      <c r="D23">
        <v>29172659</v>
      </c>
      <c r="E23">
        <v>1</v>
      </c>
      <c r="F23">
        <v>1</v>
      </c>
      <c r="G23">
        <v>1</v>
      </c>
      <c r="H23">
        <v>2</v>
      </c>
      <c r="I23" t="s">
        <v>368</v>
      </c>
      <c r="J23" t="s">
        <v>369</v>
      </c>
      <c r="K23" t="s">
        <v>370</v>
      </c>
      <c r="L23">
        <v>1368</v>
      </c>
      <c r="N23">
        <v>1011</v>
      </c>
      <c r="O23" t="s">
        <v>331</v>
      </c>
      <c r="P23" t="s">
        <v>331</v>
      </c>
      <c r="Q23">
        <v>1</v>
      </c>
      <c r="X23">
        <v>1.68</v>
      </c>
      <c r="Y23">
        <v>0</v>
      </c>
      <c r="Z23">
        <v>1.2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1.68</v>
      </c>
      <c r="AH23">
        <v>2</v>
      </c>
      <c r="AI23">
        <v>34232130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ROW(Source!A70)</f>
        <v>70</v>
      </c>
      <c r="B24">
        <v>34232156</v>
      </c>
      <c r="C24">
        <v>34232123</v>
      </c>
      <c r="D24">
        <v>29172669</v>
      </c>
      <c r="E24">
        <v>1</v>
      </c>
      <c r="F24">
        <v>1</v>
      </c>
      <c r="G24">
        <v>1</v>
      </c>
      <c r="H24">
        <v>2</v>
      </c>
      <c r="I24" t="s">
        <v>371</v>
      </c>
      <c r="J24" t="s">
        <v>372</v>
      </c>
      <c r="K24" t="s">
        <v>373</v>
      </c>
      <c r="L24">
        <v>1368</v>
      </c>
      <c r="N24">
        <v>1011</v>
      </c>
      <c r="O24" t="s">
        <v>331</v>
      </c>
      <c r="P24" t="s">
        <v>331</v>
      </c>
      <c r="Q24">
        <v>1</v>
      </c>
      <c r="X24">
        <v>0.18</v>
      </c>
      <c r="Y24">
        <v>0</v>
      </c>
      <c r="Z24">
        <v>12.31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0.18</v>
      </c>
      <c r="AH24">
        <v>2</v>
      </c>
      <c r="AI24">
        <v>34232131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ROW(Source!A70)</f>
        <v>70</v>
      </c>
      <c r="B25">
        <v>34232157</v>
      </c>
      <c r="C25">
        <v>34232123</v>
      </c>
      <c r="D25">
        <v>29172679</v>
      </c>
      <c r="E25">
        <v>1</v>
      </c>
      <c r="F25">
        <v>1</v>
      </c>
      <c r="G25">
        <v>1</v>
      </c>
      <c r="H25">
        <v>2</v>
      </c>
      <c r="I25" t="s">
        <v>374</v>
      </c>
      <c r="J25" t="s">
        <v>375</v>
      </c>
      <c r="K25" t="s">
        <v>376</v>
      </c>
      <c r="L25">
        <v>1368</v>
      </c>
      <c r="N25">
        <v>1011</v>
      </c>
      <c r="O25" t="s">
        <v>331</v>
      </c>
      <c r="P25" t="s">
        <v>331</v>
      </c>
      <c r="Q25">
        <v>1</v>
      </c>
      <c r="X25">
        <v>0.02</v>
      </c>
      <c r="Y25">
        <v>0</v>
      </c>
      <c r="Z25">
        <v>6.7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0.02</v>
      </c>
      <c r="AH25">
        <v>2</v>
      </c>
      <c r="AI25">
        <v>34232132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ROW(Source!A70)</f>
        <v>70</v>
      </c>
      <c r="B26">
        <v>34232158</v>
      </c>
      <c r="C26">
        <v>34232123</v>
      </c>
      <c r="D26">
        <v>29174500</v>
      </c>
      <c r="E26">
        <v>1</v>
      </c>
      <c r="F26">
        <v>1</v>
      </c>
      <c r="G26">
        <v>1</v>
      </c>
      <c r="H26">
        <v>2</v>
      </c>
      <c r="I26" t="s">
        <v>377</v>
      </c>
      <c r="J26" t="s">
        <v>378</v>
      </c>
      <c r="K26" t="s">
        <v>379</v>
      </c>
      <c r="L26">
        <v>1368</v>
      </c>
      <c r="N26">
        <v>1011</v>
      </c>
      <c r="O26" t="s">
        <v>331</v>
      </c>
      <c r="P26" t="s">
        <v>331</v>
      </c>
      <c r="Q26">
        <v>1</v>
      </c>
      <c r="X26">
        <v>2.41</v>
      </c>
      <c r="Y26">
        <v>0</v>
      </c>
      <c r="Z26">
        <v>1.95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2.41</v>
      </c>
      <c r="AH26">
        <v>2</v>
      </c>
      <c r="AI26">
        <v>34232133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ROW(Source!A70)</f>
        <v>70</v>
      </c>
      <c r="B27">
        <v>34232159</v>
      </c>
      <c r="C27">
        <v>34232123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342</v>
      </c>
      <c r="J27" t="s">
        <v>343</v>
      </c>
      <c r="K27" t="s">
        <v>344</v>
      </c>
      <c r="L27">
        <v>1368</v>
      </c>
      <c r="N27">
        <v>1011</v>
      </c>
      <c r="O27" t="s">
        <v>331</v>
      </c>
      <c r="P27" t="s">
        <v>331</v>
      </c>
      <c r="Q27">
        <v>1</v>
      </c>
      <c r="X27">
        <v>0.32</v>
      </c>
      <c r="Y27">
        <v>0</v>
      </c>
      <c r="Z27">
        <v>87.17</v>
      </c>
      <c r="AA27">
        <v>11.6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0.32</v>
      </c>
      <c r="AH27">
        <v>2</v>
      </c>
      <c r="AI27">
        <v>34232134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ROW(Source!A70)</f>
        <v>70</v>
      </c>
      <c r="B28">
        <v>34232160</v>
      </c>
      <c r="C28">
        <v>34232123</v>
      </c>
      <c r="D28">
        <v>29107906</v>
      </c>
      <c r="E28">
        <v>1</v>
      </c>
      <c r="F28">
        <v>1</v>
      </c>
      <c r="G28">
        <v>1</v>
      </c>
      <c r="H28">
        <v>3</v>
      </c>
      <c r="I28" t="s">
        <v>380</v>
      </c>
      <c r="J28" t="s">
        <v>381</v>
      </c>
      <c r="K28" t="s">
        <v>382</v>
      </c>
      <c r="L28">
        <v>1348</v>
      </c>
      <c r="N28">
        <v>1009</v>
      </c>
      <c r="O28" t="s">
        <v>26</v>
      </c>
      <c r="P28" t="s">
        <v>26</v>
      </c>
      <c r="Q28">
        <v>1000</v>
      </c>
      <c r="X28">
        <v>1.4999999999999999E-4</v>
      </c>
      <c r="Y28">
        <v>37900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1.4999999999999999E-4</v>
      </c>
      <c r="AH28">
        <v>2</v>
      </c>
      <c r="AI28">
        <v>34232135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ROW(Source!A70)</f>
        <v>70</v>
      </c>
      <c r="B29">
        <v>34232161</v>
      </c>
      <c r="C29">
        <v>34232123</v>
      </c>
      <c r="D29">
        <v>29107441</v>
      </c>
      <c r="E29">
        <v>1</v>
      </c>
      <c r="F29">
        <v>1</v>
      </c>
      <c r="G29">
        <v>1</v>
      </c>
      <c r="H29">
        <v>3</v>
      </c>
      <c r="I29" t="s">
        <v>383</v>
      </c>
      <c r="J29" t="s">
        <v>384</v>
      </c>
      <c r="K29" t="s">
        <v>385</v>
      </c>
      <c r="L29">
        <v>1339</v>
      </c>
      <c r="N29">
        <v>1007</v>
      </c>
      <c r="O29" t="s">
        <v>182</v>
      </c>
      <c r="P29" t="s">
        <v>182</v>
      </c>
      <c r="Q29">
        <v>1</v>
      </c>
      <c r="X29">
        <v>1.4</v>
      </c>
      <c r="Y29">
        <v>6.23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1.4</v>
      </c>
      <c r="AH29">
        <v>2</v>
      </c>
      <c r="AI29">
        <v>34232136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ROW(Source!A70)</f>
        <v>70</v>
      </c>
      <c r="B30">
        <v>34232162</v>
      </c>
      <c r="C30">
        <v>34232123</v>
      </c>
      <c r="D30">
        <v>29113598</v>
      </c>
      <c r="E30">
        <v>1</v>
      </c>
      <c r="F30">
        <v>1</v>
      </c>
      <c r="G30">
        <v>1</v>
      </c>
      <c r="H30">
        <v>3</v>
      </c>
      <c r="I30" t="s">
        <v>386</v>
      </c>
      <c r="J30" t="s">
        <v>387</v>
      </c>
      <c r="K30" t="s">
        <v>388</v>
      </c>
      <c r="L30">
        <v>1348</v>
      </c>
      <c r="N30">
        <v>1009</v>
      </c>
      <c r="O30" t="s">
        <v>26</v>
      </c>
      <c r="P30" t="s">
        <v>26</v>
      </c>
      <c r="Q30">
        <v>1000</v>
      </c>
      <c r="X30">
        <v>4.0000000000000003E-5</v>
      </c>
      <c r="Y30">
        <v>4455.2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4.0000000000000003E-5</v>
      </c>
      <c r="AH30">
        <v>2</v>
      </c>
      <c r="AI30">
        <v>34232137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ROW(Source!A70)</f>
        <v>70</v>
      </c>
      <c r="B31">
        <v>34232163</v>
      </c>
      <c r="C31">
        <v>34232123</v>
      </c>
      <c r="D31">
        <v>29113797</v>
      </c>
      <c r="E31">
        <v>1</v>
      </c>
      <c r="F31">
        <v>1</v>
      </c>
      <c r="G31">
        <v>1</v>
      </c>
      <c r="H31">
        <v>3</v>
      </c>
      <c r="I31" t="s">
        <v>389</v>
      </c>
      <c r="J31" t="s">
        <v>390</v>
      </c>
      <c r="K31" t="s">
        <v>391</v>
      </c>
      <c r="L31">
        <v>1348</v>
      </c>
      <c r="N31">
        <v>1009</v>
      </c>
      <c r="O31" t="s">
        <v>26</v>
      </c>
      <c r="P31" t="s">
        <v>26</v>
      </c>
      <c r="Q31">
        <v>1000</v>
      </c>
      <c r="X31">
        <v>2.97E-3</v>
      </c>
      <c r="Y31">
        <v>4920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2.97E-3</v>
      </c>
      <c r="AH31">
        <v>2</v>
      </c>
      <c r="AI31">
        <v>34232138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ROW(Source!A70)</f>
        <v>70</v>
      </c>
      <c r="B32">
        <v>34232164</v>
      </c>
      <c r="C32">
        <v>34232123</v>
      </c>
      <c r="D32">
        <v>29113979</v>
      </c>
      <c r="E32">
        <v>1</v>
      </c>
      <c r="F32">
        <v>1</v>
      </c>
      <c r="G32">
        <v>1</v>
      </c>
      <c r="H32">
        <v>3</v>
      </c>
      <c r="I32" t="s">
        <v>392</v>
      </c>
      <c r="J32" t="s">
        <v>393</v>
      </c>
      <c r="K32" t="s">
        <v>394</v>
      </c>
      <c r="L32">
        <v>1348</v>
      </c>
      <c r="N32">
        <v>1009</v>
      </c>
      <c r="O32" t="s">
        <v>26</v>
      </c>
      <c r="P32" t="s">
        <v>26</v>
      </c>
      <c r="Q32">
        <v>1000</v>
      </c>
      <c r="X32">
        <v>6.0999999999999997E-4</v>
      </c>
      <c r="Y32">
        <v>9749.99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6.0999999999999997E-4</v>
      </c>
      <c r="AH32">
        <v>2</v>
      </c>
      <c r="AI32">
        <v>34232139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ROW(Source!A70)</f>
        <v>70</v>
      </c>
      <c r="B33">
        <v>34232165</v>
      </c>
      <c r="C33">
        <v>34232123</v>
      </c>
      <c r="D33">
        <v>29114247</v>
      </c>
      <c r="E33">
        <v>1</v>
      </c>
      <c r="F33">
        <v>1</v>
      </c>
      <c r="G33">
        <v>1</v>
      </c>
      <c r="H33">
        <v>3</v>
      </c>
      <c r="I33" t="s">
        <v>395</v>
      </c>
      <c r="J33" t="s">
        <v>396</v>
      </c>
      <c r="K33" t="s">
        <v>397</v>
      </c>
      <c r="L33">
        <v>1348</v>
      </c>
      <c r="N33">
        <v>1009</v>
      </c>
      <c r="O33" t="s">
        <v>26</v>
      </c>
      <c r="P33" t="s">
        <v>26</v>
      </c>
      <c r="Q33">
        <v>1000</v>
      </c>
      <c r="X33">
        <v>2.2000000000000001E-3</v>
      </c>
      <c r="Y33">
        <v>9040.01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2.2000000000000001E-3</v>
      </c>
      <c r="AH33">
        <v>2</v>
      </c>
      <c r="AI33">
        <v>34232140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ROW(Source!A70)</f>
        <v>70</v>
      </c>
      <c r="B34">
        <v>34232166</v>
      </c>
      <c r="C34">
        <v>34232123</v>
      </c>
      <c r="D34">
        <v>29107444</v>
      </c>
      <c r="E34">
        <v>1</v>
      </c>
      <c r="F34">
        <v>1</v>
      </c>
      <c r="G34">
        <v>1</v>
      </c>
      <c r="H34">
        <v>3</v>
      </c>
      <c r="I34" t="s">
        <v>398</v>
      </c>
      <c r="J34" t="s">
        <v>399</v>
      </c>
      <c r="K34" t="s">
        <v>400</v>
      </c>
      <c r="L34">
        <v>1346</v>
      </c>
      <c r="N34">
        <v>1009</v>
      </c>
      <c r="O34" t="s">
        <v>401</v>
      </c>
      <c r="P34" t="s">
        <v>401</v>
      </c>
      <c r="Q34">
        <v>1</v>
      </c>
      <c r="X34">
        <v>0.42</v>
      </c>
      <c r="Y34">
        <v>6.09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0.42</v>
      </c>
      <c r="AH34">
        <v>2</v>
      </c>
      <c r="AI34">
        <v>34232141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ROW(Source!A70)</f>
        <v>70</v>
      </c>
      <c r="B35">
        <v>34232167</v>
      </c>
      <c r="C35">
        <v>34232123</v>
      </c>
      <c r="D35">
        <v>29110606</v>
      </c>
      <c r="E35">
        <v>1</v>
      </c>
      <c r="F35">
        <v>1</v>
      </c>
      <c r="G35">
        <v>1</v>
      </c>
      <c r="H35">
        <v>3</v>
      </c>
      <c r="I35" t="s">
        <v>402</v>
      </c>
      <c r="J35" t="s">
        <v>403</v>
      </c>
      <c r="K35" t="s">
        <v>404</v>
      </c>
      <c r="L35">
        <v>1348</v>
      </c>
      <c r="N35">
        <v>1009</v>
      </c>
      <c r="O35" t="s">
        <v>26</v>
      </c>
      <c r="P35" t="s">
        <v>26</v>
      </c>
      <c r="Q35">
        <v>1000</v>
      </c>
      <c r="X35">
        <v>9.0000000000000006E-5</v>
      </c>
      <c r="Y35">
        <v>9420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9.0000000000000006E-5</v>
      </c>
      <c r="AH35">
        <v>2</v>
      </c>
      <c r="AI35">
        <v>34232142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ROW(Source!A70)</f>
        <v>70</v>
      </c>
      <c r="B36">
        <v>34232168</v>
      </c>
      <c r="C36">
        <v>34232123</v>
      </c>
      <c r="D36">
        <v>29112833</v>
      </c>
      <c r="E36">
        <v>1</v>
      </c>
      <c r="F36">
        <v>1</v>
      </c>
      <c r="G36">
        <v>1</v>
      </c>
      <c r="H36">
        <v>3</v>
      </c>
      <c r="I36" t="s">
        <v>586</v>
      </c>
      <c r="J36" t="s">
        <v>587</v>
      </c>
      <c r="K36" t="s">
        <v>588</v>
      </c>
      <c r="L36">
        <v>1348</v>
      </c>
      <c r="N36">
        <v>1009</v>
      </c>
      <c r="O36" t="s">
        <v>26</v>
      </c>
      <c r="P36" t="s">
        <v>26</v>
      </c>
      <c r="Q36">
        <v>1000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0</v>
      </c>
      <c r="AE36">
        <v>0</v>
      </c>
      <c r="AF36" t="s">
        <v>3</v>
      </c>
      <c r="AG36">
        <v>0</v>
      </c>
      <c r="AH36">
        <v>3</v>
      </c>
      <c r="AI36">
        <v>-1</v>
      </c>
      <c r="AJ36" t="s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ROW(Source!A70)</f>
        <v>70</v>
      </c>
      <c r="B37">
        <v>34232169</v>
      </c>
      <c r="C37">
        <v>34232123</v>
      </c>
      <c r="D37">
        <v>29112584</v>
      </c>
      <c r="E37">
        <v>1</v>
      </c>
      <c r="F37">
        <v>1</v>
      </c>
      <c r="G37">
        <v>1</v>
      </c>
      <c r="H37">
        <v>3</v>
      </c>
      <c r="I37" t="s">
        <v>589</v>
      </c>
      <c r="J37" t="s">
        <v>590</v>
      </c>
      <c r="K37" t="s">
        <v>591</v>
      </c>
      <c r="L37">
        <v>1348</v>
      </c>
      <c r="N37">
        <v>1009</v>
      </c>
      <c r="O37" t="s">
        <v>26</v>
      </c>
      <c r="P37" t="s">
        <v>26</v>
      </c>
      <c r="Q37">
        <v>1000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 t="s">
        <v>3</v>
      </c>
      <c r="AG37">
        <v>0</v>
      </c>
      <c r="AH37">
        <v>3</v>
      </c>
      <c r="AI37">
        <v>-1</v>
      </c>
      <c r="AJ37" t="s">
        <v>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ROW(Source!A70)</f>
        <v>70</v>
      </c>
      <c r="B38">
        <v>34232170</v>
      </c>
      <c r="C38">
        <v>34232123</v>
      </c>
      <c r="D38">
        <v>29115467</v>
      </c>
      <c r="E38">
        <v>1</v>
      </c>
      <c r="F38">
        <v>1</v>
      </c>
      <c r="G38">
        <v>1</v>
      </c>
      <c r="H38">
        <v>3</v>
      </c>
      <c r="I38" t="s">
        <v>405</v>
      </c>
      <c r="J38" t="s">
        <v>406</v>
      </c>
      <c r="K38" t="s">
        <v>407</v>
      </c>
      <c r="L38">
        <v>1339</v>
      </c>
      <c r="N38">
        <v>1007</v>
      </c>
      <c r="O38" t="s">
        <v>182</v>
      </c>
      <c r="P38" t="s">
        <v>182</v>
      </c>
      <c r="Q38">
        <v>1</v>
      </c>
      <c r="X38">
        <v>1.2999999999999999E-3</v>
      </c>
      <c r="Y38">
        <v>1699.99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1.2999999999999999E-3</v>
      </c>
      <c r="AH38">
        <v>2</v>
      </c>
      <c r="AI38">
        <v>34232144</v>
      </c>
      <c r="AJ38">
        <v>36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ROW(Source!A70)</f>
        <v>70</v>
      </c>
      <c r="B39">
        <v>34232171</v>
      </c>
      <c r="C39">
        <v>34232123</v>
      </c>
      <c r="D39">
        <v>29122102</v>
      </c>
      <c r="E39">
        <v>1</v>
      </c>
      <c r="F39">
        <v>1</v>
      </c>
      <c r="G39">
        <v>1</v>
      </c>
      <c r="H39">
        <v>3</v>
      </c>
      <c r="I39" t="s">
        <v>408</v>
      </c>
      <c r="J39" t="s">
        <v>409</v>
      </c>
      <c r="K39" t="s">
        <v>410</v>
      </c>
      <c r="L39">
        <v>1348</v>
      </c>
      <c r="N39">
        <v>1009</v>
      </c>
      <c r="O39" t="s">
        <v>26</v>
      </c>
      <c r="P39" t="s">
        <v>26</v>
      </c>
      <c r="Q39">
        <v>1000</v>
      </c>
      <c r="X39">
        <v>4.6999999999999999E-4</v>
      </c>
      <c r="Y39">
        <v>15620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4.6999999999999999E-4</v>
      </c>
      <c r="AH39">
        <v>2</v>
      </c>
      <c r="AI39">
        <v>34232145</v>
      </c>
      <c r="AJ39">
        <v>37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ROW(Source!A70)</f>
        <v>70</v>
      </c>
      <c r="B40">
        <v>34232172</v>
      </c>
      <c r="C40">
        <v>34232123</v>
      </c>
      <c r="D40">
        <v>29129276</v>
      </c>
      <c r="E40">
        <v>1</v>
      </c>
      <c r="F40">
        <v>1</v>
      </c>
      <c r="G40">
        <v>1</v>
      </c>
      <c r="H40">
        <v>3</v>
      </c>
      <c r="I40" t="s">
        <v>411</v>
      </c>
      <c r="J40" t="s">
        <v>412</v>
      </c>
      <c r="K40" t="s">
        <v>413</v>
      </c>
      <c r="L40">
        <v>1348</v>
      </c>
      <c r="N40">
        <v>1009</v>
      </c>
      <c r="O40" t="s">
        <v>26</v>
      </c>
      <c r="P40" t="s">
        <v>26</v>
      </c>
      <c r="Q40">
        <v>1000</v>
      </c>
      <c r="X40">
        <v>1.0999999999999999E-2</v>
      </c>
      <c r="Y40">
        <v>7712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1.0999999999999999E-2</v>
      </c>
      <c r="AH40">
        <v>2</v>
      </c>
      <c r="AI40">
        <v>34232146</v>
      </c>
      <c r="AJ40">
        <v>38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ROW(Source!A70)</f>
        <v>70</v>
      </c>
      <c r="B41">
        <v>34232173</v>
      </c>
      <c r="C41">
        <v>34232123</v>
      </c>
      <c r="D41">
        <v>29162764</v>
      </c>
      <c r="E41">
        <v>1</v>
      </c>
      <c r="F41">
        <v>1</v>
      </c>
      <c r="G41">
        <v>1</v>
      </c>
      <c r="H41">
        <v>3</v>
      </c>
      <c r="I41" t="s">
        <v>414</v>
      </c>
      <c r="J41" t="s">
        <v>415</v>
      </c>
      <c r="K41" t="s">
        <v>416</v>
      </c>
      <c r="L41">
        <v>1302</v>
      </c>
      <c r="N41">
        <v>1003</v>
      </c>
      <c r="O41" t="s">
        <v>417</v>
      </c>
      <c r="P41" t="s">
        <v>417</v>
      </c>
      <c r="Q41">
        <v>10</v>
      </c>
      <c r="X41">
        <v>1.6E-2</v>
      </c>
      <c r="Y41">
        <v>71.489999999999995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1.6E-2</v>
      </c>
      <c r="AH41">
        <v>2</v>
      </c>
      <c r="AI41">
        <v>34232147</v>
      </c>
      <c r="AJ41">
        <v>39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ROW(Source!A72)</f>
        <v>72</v>
      </c>
      <c r="B42">
        <v>35841282</v>
      </c>
      <c r="C42">
        <v>34133052</v>
      </c>
      <c r="D42">
        <v>18413627</v>
      </c>
      <c r="E42">
        <v>1</v>
      </c>
      <c r="F42">
        <v>1</v>
      </c>
      <c r="G42">
        <v>1</v>
      </c>
      <c r="H42">
        <v>1</v>
      </c>
      <c r="I42" t="s">
        <v>418</v>
      </c>
      <c r="J42" t="s">
        <v>3</v>
      </c>
      <c r="K42" t="s">
        <v>419</v>
      </c>
      <c r="L42">
        <v>1369</v>
      </c>
      <c r="N42">
        <v>1013</v>
      </c>
      <c r="O42" t="s">
        <v>323</v>
      </c>
      <c r="P42" t="s">
        <v>323</v>
      </c>
      <c r="Q42">
        <v>1</v>
      </c>
      <c r="X42">
        <v>2.4</v>
      </c>
      <c r="Y42">
        <v>0</v>
      </c>
      <c r="Z42">
        <v>0</v>
      </c>
      <c r="AA42">
        <v>0</v>
      </c>
      <c r="AB42">
        <v>323.88</v>
      </c>
      <c r="AC42">
        <v>0</v>
      </c>
      <c r="AD42">
        <v>1</v>
      </c>
      <c r="AE42">
        <v>1</v>
      </c>
      <c r="AF42" t="s">
        <v>101</v>
      </c>
      <c r="AG42">
        <v>2.76</v>
      </c>
      <c r="AH42">
        <v>2</v>
      </c>
      <c r="AI42">
        <v>35841282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ROW(Source!A72)</f>
        <v>72</v>
      </c>
      <c r="B43">
        <v>35841283</v>
      </c>
      <c r="C43">
        <v>34133052</v>
      </c>
      <c r="D43">
        <v>29172657</v>
      </c>
      <c r="E43">
        <v>1</v>
      </c>
      <c r="F43">
        <v>1</v>
      </c>
      <c r="G43">
        <v>1</v>
      </c>
      <c r="H43">
        <v>2</v>
      </c>
      <c r="I43" t="s">
        <v>420</v>
      </c>
      <c r="J43" t="s">
        <v>421</v>
      </c>
      <c r="K43" t="s">
        <v>422</v>
      </c>
      <c r="L43">
        <v>1368</v>
      </c>
      <c r="N43">
        <v>1011</v>
      </c>
      <c r="O43" t="s">
        <v>331</v>
      </c>
      <c r="P43" t="s">
        <v>331</v>
      </c>
      <c r="Q43">
        <v>1</v>
      </c>
      <c r="X43">
        <v>0.4</v>
      </c>
      <c r="Y43">
        <v>0</v>
      </c>
      <c r="Z43">
        <v>8.1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100</v>
      </c>
      <c r="AG43">
        <v>0.5</v>
      </c>
      <c r="AH43">
        <v>2</v>
      </c>
      <c r="AI43">
        <v>35841283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ROW(Source!A72)</f>
        <v>72</v>
      </c>
      <c r="B44">
        <v>35841284</v>
      </c>
      <c r="C44">
        <v>34133052</v>
      </c>
      <c r="D44">
        <v>29174507</v>
      </c>
      <c r="E44">
        <v>1</v>
      </c>
      <c r="F44">
        <v>1</v>
      </c>
      <c r="G44">
        <v>1</v>
      </c>
      <c r="H44">
        <v>2</v>
      </c>
      <c r="I44" t="s">
        <v>423</v>
      </c>
      <c r="J44" t="s">
        <v>424</v>
      </c>
      <c r="K44" t="s">
        <v>425</v>
      </c>
      <c r="L44">
        <v>1368</v>
      </c>
      <c r="N44">
        <v>1011</v>
      </c>
      <c r="O44" t="s">
        <v>331</v>
      </c>
      <c r="P44" t="s">
        <v>331</v>
      </c>
      <c r="Q44">
        <v>1</v>
      </c>
      <c r="X44">
        <v>0.12</v>
      </c>
      <c r="Y44">
        <v>0</v>
      </c>
      <c r="Z44">
        <v>5.13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100</v>
      </c>
      <c r="AG44">
        <v>0.15</v>
      </c>
      <c r="AH44">
        <v>2</v>
      </c>
      <c r="AI44">
        <v>35841284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ROW(Source!A72)</f>
        <v>72</v>
      </c>
      <c r="B45">
        <v>35841285</v>
      </c>
      <c r="C45">
        <v>34133052</v>
      </c>
      <c r="D45">
        <v>29174580</v>
      </c>
      <c r="E45">
        <v>1</v>
      </c>
      <c r="F45">
        <v>1</v>
      </c>
      <c r="G45">
        <v>1</v>
      </c>
      <c r="H45">
        <v>2</v>
      </c>
      <c r="I45" t="s">
        <v>426</v>
      </c>
      <c r="J45" t="s">
        <v>427</v>
      </c>
      <c r="K45" t="s">
        <v>428</v>
      </c>
      <c r="L45">
        <v>1368</v>
      </c>
      <c r="N45">
        <v>1011</v>
      </c>
      <c r="O45" t="s">
        <v>331</v>
      </c>
      <c r="P45" t="s">
        <v>331</v>
      </c>
      <c r="Q45">
        <v>1</v>
      </c>
      <c r="X45">
        <v>0.19</v>
      </c>
      <c r="Y45">
        <v>0</v>
      </c>
      <c r="Z45">
        <v>2.08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100</v>
      </c>
      <c r="AG45">
        <v>0.23749999999999999</v>
      </c>
      <c r="AH45">
        <v>2</v>
      </c>
      <c r="AI45">
        <v>35841285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ROW(Source!A72)</f>
        <v>72</v>
      </c>
      <c r="B46">
        <v>35841286</v>
      </c>
      <c r="C46">
        <v>34133052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342</v>
      </c>
      <c r="J46" t="s">
        <v>343</v>
      </c>
      <c r="K46" t="s">
        <v>344</v>
      </c>
      <c r="L46">
        <v>1368</v>
      </c>
      <c r="N46">
        <v>1011</v>
      </c>
      <c r="O46" t="s">
        <v>331</v>
      </c>
      <c r="P46" t="s">
        <v>331</v>
      </c>
      <c r="Q46">
        <v>1</v>
      </c>
      <c r="X46">
        <v>0.17</v>
      </c>
      <c r="Y46">
        <v>0</v>
      </c>
      <c r="Z46">
        <v>87.17</v>
      </c>
      <c r="AA46">
        <v>11.6</v>
      </c>
      <c r="AB46">
        <v>0</v>
      </c>
      <c r="AC46">
        <v>0</v>
      </c>
      <c r="AD46">
        <v>1</v>
      </c>
      <c r="AE46">
        <v>0</v>
      </c>
      <c r="AF46" t="s">
        <v>100</v>
      </c>
      <c r="AG46">
        <v>0.21250000000000002</v>
      </c>
      <c r="AH46">
        <v>2</v>
      </c>
      <c r="AI46">
        <v>35841286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ROW(Source!A72)</f>
        <v>72</v>
      </c>
      <c r="B47">
        <v>35841287</v>
      </c>
      <c r="C47">
        <v>34133052</v>
      </c>
      <c r="D47">
        <v>29113979</v>
      </c>
      <c r="E47">
        <v>1</v>
      </c>
      <c r="F47">
        <v>1</v>
      </c>
      <c r="G47">
        <v>1</v>
      </c>
      <c r="H47">
        <v>3</v>
      </c>
      <c r="I47" t="s">
        <v>392</v>
      </c>
      <c r="J47" t="s">
        <v>393</v>
      </c>
      <c r="K47" t="s">
        <v>394</v>
      </c>
      <c r="L47">
        <v>1348</v>
      </c>
      <c r="N47">
        <v>1009</v>
      </c>
      <c r="O47" t="s">
        <v>26</v>
      </c>
      <c r="P47" t="s">
        <v>26</v>
      </c>
      <c r="Q47">
        <v>1000</v>
      </c>
      <c r="X47">
        <v>1E-4</v>
      </c>
      <c r="Y47">
        <v>9749.99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1E-4</v>
      </c>
      <c r="AH47">
        <v>2</v>
      </c>
      <c r="AI47">
        <v>35841287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ROW(Source!A72)</f>
        <v>72</v>
      </c>
      <c r="B48">
        <v>35841288</v>
      </c>
      <c r="C48">
        <v>34133052</v>
      </c>
      <c r="D48">
        <v>29107991</v>
      </c>
      <c r="E48">
        <v>1</v>
      </c>
      <c r="F48">
        <v>1</v>
      </c>
      <c r="G48">
        <v>1</v>
      </c>
      <c r="H48">
        <v>3</v>
      </c>
      <c r="I48" t="s">
        <v>429</v>
      </c>
      <c r="J48" t="s">
        <v>430</v>
      </c>
      <c r="K48" t="s">
        <v>431</v>
      </c>
      <c r="L48">
        <v>1354</v>
      </c>
      <c r="N48">
        <v>1010</v>
      </c>
      <c r="O48" t="s">
        <v>117</v>
      </c>
      <c r="P48" t="s">
        <v>117</v>
      </c>
      <c r="Q48">
        <v>1</v>
      </c>
      <c r="X48">
        <v>0.1</v>
      </c>
      <c r="Y48">
        <v>72.8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</v>
      </c>
      <c r="AH48">
        <v>2</v>
      </c>
      <c r="AI48">
        <v>35841288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ROW(Source!A72)</f>
        <v>72</v>
      </c>
      <c r="B49">
        <v>35841289</v>
      </c>
      <c r="C49">
        <v>34133052</v>
      </c>
      <c r="D49">
        <v>29114830</v>
      </c>
      <c r="E49">
        <v>1</v>
      </c>
      <c r="F49">
        <v>1</v>
      </c>
      <c r="G49">
        <v>1</v>
      </c>
      <c r="H49">
        <v>3</v>
      </c>
      <c r="I49" t="s">
        <v>592</v>
      </c>
      <c r="J49" t="s">
        <v>593</v>
      </c>
      <c r="K49" t="s">
        <v>594</v>
      </c>
      <c r="L49">
        <v>1035</v>
      </c>
      <c r="N49">
        <v>1013</v>
      </c>
      <c r="O49" t="s">
        <v>595</v>
      </c>
      <c r="P49" t="s">
        <v>595</v>
      </c>
      <c r="Q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0</v>
      </c>
      <c r="AE49">
        <v>0</v>
      </c>
      <c r="AF49" t="s">
        <v>3</v>
      </c>
      <c r="AG49">
        <v>0</v>
      </c>
      <c r="AH49">
        <v>3</v>
      </c>
      <c r="AI49">
        <v>-1</v>
      </c>
      <c r="AJ49" t="s">
        <v>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ROW(Source!A72)</f>
        <v>72</v>
      </c>
      <c r="B50">
        <v>35841290</v>
      </c>
      <c r="C50">
        <v>34133052</v>
      </c>
      <c r="D50">
        <v>29130403</v>
      </c>
      <c r="E50">
        <v>1</v>
      </c>
      <c r="F50">
        <v>1</v>
      </c>
      <c r="G50">
        <v>1</v>
      </c>
      <c r="H50">
        <v>3</v>
      </c>
      <c r="I50" t="s">
        <v>596</v>
      </c>
      <c r="J50" t="s">
        <v>597</v>
      </c>
      <c r="K50" t="s">
        <v>598</v>
      </c>
      <c r="L50">
        <v>1327</v>
      </c>
      <c r="N50">
        <v>1005</v>
      </c>
      <c r="O50" t="s">
        <v>140</v>
      </c>
      <c r="P50" t="s">
        <v>140</v>
      </c>
      <c r="Q50">
        <v>1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 t="s">
        <v>3</v>
      </c>
      <c r="AG50">
        <v>1</v>
      </c>
      <c r="AH50">
        <v>3</v>
      </c>
      <c r="AI50">
        <v>-1</v>
      </c>
      <c r="AJ50" t="s">
        <v>3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ROW(Source!A72)</f>
        <v>72</v>
      </c>
      <c r="B51">
        <v>35841291</v>
      </c>
      <c r="C51">
        <v>34133052</v>
      </c>
      <c r="D51">
        <v>29131398</v>
      </c>
      <c r="E51">
        <v>1</v>
      </c>
      <c r="F51">
        <v>1</v>
      </c>
      <c r="G51">
        <v>1</v>
      </c>
      <c r="H51">
        <v>3</v>
      </c>
      <c r="I51" t="s">
        <v>432</v>
      </c>
      <c r="J51" t="s">
        <v>433</v>
      </c>
      <c r="K51" t="s">
        <v>434</v>
      </c>
      <c r="L51">
        <v>1348</v>
      </c>
      <c r="N51">
        <v>1009</v>
      </c>
      <c r="O51" t="s">
        <v>26</v>
      </c>
      <c r="P51" t="s">
        <v>26</v>
      </c>
      <c r="Q51">
        <v>1000</v>
      </c>
      <c r="X51">
        <v>3.0000000000000001E-3</v>
      </c>
      <c r="Y51">
        <v>5804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3.0000000000000001E-3</v>
      </c>
      <c r="AH51">
        <v>2</v>
      </c>
      <c r="AI51">
        <v>35841291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ROW(Source!A75)</f>
        <v>75</v>
      </c>
      <c r="B52">
        <v>35832070</v>
      </c>
      <c r="C52">
        <v>35832069</v>
      </c>
      <c r="D52">
        <v>18413230</v>
      </c>
      <c r="E52">
        <v>1</v>
      </c>
      <c r="F52">
        <v>1</v>
      </c>
      <c r="G52">
        <v>1</v>
      </c>
      <c r="H52">
        <v>1</v>
      </c>
      <c r="I52" t="s">
        <v>435</v>
      </c>
      <c r="J52" t="s">
        <v>3</v>
      </c>
      <c r="K52" t="s">
        <v>436</v>
      </c>
      <c r="L52">
        <v>1369</v>
      </c>
      <c r="N52">
        <v>1013</v>
      </c>
      <c r="O52" t="s">
        <v>323</v>
      </c>
      <c r="P52" t="s">
        <v>323</v>
      </c>
      <c r="Q52">
        <v>1</v>
      </c>
      <c r="X52">
        <v>104.28</v>
      </c>
      <c r="Y52">
        <v>0</v>
      </c>
      <c r="Z52">
        <v>0</v>
      </c>
      <c r="AA52">
        <v>0</v>
      </c>
      <c r="AB52">
        <v>299.72000000000003</v>
      </c>
      <c r="AC52">
        <v>0</v>
      </c>
      <c r="AD52">
        <v>1</v>
      </c>
      <c r="AE52">
        <v>1</v>
      </c>
      <c r="AF52" t="s">
        <v>101</v>
      </c>
      <c r="AG52">
        <v>119.922</v>
      </c>
      <c r="AH52">
        <v>2</v>
      </c>
      <c r="AI52">
        <v>35832070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ROW(Source!A75)</f>
        <v>75</v>
      </c>
      <c r="B53">
        <v>35832071</v>
      </c>
      <c r="C53">
        <v>35832069</v>
      </c>
      <c r="D53">
        <v>121548</v>
      </c>
      <c r="E53">
        <v>1</v>
      </c>
      <c r="F53">
        <v>1</v>
      </c>
      <c r="G53">
        <v>1</v>
      </c>
      <c r="H53">
        <v>1</v>
      </c>
      <c r="I53" t="s">
        <v>28</v>
      </c>
      <c r="J53" t="s">
        <v>3</v>
      </c>
      <c r="K53" t="s">
        <v>326</v>
      </c>
      <c r="L53">
        <v>608254</v>
      </c>
      <c r="N53">
        <v>1013</v>
      </c>
      <c r="O53" t="s">
        <v>327</v>
      </c>
      <c r="P53" t="s">
        <v>327</v>
      </c>
      <c r="Q53">
        <v>1</v>
      </c>
      <c r="X53">
        <v>11.35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2</v>
      </c>
      <c r="AF53" t="s">
        <v>100</v>
      </c>
      <c r="AG53">
        <v>14.1875</v>
      </c>
      <c r="AH53">
        <v>2</v>
      </c>
      <c r="AI53">
        <v>35832071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ROW(Source!A75)</f>
        <v>75</v>
      </c>
      <c r="B54">
        <v>35832072</v>
      </c>
      <c r="C54">
        <v>35832069</v>
      </c>
      <c r="D54">
        <v>29172268</v>
      </c>
      <c r="E54">
        <v>1</v>
      </c>
      <c r="F54">
        <v>1</v>
      </c>
      <c r="G54">
        <v>1</v>
      </c>
      <c r="H54">
        <v>2</v>
      </c>
      <c r="I54" t="s">
        <v>437</v>
      </c>
      <c r="J54" t="s">
        <v>438</v>
      </c>
      <c r="K54" t="s">
        <v>439</v>
      </c>
      <c r="L54">
        <v>1368</v>
      </c>
      <c r="N54">
        <v>1011</v>
      </c>
      <c r="O54" t="s">
        <v>331</v>
      </c>
      <c r="P54" t="s">
        <v>331</v>
      </c>
      <c r="Q54">
        <v>1</v>
      </c>
      <c r="X54">
        <v>9.69</v>
      </c>
      <c r="Y54">
        <v>0</v>
      </c>
      <c r="Z54">
        <v>86.4</v>
      </c>
      <c r="AA54">
        <v>13.5</v>
      </c>
      <c r="AB54">
        <v>0</v>
      </c>
      <c r="AC54">
        <v>0</v>
      </c>
      <c r="AD54">
        <v>1</v>
      </c>
      <c r="AE54">
        <v>0</v>
      </c>
      <c r="AF54" t="s">
        <v>100</v>
      </c>
      <c r="AG54">
        <v>12.112499999999999</v>
      </c>
      <c r="AH54">
        <v>2</v>
      </c>
      <c r="AI54">
        <v>35832072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ROW(Source!A75)</f>
        <v>75</v>
      </c>
      <c r="B55">
        <v>35832073</v>
      </c>
      <c r="C55">
        <v>35832069</v>
      </c>
      <c r="D55">
        <v>29172379</v>
      </c>
      <c r="E55">
        <v>1</v>
      </c>
      <c r="F55">
        <v>1</v>
      </c>
      <c r="G55">
        <v>1</v>
      </c>
      <c r="H55">
        <v>2</v>
      </c>
      <c r="I55" t="s">
        <v>359</v>
      </c>
      <c r="J55" t="s">
        <v>360</v>
      </c>
      <c r="K55" t="s">
        <v>361</v>
      </c>
      <c r="L55">
        <v>1368</v>
      </c>
      <c r="N55">
        <v>1011</v>
      </c>
      <c r="O55" t="s">
        <v>331</v>
      </c>
      <c r="P55" t="s">
        <v>331</v>
      </c>
      <c r="Q55">
        <v>1</v>
      </c>
      <c r="X55">
        <v>1.66</v>
      </c>
      <c r="Y55">
        <v>0</v>
      </c>
      <c r="Z55">
        <v>112</v>
      </c>
      <c r="AA55">
        <v>13.5</v>
      </c>
      <c r="AB55">
        <v>0</v>
      </c>
      <c r="AC55">
        <v>0</v>
      </c>
      <c r="AD55">
        <v>1</v>
      </c>
      <c r="AE55">
        <v>0</v>
      </c>
      <c r="AF55" t="s">
        <v>100</v>
      </c>
      <c r="AG55">
        <v>2.0749999999999997</v>
      </c>
      <c r="AH55">
        <v>2</v>
      </c>
      <c r="AI55">
        <v>35832073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ROW(Source!A75)</f>
        <v>75</v>
      </c>
      <c r="B56">
        <v>35832074</v>
      </c>
      <c r="C56">
        <v>35832069</v>
      </c>
      <c r="D56">
        <v>29173252</v>
      </c>
      <c r="E56">
        <v>1</v>
      </c>
      <c r="F56">
        <v>1</v>
      </c>
      <c r="G56">
        <v>1</v>
      </c>
      <c r="H56">
        <v>2</v>
      </c>
      <c r="I56" t="s">
        <v>440</v>
      </c>
      <c r="J56" t="s">
        <v>441</v>
      </c>
      <c r="K56" t="s">
        <v>442</v>
      </c>
      <c r="L56">
        <v>1368</v>
      </c>
      <c r="N56">
        <v>1011</v>
      </c>
      <c r="O56" t="s">
        <v>331</v>
      </c>
      <c r="P56" t="s">
        <v>331</v>
      </c>
      <c r="Q56">
        <v>1</v>
      </c>
      <c r="X56">
        <v>1.79</v>
      </c>
      <c r="Y56">
        <v>0</v>
      </c>
      <c r="Z56">
        <v>30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100</v>
      </c>
      <c r="AG56">
        <v>2.2374999999999998</v>
      </c>
      <c r="AH56">
        <v>2</v>
      </c>
      <c r="AI56">
        <v>35832074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ROW(Source!A75)</f>
        <v>75</v>
      </c>
      <c r="B57">
        <v>35832075</v>
      </c>
      <c r="C57">
        <v>35832069</v>
      </c>
      <c r="D57">
        <v>29174913</v>
      </c>
      <c r="E57">
        <v>1</v>
      </c>
      <c r="F57">
        <v>1</v>
      </c>
      <c r="G57">
        <v>1</v>
      </c>
      <c r="H57">
        <v>2</v>
      </c>
      <c r="I57" t="s">
        <v>342</v>
      </c>
      <c r="J57" t="s">
        <v>343</v>
      </c>
      <c r="K57" t="s">
        <v>344</v>
      </c>
      <c r="L57">
        <v>1368</v>
      </c>
      <c r="N57">
        <v>1011</v>
      </c>
      <c r="O57" t="s">
        <v>331</v>
      </c>
      <c r="P57" t="s">
        <v>331</v>
      </c>
      <c r="Q57">
        <v>1</v>
      </c>
      <c r="X57">
        <v>1.99</v>
      </c>
      <c r="Y57">
        <v>0</v>
      </c>
      <c r="Z57">
        <v>87.17</v>
      </c>
      <c r="AA57">
        <v>11.6</v>
      </c>
      <c r="AB57">
        <v>0</v>
      </c>
      <c r="AC57">
        <v>0</v>
      </c>
      <c r="AD57">
        <v>1</v>
      </c>
      <c r="AE57">
        <v>0</v>
      </c>
      <c r="AF57" t="s">
        <v>100</v>
      </c>
      <c r="AG57">
        <v>2.4874999999999998</v>
      </c>
      <c r="AH57">
        <v>2</v>
      </c>
      <c r="AI57">
        <v>35832075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ROW(Source!A75)</f>
        <v>75</v>
      </c>
      <c r="B58">
        <v>35832076</v>
      </c>
      <c r="C58">
        <v>35832069</v>
      </c>
      <c r="D58">
        <v>29114395</v>
      </c>
      <c r="E58">
        <v>1</v>
      </c>
      <c r="F58">
        <v>1</v>
      </c>
      <c r="G58">
        <v>1</v>
      </c>
      <c r="H58">
        <v>3</v>
      </c>
      <c r="I58" t="s">
        <v>443</v>
      </c>
      <c r="J58" t="s">
        <v>444</v>
      </c>
      <c r="K58" t="s">
        <v>445</v>
      </c>
      <c r="L58">
        <v>1348</v>
      </c>
      <c r="N58">
        <v>1009</v>
      </c>
      <c r="O58" t="s">
        <v>26</v>
      </c>
      <c r="P58" t="s">
        <v>26</v>
      </c>
      <c r="Q58">
        <v>1000</v>
      </c>
      <c r="X58">
        <v>2.0999999999999999E-3</v>
      </c>
      <c r="Y58">
        <v>8475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2.0999999999999999E-3</v>
      </c>
      <c r="AH58">
        <v>2</v>
      </c>
      <c r="AI58">
        <v>35832076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ROW(Source!A75)</f>
        <v>75</v>
      </c>
      <c r="B59">
        <v>35832077</v>
      </c>
      <c r="C59">
        <v>35832069</v>
      </c>
      <c r="D59">
        <v>29111762</v>
      </c>
      <c r="E59">
        <v>1</v>
      </c>
      <c r="F59">
        <v>1</v>
      </c>
      <c r="G59">
        <v>1</v>
      </c>
      <c r="H59">
        <v>3</v>
      </c>
      <c r="I59" t="s">
        <v>446</v>
      </c>
      <c r="J59" t="s">
        <v>447</v>
      </c>
      <c r="K59" t="s">
        <v>448</v>
      </c>
      <c r="L59">
        <v>1348</v>
      </c>
      <c r="N59">
        <v>1009</v>
      </c>
      <c r="O59" t="s">
        <v>26</v>
      </c>
      <c r="P59" t="s">
        <v>26</v>
      </c>
      <c r="Q59">
        <v>1000</v>
      </c>
      <c r="X59">
        <v>2.3599999999999999E-2</v>
      </c>
      <c r="Y59">
        <v>1694.99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2.3599999999999999E-2</v>
      </c>
      <c r="AH59">
        <v>2</v>
      </c>
      <c r="AI59">
        <v>35832077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ROW(Source!A75)</f>
        <v>75</v>
      </c>
      <c r="B60">
        <v>35832078</v>
      </c>
      <c r="C60">
        <v>35832069</v>
      </c>
      <c r="D60">
        <v>29109162</v>
      </c>
      <c r="E60">
        <v>1</v>
      </c>
      <c r="F60">
        <v>1</v>
      </c>
      <c r="G60">
        <v>1</v>
      </c>
      <c r="H60">
        <v>3</v>
      </c>
      <c r="I60" t="s">
        <v>449</v>
      </c>
      <c r="J60" t="s">
        <v>450</v>
      </c>
      <c r="K60" t="s">
        <v>451</v>
      </c>
      <c r="L60">
        <v>1327</v>
      </c>
      <c r="N60">
        <v>1005</v>
      </c>
      <c r="O60" t="s">
        <v>140</v>
      </c>
      <c r="P60" t="s">
        <v>140</v>
      </c>
      <c r="Q60">
        <v>1</v>
      </c>
      <c r="X60">
        <v>89</v>
      </c>
      <c r="Y60">
        <v>5.71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89</v>
      </c>
      <c r="AH60">
        <v>2</v>
      </c>
      <c r="AI60">
        <v>35832078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ROW(Source!A75)</f>
        <v>75</v>
      </c>
      <c r="B61">
        <v>35832079</v>
      </c>
      <c r="C61">
        <v>35832069</v>
      </c>
      <c r="D61">
        <v>29112547</v>
      </c>
      <c r="E61">
        <v>1</v>
      </c>
      <c r="F61">
        <v>1</v>
      </c>
      <c r="G61">
        <v>1</v>
      </c>
      <c r="H61">
        <v>3</v>
      </c>
      <c r="I61" t="s">
        <v>452</v>
      </c>
      <c r="J61" t="s">
        <v>453</v>
      </c>
      <c r="K61" t="s">
        <v>454</v>
      </c>
      <c r="L61">
        <v>1346</v>
      </c>
      <c r="N61">
        <v>1009</v>
      </c>
      <c r="O61" t="s">
        <v>401</v>
      </c>
      <c r="P61" t="s">
        <v>401</v>
      </c>
      <c r="Q61">
        <v>1</v>
      </c>
      <c r="X61">
        <v>37.5</v>
      </c>
      <c r="Y61">
        <v>10.26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37.5</v>
      </c>
      <c r="AH61">
        <v>2</v>
      </c>
      <c r="AI61">
        <v>35832079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ROW(Source!A75)</f>
        <v>75</v>
      </c>
      <c r="B62">
        <v>35832080</v>
      </c>
      <c r="C62">
        <v>35832069</v>
      </c>
      <c r="D62">
        <v>29114332</v>
      </c>
      <c r="E62">
        <v>1</v>
      </c>
      <c r="F62">
        <v>1</v>
      </c>
      <c r="G62">
        <v>1</v>
      </c>
      <c r="H62">
        <v>3</v>
      </c>
      <c r="I62" t="s">
        <v>345</v>
      </c>
      <c r="J62" t="s">
        <v>346</v>
      </c>
      <c r="K62" t="s">
        <v>347</v>
      </c>
      <c r="L62">
        <v>1348</v>
      </c>
      <c r="N62">
        <v>1009</v>
      </c>
      <c r="O62" t="s">
        <v>26</v>
      </c>
      <c r="P62" t="s">
        <v>26</v>
      </c>
      <c r="Q62">
        <v>1000</v>
      </c>
      <c r="X62">
        <v>4.13E-3</v>
      </c>
      <c r="Y62">
        <v>11978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4.13E-3</v>
      </c>
      <c r="AH62">
        <v>2</v>
      </c>
      <c r="AI62">
        <v>35832080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ROW(Source!A75)</f>
        <v>75</v>
      </c>
      <c r="B63">
        <v>35832081</v>
      </c>
      <c r="C63">
        <v>35832069</v>
      </c>
      <c r="D63">
        <v>29107989</v>
      </c>
      <c r="E63">
        <v>1</v>
      </c>
      <c r="F63">
        <v>1</v>
      </c>
      <c r="G63">
        <v>1</v>
      </c>
      <c r="H63">
        <v>3</v>
      </c>
      <c r="I63" t="s">
        <v>455</v>
      </c>
      <c r="J63" t="s">
        <v>456</v>
      </c>
      <c r="K63" t="s">
        <v>457</v>
      </c>
      <c r="L63">
        <v>1296</v>
      </c>
      <c r="N63">
        <v>1002</v>
      </c>
      <c r="O63" t="s">
        <v>458</v>
      </c>
      <c r="P63" t="s">
        <v>458</v>
      </c>
      <c r="Q63">
        <v>1</v>
      </c>
      <c r="X63">
        <v>32.4</v>
      </c>
      <c r="Y63">
        <v>47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32.4</v>
      </c>
      <c r="AH63">
        <v>2</v>
      </c>
      <c r="AI63">
        <v>35832081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ROW(Source!A75)</f>
        <v>75</v>
      </c>
      <c r="B64">
        <v>35832082</v>
      </c>
      <c r="C64">
        <v>35832069</v>
      </c>
      <c r="D64">
        <v>29114830</v>
      </c>
      <c r="E64">
        <v>1</v>
      </c>
      <c r="F64">
        <v>1</v>
      </c>
      <c r="G64">
        <v>1</v>
      </c>
      <c r="H64">
        <v>3</v>
      </c>
      <c r="I64" t="s">
        <v>592</v>
      </c>
      <c r="J64" t="s">
        <v>593</v>
      </c>
      <c r="K64" t="s">
        <v>594</v>
      </c>
      <c r="L64">
        <v>1035</v>
      </c>
      <c r="N64">
        <v>1013</v>
      </c>
      <c r="O64" t="s">
        <v>595</v>
      </c>
      <c r="P64" t="s">
        <v>595</v>
      </c>
      <c r="Q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0</v>
      </c>
      <c r="AF64" t="s">
        <v>3</v>
      </c>
      <c r="AG64">
        <v>0</v>
      </c>
      <c r="AH64">
        <v>3</v>
      </c>
      <c r="AI64">
        <v>-1</v>
      </c>
      <c r="AJ64" t="s">
        <v>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ROW(Source!A75)</f>
        <v>75</v>
      </c>
      <c r="B65">
        <v>35832083</v>
      </c>
      <c r="C65">
        <v>35832069</v>
      </c>
      <c r="D65">
        <v>29115642</v>
      </c>
      <c r="E65">
        <v>1</v>
      </c>
      <c r="F65">
        <v>1</v>
      </c>
      <c r="G65">
        <v>1</v>
      </c>
      <c r="H65">
        <v>3</v>
      </c>
      <c r="I65" t="s">
        <v>459</v>
      </c>
      <c r="J65" t="s">
        <v>460</v>
      </c>
      <c r="K65" t="s">
        <v>461</v>
      </c>
      <c r="L65">
        <v>1339</v>
      </c>
      <c r="N65">
        <v>1007</v>
      </c>
      <c r="O65" t="s">
        <v>182</v>
      </c>
      <c r="P65" t="s">
        <v>182</v>
      </c>
      <c r="Q65">
        <v>1</v>
      </c>
      <c r="X65">
        <v>0.08</v>
      </c>
      <c r="Y65">
        <v>1100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0.08</v>
      </c>
      <c r="AH65">
        <v>2</v>
      </c>
      <c r="AI65">
        <v>35832083</v>
      </c>
      <c r="AJ65">
        <v>63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ROW(Source!A75)</f>
        <v>75</v>
      </c>
      <c r="B66">
        <v>35832084</v>
      </c>
      <c r="C66">
        <v>35832069</v>
      </c>
      <c r="D66">
        <v>29130561</v>
      </c>
      <c r="E66">
        <v>1</v>
      </c>
      <c r="F66">
        <v>1</v>
      </c>
      <c r="G66">
        <v>1</v>
      </c>
      <c r="H66">
        <v>3</v>
      </c>
      <c r="I66" t="s">
        <v>462</v>
      </c>
      <c r="J66" t="s">
        <v>463</v>
      </c>
      <c r="K66" t="s">
        <v>464</v>
      </c>
      <c r="L66">
        <v>1327</v>
      </c>
      <c r="N66">
        <v>1005</v>
      </c>
      <c r="O66" t="s">
        <v>140</v>
      </c>
      <c r="P66" t="s">
        <v>140</v>
      </c>
      <c r="Q66">
        <v>1</v>
      </c>
      <c r="X66">
        <v>100</v>
      </c>
      <c r="Y66">
        <v>207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100</v>
      </c>
      <c r="AH66">
        <v>2</v>
      </c>
      <c r="AI66">
        <v>35832084</v>
      </c>
      <c r="AJ66">
        <v>64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ROW(Source!A75)</f>
        <v>75</v>
      </c>
      <c r="B67">
        <v>35832085</v>
      </c>
      <c r="C67">
        <v>35832069</v>
      </c>
      <c r="D67">
        <v>29145217</v>
      </c>
      <c r="E67">
        <v>1</v>
      </c>
      <c r="F67">
        <v>1</v>
      </c>
      <c r="G67">
        <v>1</v>
      </c>
      <c r="H67">
        <v>3</v>
      </c>
      <c r="I67" t="s">
        <v>465</v>
      </c>
      <c r="J67" t="s">
        <v>466</v>
      </c>
      <c r="K67" t="s">
        <v>467</v>
      </c>
      <c r="L67">
        <v>1339</v>
      </c>
      <c r="N67">
        <v>1007</v>
      </c>
      <c r="O67" t="s">
        <v>182</v>
      </c>
      <c r="P67" t="s">
        <v>182</v>
      </c>
      <c r="Q67">
        <v>1</v>
      </c>
      <c r="X67">
        <v>0.105</v>
      </c>
      <c r="Y67">
        <v>458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0.105</v>
      </c>
      <c r="AH67">
        <v>2</v>
      </c>
      <c r="AI67">
        <v>35832085</v>
      </c>
      <c r="AJ67">
        <v>66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ROW(Source!A75)</f>
        <v>75</v>
      </c>
      <c r="B68">
        <v>35832086</v>
      </c>
      <c r="C68">
        <v>35832069</v>
      </c>
      <c r="D68">
        <v>29149204</v>
      </c>
      <c r="E68">
        <v>1</v>
      </c>
      <c r="F68">
        <v>1</v>
      </c>
      <c r="G68">
        <v>1</v>
      </c>
      <c r="H68">
        <v>3</v>
      </c>
      <c r="I68" t="s">
        <v>468</v>
      </c>
      <c r="J68" t="s">
        <v>469</v>
      </c>
      <c r="K68" t="s">
        <v>470</v>
      </c>
      <c r="L68">
        <v>1348</v>
      </c>
      <c r="N68">
        <v>1009</v>
      </c>
      <c r="O68" t="s">
        <v>26</v>
      </c>
      <c r="P68" t="s">
        <v>26</v>
      </c>
      <c r="Q68">
        <v>1000</v>
      </c>
      <c r="X68">
        <v>1.6E-2</v>
      </c>
      <c r="Y68">
        <v>729.98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1.6E-2</v>
      </c>
      <c r="AH68">
        <v>2</v>
      </c>
      <c r="AI68">
        <v>35832086</v>
      </c>
      <c r="AJ68">
        <v>67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ROW(Source!A77)</f>
        <v>77</v>
      </c>
      <c r="B69">
        <v>34133136</v>
      </c>
      <c r="C69">
        <v>34133135</v>
      </c>
      <c r="D69">
        <v>18410244</v>
      </c>
      <c r="E69">
        <v>1</v>
      </c>
      <c r="F69">
        <v>1</v>
      </c>
      <c r="G69">
        <v>1</v>
      </c>
      <c r="H69">
        <v>1</v>
      </c>
      <c r="I69" t="s">
        <v>471</v>
      </c>
      <c r="J69" t="s">
        <v>3</v>
      </c>
      <c r="K69" t="s">
        <v>472</v>
      </c>
      <c r="L69">
        <v>1369</v>
      </c>
      <c r="N69">
        <v>1013</v>
      </c>
      <c r="O69" t="s">
        <v>323</v>
      </c>
      <c r="P69" t="s">
        <v>323</v>
      </c>
      <c r="Q69">
        <v>1</v>
      </c>
      <c r="X69">
        <v>204.06</v>
      </c>
      <c r="Y69">
        <v>0</v>
      </c>
      <c r="Z69">
        <v>0</v>
      </c>
      <c r="AA69">
        <v>0</v>
      </c>
      <c r="AB69">
        <v>278.24</v>
      </c>
      <c r="AC69">
        <v>0</v>
      </c>
      <c r="AD69">
        <v>1</v>
      </c>
      <c r="AE69">
        <v>1</v>
      </c>
      <c r="AF69" t="s">
        <v>147</v>
      </c>
      <c r="AG69">
        <v>234.66899999999998</v>
      </c>
      <c r="AH69">
        <v>2</v>
      </c>
      <c r="AI69">
        <v>34133136</v>
      </c>
      <c r="AJ69">
        <v>68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ROW(Source!A77)</f>
        <v>77</v>
      </c>
      <c r="B70">
        <v>34133137</v>
      </c>
      <c r="C70">
        <v>34133135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28</v>
      </c>
      <c r="J70" t="s">
        <v>3</v>
      </c>
      <c r="K70" t="s">
        <v>326</v>
      </c>
      <c r="L70">
        <v>608254</v>
      </c>
      <c r="N70">
        <v>1013</v>
      </c>
      <c r="O70" t="s">
        <v>327</v>
      </c>
      <c r="P70" t="s">
        <v>327</v>
      </c>
      <c r="Q70">
        <v>1</v>
      </c>
      <c r="X70">
        <v>2.06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2</v>
      </c>
      <c r="AF70" t="s">
        <v>112</v>
      </c>
      <c r="AG70">
        <v>2.5750000000000002</v>
      </c>
      <c r="AH70">
        <v>2</v>
      </c>
      <c r="AI70">
        <v>34133137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ROW(Source!A77)</f>
        <v>77</v>
      </c>
      <c r="B71">
        <v>34133138</v>
      </c>
      <c r="C71">
        <v>34133135</v>
      </c>
      <c r="D71">
        <v>29172556</v>
      </c>
      <c r="E71">
        <v>1</v>
      </c>
      <c r="F71">
        <v>1</v>
      </c>
      <c r="G71">
        <v>1</v>
      </c>
      <c r="H71">
        <v>2</v>
      </c>
      <c r="I71" t="s">
        <v>337</v>
      </c>
      <c r="J71" t="s">
        <v>338</v>
      </c>
      <c r="K71" t="s">
        <v>339</v>
      </c>
      <c r="L71">
        <v>1368</v>
      </c>
      <c r="N71">
        <v>1011</v>
      </c>
      <c r="O71" t="s">
        <v>331</v>
      </c>
      <c r="P71" t="s">
        <v>331</v>
      </c>
      <c r="Q71">
        <v>1</v>
      </c>
      <c r="X71">
        <v>2.06</v>
      </c>
      <c r="Y71">
        <v>0</v>
      </c>
      <c r="Z71">
        <v>31.26</v>
      </c>
      <c r="AA71">
        <v>13.5</v>
      </c>
      <c r="AB71">
        <v>0</v>
      </c>
      <c r="AC71">
        <v>0</v>
      </c>
      <c r="AD71">
        <v>1</v>
      </c>
      <c r="AE71">
        <v>0</v>
      </c>
      <c r="AF71" t="s">
        <v>112</v>
      </c>
      <c r="AG71">
        <v>2.5750000000000002</v>
      </c>
      <c r="AH71">
        <v>2</v>
      </c>
      <c r="AI71">
        <v>34133138</v>
      </c>
      <c r="AJ71">
        <v>70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ROW(Source!A77)</f>
        <v>77</v>
      </c>
      <c r="B72">
        <v>34133139</v>
      </c>
      <c r="C72">
        <v>34133135</v>
      </c>
      <c r="D72">
        <v>29145213</v>
      </c>
      <c r="E72">
        <v>1</v>
      </c>
      <c r="F72">
        <v>1</v>
      </c>
      <c r="G72">
        <v>1</v>
      </c>
      <c r="H72">
        <v>3</v>
      </c>
      <c r="I72" t="s">
        <v>473</v>
      </c>
      <c r="J72" t="s">
        <v>474</v>
      </c>
      <c r="K72" t="s">
        <v>475</v>
      </c>
      <c r="L72">
        <v>1339</v>
      </c>
      <c r="N72">
        <v>1007</v>
      </c>
      <c r="O72" t="s">
        <v>182</v>
      </c>
      <c r="P72" t="s">
        <v>182</v>
      </c>
      <c r="Q72">
        <v>1</v>
      </c>
      <c r="X72">
        <v>0.1</v>
      </c>
      <c r="Y72">
        <v>517.89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0.1</v>
      </c>
      <c r="AH72">
        <v>2</v>
      </c>
      <c r="AI72">
        <v>34133139</v>
      </c>
      <c r="AJ72">
        <v>71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ROW(Source!A77)</f>
        <v>77</v>
      </c>
      <c r="B73">
        <v>34133140</v>
      </c>
      <c r="C73">
        <v>34133135</v>
      </c>
      <c r="D73">
        <v>29145216</v>
      </c>
      <c r="E73">
        <v>1</v>
      </c>
      <c r="F73">
        <v>1</v>
      </c>
      <c r="G73">
        <v>1</v>
      </c>
      <c r="H73">
        <v>3</v>
      </c>
      <c r="I73" t="s">
        <v>476</v>
      </c>
      <c r="J73" t="s">
        <v>477</v>
      </c>
      <c r="K73" t="s">
        <v>478</v>
      </c>
      <c r="L73">
        <v>1339</v>
      </c>
      <c r="N73">
        <v>1007</v>
      </c>
      <c r="O73" t="s">
        <v>182</v>
      </c>
      <c r="P73" t="s">
        <v>182</v>
      </c>
      <c r="Q73">
        <v>1</v>
      </c>
      <c r="X73">
        <v>4.3</v>
      </c>
      <c r="Y73">
        <v>477.5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4.3</v>
      </c>
      <c r="AH73">
        <v>2</v>
      </c>
      <c r="AI73">
        <v>34133140</v>
      </c>
      <c r="AJ73">
        <v>72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ROW(Source!A78)</f>
        <v>78</v>
      </c>
      <c r="B74">
        <v>36151159</v>
      </c>
      <c r="C74">
        <v>36151158</v>
      </c>
      <c r="D74">
        <v>18410171</v>
      </c>
      <c r="E74">
        <v>1</v>
      </c>
      <c r="F74">
        <v>1</v>
      </c>
      <c r="G74">
        <v>1</v>
      </c>
      <c r="H74">
        <v>1</v>
      </c>
      <c r="I74" t="s">
        <v>479</v>
      </c>
      <c r="J74" t="s">
        <v>3</v>
      </c>
      <c r="K74" t="s">
        <v>480</v>
      </c>
      <c r="L74">
        <v>1369</v>
      </c>
      <c r="N74">
        <v>1013</v>
      </c>
      <c r="O74" t="s">
        <v>323</v>
      </c>
      <c r="P74" t="s">
        <v>323</v>
      </c>
      <c r="Q74">
        <v>1</v>
      </c>
      <c r="X74">
        <v>42.9</v>
      </c>
      <c r="Y74">
        <v>0</v>
      </c>
      <c r="Z74">
        <v>0</v>
      </c>
      <c r="AA74">
        <v>0</v>
      </c>
      <c r="AB74">
        <v>292.87</v>
      </c>
      <c r="AC74">
        <v>0</v>
      </c>
      <c r="AD74">
        <v>1</v>
      </c>
      <c r="AE74">
        <v>1</v>
      </c>
      <c r="AF74" t="s">
        <v>101</v>
      </c>
      <c r="AG74">
        <v>49.334999999999994</v>
      </c>
      <c r="AH74">
        <v>2</v>
      </c>
      <c r="AI74">
        <v>36151159</v>
      </c>
      <c r="AJ74">
        <v>73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ROW(Source!A78)</f>
        <v>78</v>
      </c>
      <c r="B75">
        <v>36151160</v>
      </c>
      <c r="C75">
        <v>36151158</v>
      </c>
      <c r="D75">
        <v>121548</v>
      </c>
      <c r="E75">
        <v>1</v>
      </c>
      <c r="F75">
        <v>1</v>
      </c>
      <c r="G75">
        <v>1</v>
      </c>
      <c r="H75">
        <v>1</v>
      </c>
      <c r="I75" t="s">
        <v>28</v>
      </c>
      <c r="J75" t="s">
        <v>3</v>
      </c>
      <c r="K75" t="s">
        <v>326</v>
      </c>
      <c r="L75">
        <v>608254</v>
      </c>
      <c r="N75">
        <v>1013</v>
      </c>
      <c r="O75" t="s">
        <v>327</v>
      </c>
      <c r="P75" t="s">
        <v>327</v>
      </c>
      <c r="Q75">
        <v>1</v>
      </c>
      <c r="X75">
        <v>0.02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100</v>
      </c>
      <c r="AG75">
        <v>2.5000000000000001E-2</v>
      </c>
      <c r="AH75">
        <v>2</v>
      </c>
      <c r="AI75">
        <v>36151160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ROW(Source!A78)</f>
        <v>78</v>
      </c>
      <c r="B76">
        <v>36151161</v>
      </c>
      <c r="C76">
        <v>36151158</v>
      </c>
      <c r="D76">
        <v>29172556</v>
      </c>
      <c r="E76">
        <v>1</v>
      </c>
      <c r="F76">
        <v>1</v>
      </c>
      <c r="G76">
        <v>1</v>
      </c>
      <c r="H76">
        <v>2</v>
      </c>
      <c r="I76" t="s">
        <v>337</v>
      </c>
      <c r="J76" t="s">
        <v>338</v>
      </c>
      <c r="K76" t="s">
        <v>339</v>
      </c>
      <c r="L76">
        <v>1368</v>
      </c>
      <c r="N76">
        <v>1011</v>
      </c>
      <c r="O76" t="s">
        <v>331</v>
      </c>
      <c r="P76" t="s">
        <v>331</v>
      </c>
      <c r="Q76">
        <v>1</v>
      </c>
      <c r="X76">
        <v>0.02</v>
      </c>
      <c r="Y76">
        <v>0</v>
      </c>
      <c r="Z76">
        <v>31.26</v>
      </c>
      <c r="AA76">
        <v>13.5</v>
      </c>
      <c r="AB76">
        <v>0</v>
      </c>
      <c r="AC76">
        <v>0</v>
      </c>
      <c r="AD76">
        <v>1</v>
      </c>
      <c r="AE76">
        <v>0</v>
      </c>
      <c r="AF76" t="s">
        <v>100</v>
      </c>
      <c r="AG76">
        <v>2.5000000000000001E-2</v>
      </c>
      <c r="AH76">
        <v>2</v>
      </c>
      <c r="AI76">
        <v>36151161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ROW(Source!A78)</f>
        <v>78</v>
      </c>
      <c r="B77">
        <v>36151162</v>
      </c>
      <c r="C77">
        <v>36151158</v>
      </c>
      <c r="D77">
        <v>29174913</v>
      </c>
      <c r="E77">
        <v>1</v>
      </c>
      <c r="F77">
        <v>1</v>
      </c>
      <c r="G77">
        <v>1</v>
      </c>
      <c r="H77">
        <v>2</v>
      </c>
      <c r="I77" t="s">
        <v>342</v>
      </c>
      <c r="J77" t="s">
        <v>343</v>
      </c>
      <c r="K77" t="s">
        <v>344</v>
      </c>
      <c r="L77">
        <v>1368</v>
      </c>
      <c r="N77">
        <v>1011</v>
      </c>
      <c r="O77" t="s">
        <v>331</v>
      </c>
      <c r="P77" t="s">
        <v>331</v>
      </c>
      <c r="Q77">
        <v>1</v>
      </c>
      <c r="X77">
        <v>0.15</v>
      </c>
      <c r="Y77">
        <v>0</v>
      </c>
      <c r="Z77">
        <v>87.17</v>
      </c>
      <c r="AA77">
        <v>11.6</v>
      </c>
      <c r="AB77">
        <v>0</v>
      </c>
      <c r="AC77">
        <v>0</v>
      </c>
      <c r="AD77">
        <v>1</v>
      </c>
      <c r="AE77">
        <v>0</v>
      </c>
      <c r="AF77" t="s">
        <v>100</v>
      </c>
      <c r="AG77">
        <v>0.1875</v>
      </c>
      <c r="AH77">
        <v>2</v>
      </c>
      <c r="AI77">
        <v>36151162</v>
      </c>
      <c r="AJ77">
        <v>76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ROW(Source!A78)</f>
        <v>78</v>
      </c>
      <c r="B78">
        <v>36151163</v>
      </c>
      <c r="C78">
        <v>36151158</v>
      </c>
      <c r="D78">
        <v>29107779</v>
      </c>
      <c r="E78">
        <v>1</v>
      </c>
      <c r="F78">
        <v>1</v>
      </c>
      <c r="G78">
        <v>1</v>
      </c>
      <c r="H78">
        <v>3</v>
      </c>
      <c r="I78" t="s">
        <v>481</v>
      </c>
      <c r="J78" t="s">
        <v>482</v>
      </c>
      <c r="K78" t="s">
        <v>483</v>
      </c>
      <c r="L78">
        <v>1327</v>
      </c>
      <c r="N78">
        <v>1005</v>
      </c>
      <c r="O78" t="s">
        <v>140</v>
      </c>
      <c r="P78" t="s">
        <v>140</v>
      </c>
      <c r="Q78">
        <v>1</v>
      </c>
      <c r="X78">
        <v>0.84</v>
      </c>
      <c r="Y78">
        <v>72.31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0.84</v>
      </c>
      <c r="AH78">
        <v>2</v>
      </c>
      <c r="AI78">
        <v>36151163</v>
      </c>
      <c r="AJ78">
        <v>77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ROW(Source!A78)</f>
        <v>78</v>
      </c>
      <c r="B79">
        <v>36151164</v>
      </c>
      <c r="C79">
        <v>36151158</v>
      </c>
      <c r="D79">
        <v>29109797</v>
      </c>
      <c r="E79">
        <v>1</v>
      </c>
      <c r="F79">
        <v>1</v>
      </c>
      <c r="G79">
        <v>1</v>
      </c>
      <c r="H79">
        <v>3</v>
      </c>
      <c r="I79" t="s">
        <v>484</v>
      </c>
      <c r="J79" t="s">
        <v>485</v>
      </c>
      <c r="K79" t="s">
        <v>486</v>
      </c>
      <c r="L79">
        <v>1348</v>
      </c>
      <c r="N79">
        <v>1009</v>
      </c>
      <c r="O79" t="s">
        <v>26</v>
      </c>
      <c r="P79" t="s">
        <v>26</v>
      </c>
      <c r="Q79">
        <v>1000</v>
      </c>
      <c r="X79">
        <v>5.0999999999999997E-2</v>
      </c>
      <c r="Y79">
        <v>4294.0200000000004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5.0999999999999997E-2</v>
      </c>
      <c r="AH79">
        <v>2</v>
      </c>
      <c r="AI79">
        <v>36151164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ROW(Source!A78)</f>
        <v>78</v>
      </c>
      <c r="B80">
        <v>36151165</v>
      </c>
      <c r="C80">
        <v>36151158</v>
      </c>
      <c r="D80">
        <v>29107800</v>
      </c>
      <c r="E80">
        <v>1</v>
      </c>
      <c r="F80">
        <v>1</v>
      </c>
      <c r="G80">
        <v>1</v>
      </c>
      <c r="H80">
        <v>3</v>
      </c>
      <c r="I80" t="s">
        <v>487</v>
      </c>
      <c r="J80" t="s">
        <v>488</v>
      </c>
      <c r="K80" t="s">
        <v>489</v>
      </c>
      <c r="L80">
        <v>1346</v>
      </c>
      <c r="N80">
        <v>1009</v>
      </c>
      <c r="O80" t="s">
        <v>401</v>
      </c>
      <c r="P80" t="s">
        <v>401</v>
      </c>
      <c r="Q80">
        <v>1</v>
      </c>
      <c r="X80">
        <v>0.31</v>
      </c>
      <c r="Y80">
        <v>1.81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0.31</v>
      </c>
      <c r="AH80">
        <v>2</v>
      </c>
      <c r="AI80">
        <v>36151165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ROW(Source!A78)</f>
        <v>78</v>
      </c>
      <c r="B81">
        <v>36151166</v>
      </c>
      <c r="C81">
        <v>36151158</v>
      </c>
      <c r="D81">
        <v>29110439</v>
      </c>
      <c r="E81">
        <v>1</v>
      </c>
      <c r="F81">
        <v>1</v>
      </c>
      <c r="G81">
        <v>1</v>
      </c>
      <c r="H81">
        <v>3</v>
      </c>
      <c r="I81" t="s">
        <v>490</v>
      </c>
      <c r="J81" t="s">
        <v>491</v>
      </c>
      <c r="K81" t="s">
        <v>492</v>
      </c>
      <c r="L81">
        <v>1348</v>
      </c>
      <c r="N81">
        <v>1009</v>
      </c>
      <c r="O81" t="s">
        <v>26</v>
      </c>
      <c r="P81" t="s">
        <v>26</v>
      </c>
      <c r="Q81">
        <v>1000</v>
      </c>
      <c r="X81">
        <v>6.3E-2</v>
      </c>
      <c r="Y81">
        <v>15481.01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6.3E-2</v>
      </c>
      <c r="AH81">
        <v>2</v>
      </c>
      <c r="AI81">
        <v>36151166</v>
      </c>
      <c r="AJ81">
        <v>80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ROW(Source!A79)</f>
        <v>79</v>
      </c>
      <c r="B82">
        <v>35833275</v>
      </c>
      <c r="C82">
        <v>35833274</v>
      </c>
      <c r="D82">
        <v>18411771</v>
      </c>
      <c r="E82">
        <v>1</v>
      </c>
      <c r="F82">
        <v>1</v>
      </c>
      <c r="G82">
        <v>1</v>
      </c>
      <c r="H82">
        <v>1</v>
      </c>
      <c r="I82" t="s">
        <v>321</v>
      </c>
      <c r="J82" t="s">
        <v>3</v>
      </c>
      <c r="K82" t="s">
        <v>322</v>
      </c>
      <c r="L82">
        <v>1369</v>
      </c>
      <c r="N82">
        <v>1013</v>
      </c>
      <c r="O82" t="s">
        <v>323</v>
      </c>
      <c r="P82" t="s">
        <v>323</v>
      </c>
      <c r="Q82">
        <v>1</v>
      </c>
      <c r="X82">
        <v>0.5</v>
      </c>
      <c r="Y82">
        <v>0</v>
      </c>
      <c r="Z82">
        <v>0</v>
      </c>
      <c r="AA82">
        <v>0</v>
      </c>
      <c r="AB82">
        <v>259.24</v>
      </c>
      <c r="AC82">
        <v>0</v>
      </c>
      <c r="AD82">
        <v>1</v>
      </c>
      <c r="AE82">
        <v>1</v>
      </c>
      <c r="AF82" t="s">
        <v>101</v>
      </c>
      <c r="AG82">
        <v>0.57499999999999996</v>
      </c>
      <c r="AH82">
        <v>2</v>
      </c>
      <c r="AI82">
        <v>35833275</v>
      </c>
      <c r="AJ82">
        <v>81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ROW(Source!A79)</f>
        <v>79</v>
      </c>
      <c r="B83">
        <v>35833276</v>
      </c>
      <c r="C83">
        <v>35833274</v>
      </c>
      <c r="D83">
        <v>121548</v>
      </c>
      <c r="E83">
        <v>1</v>
      </c>
      <c r="F83">
        <v>1</v>
      </c>
      <c r="G83">
        <v>1</v>
      </c>
      <c r="H83">
        <v>1</v>
      </c>
      <c r="I83" t="s">
        <v>28</v>
      </c>
      <c r="J83" t="s">
        <v>3</v>
      </c>
      <c r="K83" t="s">
        <v>326</v>
      </c>
      <c r="L83">
        <v>608254</v>
      </c>
      <c r="N83">
        <v>1013</v>
      </c>
      <c r="O83" t="s">
        <v>327</v>
      </c>
      <c r="P83" t="s">
        <v>327</v>
      </c>
      <c r="Q83">
        <v>1</v>
      </c>
      <c r="X83">
        <v>0.21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100</v>
      </c>
      <c r="AG83">
        <v>0.26250000000000001</v>
      </c>
      <c r="AH83">
        <v>2</v>
      </c>
      <c r="AI83">
        <v>35833276</v>
      </c>
      <c r="AJ83">
        <v>82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ROW(Source!A79)</f>
        <v>79</v>
      </c>
      <c r="B84">
        <v>35833277</v>
      </c>
      <c r="C84">
        <v>35833274</v>
      </c>
      <c r="D84">
        <v>29172556</v>
      </c>
      <c r="E84">
        <v>1</v>
      </c>
      <c r="F84">
        <v>1</v>
      </c>
      <c r="G84">
        <v>1</v>
      </c>
      <c r="H84">
        <v>2</v>
      </c>
      <c r="I84" t="s">
        <v>337</v>
      </c>
      <c r="J84" t="s">
        <v>338</v>
      </c>
      <c r="K84" t="s">
        <v>339</v>
      </c>
      <c r="L84">
        <v>1368</v>
      </c>
      <c r="N84">
        <v>1011</v>
      </c>
      <c r="O84" t="s">
        <v>331</v>
      </c>
      <c r="P84" t="s">
        <v>331</v>
      </c>
      <c r="Q84">
        <v>1</v>
      </c>
      <c r="X84">
        <v>0.21</v>
      </c>
      <c r="Y84">
        <v>0</v>
      </c>
      <c r="Z84">
        <v>31.26</v>
      </c>
      <c r="AA84">
        <v>13.5</v>
      </c>
      <c r="AB84">
        <v>0</v>
      </c>
      <c r="AC84">
        <v>0</v>
      </c>
      <c r="AD84">
        <v>1</v>
      </c>
      <c r="AE84">
        <v>0</v>
      </c>
      <c r="AF84" t="s">
        <v>100</v>
      </c>
      <c r="AG84">
        <v>0.26250000000000001</v>
      </c>
      <c r="AH84">
        <v>2</v>
      </c>
      <c r="AI84">
        <v>35833277</v>
      </c>
      <c r="AJ84">
        <v>83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ROW(Source!A79)</f>
        <v>79</v>
      </c>
      <c r="B85">
        <v>35833278</v>
      </c>
      <c r="C85">
        <v>35833274</v>
      </c>
      <c r="D85">
        <v>29173152</v>
      </c>
      <c r="E85">
        <v>1</v>
      </c>
      <c r="F85">
        <v>1</v>
      </c>
      <c r="G85">
        <v>1</v>
      </c>
      <c r="H85">
        <v>2</v>
      </c>
      <c r="I85" t="s">
        <v>493</v>
      </c>
      <c r="J85" t="s">
        <v>494</v>
      </c>
      <c r="K85" t="s">
        <v>495</v>
      </c>
      <c r="L85">
        <v>1368</v>
      </c>
      <c r="N85">
        <v>1011</v>
      </c>
      <c r="O85" t="s">
        <v>331</v>
      </c>
      <c r="P85" t="s">
        <v>331</v>
      </c>
      <c r="Q85">
        <v>1</v>
      </c>
      <c r="X85">
        <v>2.3199999999999998</v>
      </c>
      <c r="Y85">
        <v>0</v>
      </c>
      <c r="Z85">
        <v>0.5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100</v>
      </c>
      <c r="AG85">
        <v>2.9</v>
      </c>
      <c r="AH85">
        <v>2</v>
      </c>
      <c r="AI85">
        <v>35833278</v>
      </c>
      <c r="AJ85">
        <v>84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ROW(Source!A79)</f>
        <v>79</v>
      </c>
      <c r="B86">
        <v>35833279</v>
      </c>
      <c r="C86">
        <v>35833274</v>
      </c>
      <c r="D86">
        <v>29145158</v>
      </c>
      <c r="E86">
        <v>1</v>
      </c>
      <c r="F86">
        <v>1</v>
      </c>
      <c r="G86">
        <v>1</v>
      </c>
      <c r="H86">
        <v>3</v>
      </c>
      <c r="I86" t="s">
        <v>496</v>
      </c>
      <c r="J86" t="s">
        <v>497</v>
      </c>
      <c r="K86" t="s">
        <v>498</v>
      </c>
      <c r="L86">
        <v>1339</v>
      </c>
      <c r="N86">
        <v>1007</v>
      </c>
      <c r="O86" t="s">
        <v>182</v>
      </c>
      <c r="P86" t="s">
        <v>182</v>
      </c>
      <c r="Q86">
        <v>1</v>
      </c>
      <c r="X86">
        <v>0.51</v>
      </c>
      <c r="Y86">
        <v>548.29999999999995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0.51</v>
      </c>
      <c r="AH86">
        <v>2</v>
      </c>
      <c r="AI86">
        <v>35833279</v>
      </c>
      <c r="AJ86">
        <v>85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ROW(Source!A80)</f>
        <v>80</v>
      </c>
      <c r="B87">
        <v>34133114</v>
      </c>
      <c r="C87">
        <v>34133113</v>
      </c>
      <c r="D87">
        <v>18410572</v>
      </c>
      <c r="E87">
        <v>1</v>
      </c>
      <c r="F87">
        <v>1</v>
      </c>
      <c r="G87">
        <v>1</v>
      </c>
      <c r="H87">
        <v>1</v>
      </c>
      <c r="I87" t="s">
        <v>354</v>
      </c>
      <c r="J87" t="s">
        <v>3</v>
      </c>
      <c r="K87" t="s">
        <v>355</v>
      </c>
      <c r="L87">
        <v>1369</v>
      </c>
      <c r="N87">
        <v>1013</v>
      </c>
      <c r="O87" t="s">
        <v>323</v>
      </c>
      <c r="P87" t="s">
        <v>323</v>
      </c>
      <c r="Q87">
        <v>1</v>
      </c>
      <c r="X87">
        <v>310.42</v>
      </c>
      <c r="Y87">
        <v>0</v>
      </c>
      <c r="Z87">
        <v>0</v>
      </c>
      <c r="AA87">
        <v>0</v>
      </c>
      <c r="AB87">
        <v>261.76</v>
      </c>
      <c r="AC87">
        <v>0</v>
      </c>
      <c r="AD87">
        <v>1</v>
      </c>
      <c r="AE87">
        <v>1</v>
      </c>
      <c r="AF87" t="s">
        <v>101</v>
      </c>
      <c r="AG87">
        <v>356.983</v>
      </c>
      <c r="AH87">
        <v>2</v>
      </c>
      <c r="AI87">
        <v>34133114</v>
      </c>
      <c r="AJ87">
        <v>86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ROW(Source!A80)</f>
        <v>80</v>
      </c>
      <c r="B88">
        <v>34133115</v>
      </c>
      <c r="C88">
        <v>34133113</v>
      </c>
      <c r="D88">
        <v>121548</v>
      </c>
      <c r="E88">
        <v>1</v>
      </c>
      <c r="F88">
        <v>1</v>
      </c>
      <c r="G88">
        <v>1</v>
      </c>
      <c r="H88">
        <v>1</v>
      </c>
      <c r="I88" t="s">
        <v>28</v>
      </c>
      <c r="J88" t="s">
        <v>3</v>
      </c>
      <c r="K88" t="s">
        <v>326</v>
      </c>
      <c r="L88">
        <v>608254</v>
      </c>
      <c r="N88">
        <v>1013</v>
      </c>
      <c r="O88" t="s">
        <v>327</v>
      </c>
      <c r="P88" t="s">
        <v>327</v>
      </c>
      <c r="Q88">
        <v>1</v>
      </c>
      <c r="X88">
        <v>1.72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100</v>
      </c>
      <c r="AG88">
        <v>2.15</v>
      </c>
      <c r="AH88">
        <v>2</v>
      </c>
      <c r="AI88">
        <v>34133115</v>
      </c>
      <c r="AJ88">
        <v>87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ROW(Source!A80)</f>
        <v>80</v>
      </c>
      <c r="B89">
        <v>34133116</v>
      </c>
      <c r="C89">
        <v>34133113</v>
      </c>
      <c r="D89">
        <v>29172267</v>
      </c>
      <c r="E89">
        <v>1</v>
      </c>
      <c r="F89">
        <v>1</v>
      </c>
      <c r="G89">
        <v>1</v>
      </c>
      <c r="H89">
        <v>2</v>
      </c>
      <c r="I89" t="s">
        <v>499</v>
      </c>
      <c r="J89" t="s">
        <v>500</v>
      </c>
      <c r="K89" t="s">
        <v>501</v>
      </c>
      <c r="L89">
        <v>1368</v>
      </c>
      <c r="N89">
        <v>1011</v>
      </c>
      <c r="O89" t="s">
        <v>331</v>
      </c>
      <c r="P89" t="s">
        <v>331</v>
      </c>
      <c r="Q89">
        <v>1</v>
      </c>
      <c r="X89">
        <v>0.02</v>
      </c>
      <c r="Y89">
        <v>0</v>
      </c>
      <c r="Z89">
        <v>83.43</v>
      </c>
      <c r="AA89">
        <v>13.5</v>
      </c>
      <c r="AB89">
        <v>0</v>
      </c>
      <c r="AC89">
        <v>0</v>
      </c>
      <c r="AD89">
        <v>1</v>
      </c>
      <c r="AE89">
        <v>0</v>
      </c>
      <c r="AF89" t="s">
        <v>100</v>
      </c>
      <c r="AG89">
        <v>2.5000000000000001E-2</v>
      </c>
      <c r="AH89">
        <v>2</v>
      </c>
      <c r="AI89">
        <v>34133116</v>
      </c>
      <c r="AJ89">
        <v>88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ROW(Source!A80)</f>
        <v>80</v>
      </c>
      <c r="B90">
        <v>34133117</v>
      </c>
      <c r="C90">
        <v>34133113</v>
      </c>
      <c r="D90">
        <v>29172378</v>
      </c>
      <c r="E90">
        <v>1</v>
      </c>
      <c r="F90">
        <v>1</v>
      </c>
      <c r="G90">
        <v>1</v>
      </c>
      <c r="H90">
        <v>2</v>
      </c>
      <c r="I90" t="s">
        <v>502</v>
      </c>
      <c r="J90" t="s">
        <v>503</v>
      </c>
      <c r="K90" t="s">
        <v>504</v>
      </c>
      <c r="L90">
        <v>1368</v>
      </c>
      <c r="N90">
        <v>1011</v>
      </c>
      <c r="O90" t="s">
        <v>331</v>
      </c>
      <c r="P90" t="s">
        <v>331</v>
      </c>
      <c r="Q90">
        <v>1</v>
      </c>
      <c r="X90">
        <v>0.01</v>
      </c>
      <c r="Y90">
        <v>0</v>
      </c>
      <c r="Z90">
        <v>88.01</v>
      </c>
      <c r="AA90">
        <v>11.6</v>
      </c>
      <c r="AB90">
        <v>0</v>
      </c>
      <c r="AC90">
        <v>0</v>
      </c>
      <c r="AD90">
        <v>1</v>
      </c>
      <c r="AE90">
        <v>0</v>
      </c>
      <c r="AF90" t="s">
        <v>100</v>
      </c>
      <c r="AG90">
        <v>1.2500000000000001E-2</v>
      </c>
      <c r="AH90">
        <v>2</v>
      </c>
      <c r="AI90">
        <v>34133117</v>
      </c>
      <c r="AJ90">
        <v>89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ROW(Source!A80)</f>
        <v>80</v>
      </c>
      <c r="B91">
        <v>34133118</v>
      </c>
      <c r="C91">
        <v>34133113</v>
      </c>
      <c r="D91">
        <v>29173141</v>
      </c>
      <c r="E91">
        <v>1</v>
      </c>
      <c r="F91">
        <v>1</v>
      </c>
      <c r="G91">
        <v>1</v>
      </c>
      <c r="H91">
        <v>2</v>
      </c>
      <c r="I91" t="s">
        <v>505</v>
      </c>
      <c r="J91" t="s">
        <v>506</v>
      </c>
      <c r="K91" t="s">
        <v>507</v>
      </c>
      <c r="L91">
        <v>1368</v>
      </c>
      <c r="N91">
        <v>1011</v>
      </c>
      <c r="O91" t="s">
        <v>331</v>
      </c>
      <c r="P91" t="s">
        <v>331</v>
      </c>
      <c r="Q91">
        <v>1</v>
      </c>
      <c r="X91">
        <v>1.69</v>
      </c>
      <c r="Y91">
        <v>0</v>
      </c>
      <c r="Z91">
        <v>12.4</v>
      </c>
      <c r="AA91">
        <v>10.06</v>
      </c>
      <c r="AB91">
        <v>0</v>
      </c>
      <c r="AC91">
        <v>0</v>
      </c>
      <c r="AD91">
        <v>1</v>
      </c>
      <c r="AE91">
        <v>0</v>
      </c>
      <c r="AF91" t="s">
        <v>100</v>
      </c>
      <c r="AG91">
        <v>2.1124999999999998</v>
      </c>
      <c r="AH91">
        <v>2</v>
      </c>
      <c r="AI91">
        <v>34133118</v>
      </c>
      <c r="AJ91">
        <v>90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ROW(Source!A80)</f>
        <v>80</v>
      </c>
      <c r="B92">
        <v>34133119</v>
      </c>
      <c r="C92">
        <v>34133113</v>
      </c>
      <c r="D92">
        <v>29174638</v>
      </c>
      <c r="E92">
        <v>1</v>
      </c>
      <c r="F92">
        <v>1</v>
      </c>
      <c r="G92">
        <v>1</v>
      </c>
      <c r="H92">
        <v>2</v>
      </c>
      <c r="I92" t="s">
        <v>508</v>
      </c>
      <c r="J92" t="s">
        <v>509</v>
      </c>
      <c r="K92" t="s">
        <v>510</v>
      </c>
      <c r="L92">
        <v>1368</v>
      </c>
      <c r="N92">
        <v>1011</v>
      </c>
      <c r="O92" t="s">
        <v>331</v>
      </c>
      <c r="P92" t="s">
        <v>331</v>
      </c>
      <c r="Q92">
        <v>1</v>
      </c>
      <c r="X92">
        <v>0.05</v>
      </c>
      <c r="Y92">
        <v>0</v>
      </c>
      <c r="Z92">
        <v>9.9700000000000006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100</v>
      </c>
      <c r="AG92">
        <v>6.25E-2</v>
      </c>
      <c r="AH92">
        <v>2</v>
      </c>
      <c r="AI92">
        <v>34133119</v>
      </c>
      <c r="AJ92">
        <v>91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ROW(Source!A80)</f>
        <v>80</v>
      </c>
      <c r="B93">
        <v>34133120</v>
      </c>
      <c r="C93">
        <v>34133113</v>
      </c>
      <c r="D93">
        <v>29174913</v>
      </c>
      <c r="E93">
        <v>1</v>
      </c>
      <c r="F93">
        <v>1</v>
      </c>
      <c r="G93">
        <v>1</v>
      </c>
      <c r="H93">
        <v>2</v>
      </c>
      <c r="I93" t="s">
        <v>342</v>
      </c>
      <c r="J93" t="s">
        <v>343</v>
      </c>
      <c r="K93" t="s">
        <v>344</v>
      </c>
      <c r="L93">
        <v>1368</v>
      </c>
      <c r="N93">
        <v>1011</v>
      </c>
      <c r="O93" t="s">
        <v>331</v>
      </c>
      <c r="P93" t="s">
        <v>331</v>
      </c>
      <c r="Q93">
        <v>1</v>
      </c>
      <c r="X93">
        <v>0.01</v>
      </c>
      <c r="Y93">
        <v>0</v>
      </c>
      <c r="Z93">
        <v>87.17</v>
      </c>
      <c r="AA93">
        <v>11.6</v>
      </c>
      <c r="AB93">
        <v>0</v>
      </c>
      <c r="AC93">
        <v>0</v>
      </c>
      <c r="AD93">
        <v>1</v>
      </c>
      <c r="AE93">
        <v>0</v>
      </c>
      <c r="AF93" t="s">
        <v>100</v>
      </c>
      <c r="AG93">
        <v>1.2500000000000001E-2</v>
      </c>
      <c r="AH93">
        <v>2</v>
      </c>
      <c r="AI93">
        <v>34133120</v>
      </c>
      <c r="AJ93">
        <v>92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ROW(Source!A80)</f>
        <v>80</v>
      </c>
      <c r="B94">
        <v>34133121</v>
      </c>
      <c r="C94">
        <v>34133113</v>
      </c>
      <c r="D94">
        <v>29107863</v>
      </c>
      <c r="E94">
        <v>1</v>
      </c>
      <c r="F94">
        <v>1</v>
      </c>
      <c r="G94">
        <v>1</v>
      </c>
      <c r="H94">
        <v>3</v>
      </c>
      <c r="I94" t="s">
        <v>511</v>
      </c>
      <c r="J94" t="s">
        <v>512</v>
      </c>
      <c r="K94" t="s">
        <v>513</v>
      </c>
      <c r="L94">
        <v>1348</v>
      </c>
      <c r="N94">
        <v>1009</v>
      </c>
      <c r="O94" t="s">
        <v>26</v>
      </c>
      <c r="P94" t="s">
        <v>26</v>
      </c>
      <c r="Q94">
        <v>1000</v>
      </c>
      <c r="X94">
        <v>1.2999999999999999E-2</v>
      </c>
      <c r="Y94">
        <v>6532.53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1.2999999999999999E-2</v>
      </c>
      <c r="AH94">
        <v>2</v>
      </c>
      <c r="AI94">
        <v>34133121</v>
      </c>
      <c r="AJ94">
        <v>93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ROW(Source!A80)</f>
        <v>80</v>
      </c>
      <c r="B95">
        <v>34133122</v>
      </c>
      <c r="C95">
        <v>34133113</v>
      </c>
      <c r="D95">
        <v>29109437</v>
      </c>
      <c r="E95">
        <v>1</v>
      </c>
      <c r="F95">
        <v>1</v>
      </c>
      <c r="G95">
        <v>1</v>
      </c>
      <c r="H95">
        <v>3</v>
      </c>
      <c r="I95" t="s">
        <v>514</v>
      </c>
      <c r="J95" t="s">
        <v>515</v>
      </c>
      <c r="K95" t="s">
        <v>516</v>
      </c>
      <c r="L95">
        <v>1346</v>
      </c>
      <c r="N95">
        <v>1009</v>
      </c>
      <c r="O95" t="s">
        <v>401</v>
      </c>
      <c r="P95" t="s">
        <v>401</v>
      </c>
      <c r="Q95">
        <v>1</v>
      </c>
      <c r="X95">
        <v>1200</v>
      </c>
      <c r="Y95">
        <v>3.86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1200</v>
      </c>
      <c r="AH95">
        <v>2</v>
      </c>
      <c r="AI95">
        <v>34133122</v>
      </c>
      <c r="AJ95">
        <v>94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ROW(Source!A80)</f>
        <v>80</v>
      </c>
      <c r="B96">
        <v>34133123</v>
      </c>
      <c r="C96">
        <v>34133113</v>
      </c>
      <c r="D96">
        <v>29109880</v>
      </c>
      <c r="E96">
        <v>1</v>
      </c>
      <c r="F96">
        <v>1</v>
      </c>
      <c r="G96">
        <v>1</v>
      </c>
      <c r="H96">
        <v>3</v>
      </c>
      <c r="I96" t="s">
        <v>517</v>
      </c>
      <c r="J96" t="s">
        <v>518</v>
      </c>
      <c r="K96" t="s">
        <v>519</v>
      </c>
      <c r="L96">
        <v>1327</v>
      </c>
      <c r="N96">
        <v>1005</v>
      </c>
      <c r="O96" t="s">
        <v>140</v>
      </c>
      <c r="P96" t="s">
        <v>140</v>
      </c>
      <c r="Q96">
        <v>1</v>
      </c>
      <c r="X96">
        <v>102</v>
      </c>
      <c r="Y96">
        <v>145.63999999999999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102</v>
      </c>
      <c r="AH96">
        <v>2</v>
      </c>
      <c r="AI96">
        <v>34133123</v>
      </c>
      <c r="AJ96">
        <v>95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ROW(Source!A80)</f>
        <v>80</v>
      </c>
      <c r="B97">
        <v>34133124</v>
      </c>
      <c r="C97">
        <v>34133113</v>
      </c>
      <c r="D97">
        <v>29109265</v>
      </c>
      <c r="E97">
        <v>1</v>
      </c>
      <c r="F97">
        <v>1</v>
      </c>
      <c r="G97">
        <v>1</v>
      </c>
      <c r="H97">
        <v>3</v>
      </c>
      <c r="I97" t="s">
        <v>599</v>
      </c>
      <c r="J97" t="s">
        <v>600</v>
      </c>
      <c r="K97" t="s">
        <v>601</v>
      </c>
      <c r="L97">
        <v>1348</v>
      </c>
      <c r="N97">
        <v>1009</v>
      </c>
      <c r="O97" t="s">
        <v>26</v>
      </c>
      <c r="P97" t="s">
        <v>26</v>
      </c>
      <c r="Q97">
        <v>1000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 t="s">
        <v>3</v>
      </c>
      <c r="AG97">
        <v>0</v>
      </c>
      <c r="AH97">
        <v>3</v>
      </c>
      <c r="AI97">
        <v>-1</v>
      </c>
      <c r="AJ97" t="s">
        <v>3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ROW(Source!A80)</f>
        <v>80</v>
      </c>
      <c r="B98">
        <v>34133125</v>
      </c>
      <c r="C98">
        <v>34133113</v>
      </c>
      <c r="D98">
        <v>29131294</v>
      </c>
      <c r="E98">
        <v>1</v>
      </c>
      <c r="F98">
        <v>1</v>
      </c>
      <c r="G98">
        <v>1</v>
      </c>
      <c r="H98">
        <v>3</v>
      </c>
      <c r="I98" t="s">
        <v>602</v>
      </c>
      <c r="J98" t="s">
        <v>603</v>
      </c>
      <c r="K98" t="s">
        <v>604</v>
      </c>
      <c r="L98">
        <v>1339</v>
      </c>
      <c r="N98">
        <v>1007</v>
      </c>
      <c r="O98" t="s">
        <v>182</v>
      </c>
      <c r="P98" t="s">
        <v>182</v>
      </c>
      <c r="Q98">
        <v>1</v>
      </c>
      <c r="X98">
        <v>0.01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3</v>
      </c>
      <c r="AG98">
        <v>0.01</v>
      </c>
      <c r="AH98">
        <v>3</v>
      </c>
      <c r="AI98">
        <v>-1</v>
      </c>
      <c r="AJ98" t="s">
        <v>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ROW(Source!A80)</f>
        <v>80</v>
      </c>
      <c r="B99">
        <v>34133126</v>
      </c>
      <c r="C99">
        <v>34133113</v>
      </c>
      <c r="D99">
        <v>29150040</v>
      </c>
      <c r="E99">
        <v>1</v>
      </c>
      <c r="F99">
        <v>1</v>
      </c>
      <c r="G99">
        <v>1</v>
      </c>
      <c r="H99">
        <v>3</v>
      </c>
      <c r="I99" t="s">
        <v>520</v>
      </c>
      <c r="J99" t="s">
        <v>521</v>
      </c>
      <c r="K99" t="s">
        <v>522</v>
      </c>
      <c r="L99">
        <v>1339</v>
      </c>
      <c r="N99">
        <v>1007</v>
      </c>
      <c r="O99" t="s">
        <v>182</v>
      </c>
      <c r="P99" t="s">
        <v>182</v>
      </c>
      <c r="Q99">
        <v>1</v>
      </c>
      <c r="X99">
        <v>0.44</v>
      </c>
      <c r="Y99">
        <v>2.44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0.44</v>
      </c>
      <c r="AH99">
        <v>2</v>
      </c>
      <c r="AI99">
        <v>34133126</v>
      </c>
      <c r="AJ99">
        <v>96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ROW(Source!A81)</f>
        <v>81</v>
      </c>
      <c r="B100">
        <v>36151470</v>
      </c>
      <c r="C100">
        <v>36151257</v>
      </c>
      <c r="D100">
        <v>18406804</v>
      </c>
      <c r="E100">
        <v>1</v>
      </c>
      <c r="F100">
        <v>1</v>
      </c>
      <c r="G100">
        <v>1</v>
      </c>
      <c r="H100">
        <v>1</v>
      </c>
      <c r="I100" t="s">
        <v>523</v>
      </c>
      <c r="J100" t="s">
        <v>3</v>
      </c>
      <c r="K100" t="s">
        <v>524</v>
      </c>
      <c r="L100">
        <v>1369</v>
      </c>
      <c r="N100">
        <v>1013</v>
      </c>
      <c r="O100" t="s">
        <v>323</v>
      </c>
      <c r="P100" t="s">
        <v>323</v>
      </c>
      <c r="Q100">
        <v>1</v>
      </c>
      <c r="X100">
        <v>154</v>
      </c>
      <c r="Y100">
        <v>0</v>
      </c>
      <c r="Z100">
        <v>0</v>
      </c>
      <c r="AA100">
        <v>0</v>
      </c>
      <c r="AB100">
        <v>254.67</v>
      </c>
      <c r="AC100">
        <v>0</v>
      </c>
      <c r="AD100">
        <v>1</v>
      </c>
      <c r="AE100">
        <v>1</v>
      </c>
      <c r="AF100" t="s">
        <v>101</v>
      </c>
      <c r="AG100">
        <v>177.1</v>
      </c>
      <c r="AH100">
        <v>2</v>
      </c>
      <c r="AI100">
        <v>36151470</v>
      </c>
      <c r="AJ100">
        <v>97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ROW(Source!A82)</f>
        <v>82</v>
      </c>
      <c r="B101">
        <v>36151341</v>
      </c>
      <c r="C101">
        <v>36151340</v>
      </c>
      <c r="D101">
        <v>18408066</v>
      </c>
      <c r="E101">
        <v>1</v>
      </c>
      <c r="F101">
        <v>1</v>
      </c>
      <c r="G101">
        <v>1</v>
      </c>
      <c r="H101">
        <v>1</v>
      </c>
      <c r="I101" t="s">
        <v>324</v>
      </c>
      <c r="J101" t="s">
        <v>3</v>
      </c>
      <c r="K101" t="s">
        <v>325</v>
      </c>
      <c r="L101">
        <v>1369</v>
      </c>
      <c r="N101">
        <v>1013</v>
      </c>
      <c r="O101" t="s">
        <v>323</v>
      </c>
      <c r="P101" t="s">
        <v>323</v>
      </c>
      <c r="Q101">
        <v>1</v>
      </c>
      <c r="X101">
        <v>15.72</v>
      </c>
      <c r="Y101">
        <v>0</v>
      </c>
      <c r="Z101">
        <v>0</v>
      </c>
      <c r="AA101">
        <v>0</v>
      </c>
      <c r="AB101">
        <v>261.85000000000002</v>
      </c>
      <c r="AC101">
        <v>0</v>
      </c>
      <c r="AD101">
        <v>1</v>
      </c>
      <c r="AE101">
        <v>1</v>
      </c>
      <c r="AF101" t="s">
        <v>101</v>
      </c>
      <c r="AG101">
        <v>18.077999999999999</v>
      </c>
      <c r="AH101">
        <v>2</v>
      </c>
      <c r="AI101">
        <v>36151341</v>
      </c>
      <c r="AJ101">
        <v>98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ROW(Source!A82)</f>
        <v>82</v>
      </c>
      <c r="B102">
        <v>36151342</v>
      </c>
      <c r="C102">
        <v>36151340</v>
      </c>
      <c r="D102">
        <v>121548</v>
      </c>
      <c r="E102">
        <v>1</v>
      </c>
      <c r="F102">
        <v>1</v>
      </c>
      <c r="G102">
        <v>1</v>
      </c>
      <c r="H102">
        <v>1</v>
      </c>
      <c r="I102" t="s">
        <v>28</v>
      </c>
      <c r="J102" t="s">
        <v>3</v>
      </c>
      <c r="K102" t="s">
        <v>326</v>
      </c>
      <c r="L102">
        <v>608254</v>
      </c>
      <c r="N102">
        <v>1013</v>
      </c>
      <c r="O102" t="s">
        <v>327</v>
      </c>
      <c r="P102" t="s">
        <v>327</v>
      </c>
      <c r="Q102">
        <v>1</v>
      </c>
      <c r="X102">
        <v>13.88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2</v>
      </c>
      <c r="AF102" t="s">
        <v>100</v>
      </c>
      <c r="AG102">
        <v>17.350000000000001</v>
      </c>
      <c r="AH102">
        <v>2</v>
      </c>
      <c r="AI102">
        <v>36151342</v>
      </c>
      <c r="AJ102">
        <v>99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ROW(Source!A82)</f>
        <v>82</v>
      </c>
      <c r="B103">
        <v>36151343</v>
      </c>
      <c r="C103">
        <v>36151340</v>
      </c>
      <c r="D103">
        <v>29172479</v>
      </c>
      <c r="E103">
        <v>1</v>
      </c>
      <c r="F103">
        <v>1</v>
      </c>
      <c r="G103">
        <v>1</v>
      </c>
      <c r="H103">
        <v>2</v>
      </c>
      <c r="I103" t="s">
        <v>525</v>
      </c>
      <c r="J103" t="s">
        <v>526</v>
      </c>
      <c r="K103" t="s">
        <v>527</v>
      </c>
      <c r="L103">
        <v>1368</v>
      </c>
      <c r="N103">
        <v>1011</v>
      </c>
      <c r="O103" t="s">
        <v>331</v>
      </c>
      <c r="P103" t="s">
        <v>331</v>
      </c>
      <c r="Q103">
        <v>1</v>
      </c>
      <c r="X103">
        <v>4.29</v>
      </c>
      <c r="Y103">
        <v>0</v>
      </c>
      <c r="Z103">
        <v>99.89</v>
      </c>
      <c r="AA103">
        <v>10.06</v>
      </c>
      <c r="AB103">
        <v>0</v>
      </c>
      <c r="AC103">
        <v>0</v>
      </c>
      <c r="AD103">
        <v>1</v>
      </c>
      <c r="AE103">
        <v>0</v>
      </c>
      <c r="AF103" t="s">
        <v>100</v>
      </c>
      <c r="AG103">
        <v>5.3624999999999998</v>
      </c>
      <c r="AH103">
        <v>2</v>
      </c>
      <c r="AI103">
        <v>36151343</v>
      </c>
      <c r="AJ103">
        <v>100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ROW(Source!A82)</f>
        <v>82</v>
      </c>
      <c r="B104">
        <v>36151344</v>
      </c>
      <c r="C104">
        <v>36151340</v>
      </c>
      <c r="D104">
        <v>29173182</v>
      </c>
      <c r="E104">
        <v>1</v>
      </c>
      <c r="F104">
        <v>1</v>
      </c>
      <c r="G104">
        <v>1</v>
      </c>
      <c r="H104">
        <v>2</v>
      </c>
      <c r="I104" t="s">
        <v>528</v>
      </c>
      <c r="J104" t="s">
        <v>529</v>
      </c>
      <c r="K104" t="s">
        <v>530</v>
      </c>
      <c r="L104">
        <v>1368</v>
      </c>
      <c r="N104">
        <v>1011</v>
      </c>
      <c r="O104" t="s">
        <v>331</v>
      </c>
      <c r="P104" t="s">
        <v>331</v>
      </c>
      <c r="Q104">
        <v>1</v>
      </c>
      <c r="X104">
        <v>1.77</v>
      </c>
      <c r="Y104">
        <v>0</v>
      </c>
      <c r="Z104">
        <v>123</v>
      </c>
      <c r="AA104">
        <v>13.5</v>
      </c>
      <c r="AB104">
        <v>0</v>
      </c>
      <c r="AC104">
        <v>0</v>
      </c>
      <c r="AD104">
        <v>1</v>
      </c>
      <c r="AE104">
        <v>0</v>
      </c>
      <c r="AF104" t="s">
        <v>100</v>
      </c>
      <c r="AG104">
        <v>2.2124999999999999</v>
      </c>
      <c r="AH104">
        <v>2</v>
      </c>
      <c r="AI104">
        <v>36151344</v>
      </c>
      <c r="AJ104">
        <v>101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ROW(Source!A82)</f>
        <v>82</v>
      </c>
      <c r="B105">
        <v>36151345</v>
      </c>
      <c r="C105">
        <v>36151340</v>
      </c>
      <c r="D105">
        <v>29173232</v>
      </c>
      <c r="E105">
        <v>1</v>
      </c>
      <c r="F105">
        <v>1</v>
      </c>
      <c r="G105">
        <v>1</v>
      </c>
      <c r="H105">
        <v>2</v>
      </c>
      <c r="I105" t="s">
        <v>531</v>
      </c>
      <c r="J105" t="s">
        <v>532</v>
      </c>
      <c r="K105" t="s">
        <v>533</v>
      </c>
      <c r="L105">
        <v>1368</v>
      </c>
      <c r="N105">
        <v>1011</v>
      </c>
      <c r="O105" t="s">
        <v>331</v>
      </c>
      <c r="P105" t="s">
        <v>331</v>
      </c>
      <c r="Q105">
        <v>1</v>
      </c>
      <c r="X105">
        <v>7.08</v>
      </c>
      <c r="Y105">
        <v>0</v>
      </c>
      <c r="Z105">
        <v>206.01</v>
      </c>
      <c r="AA105">
        <v>14.4</v>
      </c>
      <c r="AB105">
        <v>0</v>
      </c>
      <c r="AC105">
        <v>0</v>
      </c>
      <c r="AD105">
        <v>1</v>
      </c>
      <c r="AE105">
        <v>0</v>
      </c>
      <c r="AF105" t="s">
        <v>100</v>
      </c>
      <c r="AG105">
        <v>8.85</v>
      </c>
      <c r="AH105">
        <v>2</v>
      </c>
      <c r="AI105">
        <v>36151345</v>
      </c>
      <c r="AJ105">
        <v>102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ROW(Source!A82)</f>
        <v>82</v>
      </c>
      <c r="B106">
        <v>36151346</v>
      </c>
      <c r="C106">
        <v>36151340</v>
      </c>
      <c r="D106">
        <v>29173290</v>
      </c>
      <c r="E106">
        <v>1</v>
      </c>
      <c r="F106">
        <v>1</v>
      </c>
      <c r="G106">
        <v>1</v>
      </c>
      <c r="H106">
        <v>2</v>
      </c>
      <c r="I106" t="s">
        <v>534</v>
      </c>
      <c r="J106" t="s">
        <v>535</v>
      </c>
      <c r="K106" t="s">
        <v>536</v>
      </c>
      <c r="L106">
        <v>1368</v>
      </c>
      <c r="N106">
        <v>1011</v>
      </c>
      <c r="O106" t="s">
        <v>331</v>
      </c>
      <c r="P106" t="s">
        <v>331</v>
      </c>
      <c r="Q106">
        <v>1</v>
      </c>
      <c r="X106">
        <v>0.74</v>
      </c>
      <c r="Y106">
        <v>0</v>
      </c>
      <c r="Z106">
        <v>110</v>
      </c>
      <c r="AA106">
        <v>11.6</v>
      </c>
      <c r="AB106">
        <v>0</v>
      </c>
      <c r="AC106">
        <v>0</v>
      </c>
      <c r="AD106">
        <v>1</v>
      </c>
      <c r="AE106">
        <v>0</v>
      </c>
      <c r="AF106" t="s">
        <v>100</v>
      </c>
      <c r="AG106">
        <v>0.92500000000000004</v>
      </c>
      <c r="AH106">
        <v>2</v>
      </c>
      <c r="AI106">
        <v>36151346</v>
      </c>
      <c r="AJ106">
        <v>103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ROW(Source!A82)</f>
        <v>82</v>
      </c>
      <c r="B107">
        <v>36151347</v>
      </c>
      <c r="C107">
        <v>36151340</v>
      </c>
      <c r="D107">
        <v>29149598</v>
      </c>
      <c r="E107">
        <v>1</v>
      </c>
      <c r="F107">
        <v>1</v>
      </c>
      <c r="G107">
        <v>1</v>
      </c>
      <c r="H107">
        <v>3</v>
      </c>
      <c r="I107" t="s">
        <v>605</v>
      </c>
      <c r="J107" t="s">
        <v>606</v>
      </c>
      <c r="K107" t="s">
        <v>607</v>
      </c>
      <c r="L107">
        <v>1339</v>
      </c>
      <c r="N107">
        <v>1007</v>
      </c>
      <c r="O107" t="s">
        <v>182</v>
      </c>
      <c r="P107" t="s">
        <v>182</v>
      </c>
      <c r="Q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 t="s">
        <v>3</v>
      </c>
      <c r="AG107">
        <v>0</v>
      </c>
      <c r="AH107">
        <v>3</v>
      </c>
      <c r="AI107">
        <v>-1</v>
      </c>
      <c r="AJ107" t="s">
        <v>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ROW(Source!A82)</f>
        <v>82</v>
      </c>
      <c r="B108">
        <v>36151348</v>
      </c>
      <c r="C108">
        <v>36151340</v>
      </c>
      <c r="D108">
        <v>29150040</v>
      </c>
      <c r="E108">
        <v>1</v>
      </c>
      <c r="F108">
        <v>1</v>
      </c>
      <c r="G108">
        <v>1</v>
      </c>
      <c r="H108">
        <v>3</v>
      </c>
      <c r="I108" t="s">
        <v>520</v>
      </c>
      <c r="J108" t="s">
        <v>521</v>
      </c>
      <c r="K108" t="s">
        <v>522</v>
      </c>
      <c r="L108">
        <v>1339</v>
      </c>
      <c r="N108">
        <v>1007</v>
      </c>
      <c r="O108" t="s">
        <v>182</v>
      </c>
      <c r="P108" t="s">
        <v>182</v>
      </c>
      <c r="Q108">
        <v>1</v>
      </c>
      <c r="X108">
        <v>5</v>
      </c>
      <c r="Y108">
        <v>2.44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5</v>
      </c>
      <c r="AH108">
        <v>2</v>
      </c>
      <c r="AI108">
        <v>36151348</v>
      </c>
      <c r="AJ108">
        <v>105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ROW(Source!A84)</f>
        <v>84</v>
      </c>
      <c r="B109">
        <v>36167836</v>
      </c>
      <c r="C109">
        <v>36167822</v>
      </c>
      <c r="D109">
        <v>18408291</v>
      </c>
      <c r="E109">
        <v>1</v>
      </c>
      <c r="F109">
        <v>1</v>
      </c>
      <c r="G109">
        <v>1</v>
      </c>
      <c r="H109">
        <v>1</v>
      </c>
      <c r="I109" t="s">
        <v>537</v>
      </c>
      <c r="J109" t="s">
        <v>3</v>
      </c>
      <c r="K109" t="s">
        <v>538</v>
      </c>
      <c r="L109">
        <v>1369</v>
      </c>
      <c r="N109">
        <v>1013</v>
      </c>
      <c r="O109" t="s">
        <v>323</v>
      </c>
      <c r="P109" t="s">
        <v>323</v>
      </c>
      <c r="Q109">
        <v>1</v>
      </c>
      <c r="X109">
        <v>42.4</v>
      </c>
      <c r="Y109">
        <v>0</v>
      </c>
      <c r="Z109">
        <v>0</v>
      </c>
      <c r="AA109">
        <v>0</v>
      </c>
      <c r="AB109">
        <v>266.75</v>
      </c>
      <c r="AC109">
        <v>0</v>
      </c>
      <c r="AD109">
        <v>1</v>
      </c>
      <c r="AE109">
        <v>1</v>
      </c>
      <c r="AF109" t="s">
        <v>101</v>
      </c>
      <c r="AG109">
        <v>48.76</v>
      </c>
      <c r="AH109">
        <v>2</v>
      </c>
      <c r="AI109">
        <v>36167836</v>
      </c>
      <c r="AJ109">
        <v>106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ROW(Source!A84)</f>
        <v>84</v>
      </c>
      <c r="B110">
        <v>36167837</v>
      </c>
      <c r="C110">
        <v>36167822</v>
      </c>
      <c r="D110">
        <v>121548</v>
      </c>
      <c r="E110">
        <v>1</v>
      </c>
      <c r="F110">
        <v>1</v>
      </c>
      <c r="G110">
        <v>1</v>
      </c>
      <c r="H110">
        <v>1</v>
      </c>
      <c r="I110" t="s">
        <v>28</v>
      </c>
      <c r="J110" t="s">
        <v>3</v>
      </c>
      <c r="K110" t="s">
        <v>326</v>
      </c>
      <c r="L110">
        <v>608254</v>
      </c>
      <c r="N110">
        <v>1013</v>
      </c>
      <c r="O110" t="s">
        <v>327</v>
      </c>
      <c r="P110" t="s">
        <v>327</v>
      </c>
      <c r="Q110">
        <v>1</v>
      </c>
      <c r="X110">
        <v>0.42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2</v>
      </c>
      <c r="AF110" t="s">
        <v>100</v>
      </c>
      <c r="AG110">
        <v>0.52500000000000002</v>
      </c>
      <c r="AH110">
        <v>2</v>
      </c>
      <c r="AI110">
        <v>36167837</v>
      </c>
      <c r="AJ110">
        <v>107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ROW(Source!A84)</f>
        <v>84</v>
      </c>
      <c r="B111">
        <v>36167838</v>
      </c>
      <c r="C111">
        <v>36167822</v>
      </c>
      <c r="D111">
        <v>29172379</v>
      </c>
      <c r="E111">
        <v>1</v>
      </c>
      <c r="F111">
        <v>1</v>
      </c>
      <c r="G111">
        <v>1</v>
      </c>
      <c r="H111">
        <v>2</v>
      </c>
      <c r="I111" t="s">
        <v>359</v>
      </c>
      <c r="J111" t="s">
        <v>360</v>
      </c>
      <c r="K111" t="s">
        <v>361</v>
      </c>
      <c r="L111">
        <v>1368</v>
      </c>
      <c r="N111">
        <v>1011</v>
      </c>
      <c r="O111" t="s">
        <v>331</v>
      </c>
      <c r="P111" t="s">
        <v>331</v>
      </c>
      <c r="Q111">
        <v>1</v>
      </c>
      <c r="X111">
        <v>0.41</v>
      </c>
      <c r="Y111">
        <v>0</v>
      </c>
      <c r="Z111">
        <v>112</v>
      </c>
      <c r="AA111">
        <v>13.5</v>
      </c>
      <c r="AB111">
        <v>0</v>
      </c>
      <c r="AC111">
        <v>0</v>
      </c>
      <c r="AD111">
        <v>1</v>
      </c>
      <c r="AE111">
        <v>0</v>
      </c>
      <c r="AF111" t="s">
        <v>100</v>
      </c>
      <c r="AG111">
        <v>0.51249999999999996</v>
      </c>
      <c r="AH111">
        <v>2</v>
      </c>
      <c r="AI111">
        <v>36167838</v>
      </c>
      <c r="AJ111">
        <v>108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ROW(Source!A84)</f>
        <v>84</v>
      </c>
      <c r="B112">
        <v>36167839</v>
      </c>
      <c r="C112">
        <v>36167822</v>
      </c>
      <c r="D112">
        <v>29172479</v>
      </c>
      <c r="E112">
        <v>1</v>
      </c>
      <c r="F112">
        <v>1</v>
      </c>
      <c r="G112">
        <v>1</v>
      </c>
      <c r="H112">
        <v>2</v>
      </c>
      <c r="I112" t="s">
        <v>525</v>
      </c>
      <c r="J112" t="s">
        <v>526</v>
      </c>
      <c r="K112" t="s">
        <v>527</v>
      </c>
      <c r="L112">
        <v>1368</v>
      </c>
      <c r="N112">
        <v>1011</v>
      </c>
      <c r="O112" t="s">
        <v>331</v>
      </c>
      <c r="P112" t="s">
        <v>331</v>
      </c>
      <c r="Q112">
        <v>1</v>
      </c>
      <c r="X112">
        <v>0.01</v>
      </c>
      <c r="Y112">
        <v>0</v>
      </c>
      <c r="Z112">
        <v>99.89</v>
      </c>
      <c r="AA112">
        <v>10.06</v>
      </c>
      <c r="AB112">
        <v>0</v>
      </c>
      <c r="AC112">
        <v>0</v>
      </c>
      <c r="AD112">
        <v>1</v>
      </c>
      <c r="AE112">
        <v>0</v>
      </c>
      <c r="AF112" t="s">
        <v>100</v>
      </c>
      <c r="AG112">
        <v>1.2500000000000001E-2</v>
      </c>
      <c r="AH112">
        <v>2</v>
      </c>
      <c r="AI112">
        <v>36167839</v>
      </c>
      <c r="AJ112">
        <v>109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ROW(Source!A84)</f>
        <v>84</v>
      </c>
      <c r="B113">
        <v>36167840</v>
      </c>
      <c r="C113">
        <v>36167822</v>
      </c>
      <c r="D113">
        <v>29173360</v>
      </c>
      <c r="E113">
        <v>1</v>
      </c>
      <c r="F113">
        <v>1</v>
      </c>
      <c r="G113">
        <v>1</v>
      </c>
      <c r="H113">
        <v>2</v>
      </c>
      <c r="I113" t="s">
        <v>539</v>
      </c>
      <c r="J113" t="s">
        <v>540</v>
      </c>
      <c r="K113" t="s">
        <v>541</v>
      </c>
      <c r="L113">
        <v>1368</v>
      </c>
      <c r="N113">
        <v>1011</v>
      </c>
      <c r="O113" t="s">
        <v>331</v>
      </c>
      <c r="P113" t="s">
        <v>331</v>
      </c>
      <c r="Q113">
        <v>1</v>
      </c>
      <c r="X113">
        <v>5.13</v>
      </c>
      <c r="Y113">
        <v>0</v>
      </c>
      <c r="Z113">
        <v>60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100</v>
      </c>
      <c r="AG113">
        <v>6.4124999999999996</v>
      </c>
      <c r="AH113">
        <v>2</v>
      </c>
      <c r="AI113">
        <v>36167840</v>
      </c>
      <c r="AJ113">
        <v>110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ROW(Source!A84)</f>
        <v>84</v>
      </c>
      <c r="B114">
        <v>36167841</v>
      </c>
      <c r="C114">
        <v>36167822</v>
      </c>
      <c r="D114">
        <v>29174913</v>
      </c>
      <c r="E114">
        <v>1</v>
      </c>
      <c r="F114">
        <v>1</v>
      </c>
      <c r="G114">
        <v>1</v>
      </c>
      <c r="H114">
        <v>2</v>
      </c>
      <c r="I114" t="s">
        <v>342</v>
      </c>
      <c r="J114" t="s">
        <v>343</v>
      </c>
      <c r="K114" t="s">
        <v>344</v>
      </c>
      <c r="L114">
        <v>1368</v>
      </c>
      <c r="N114">
        <v>1011</v>
      </c>
      <c r="O114" t="s">
        <v>331</v>
      </c>
      <c r="P114" t="s">
        <v>331</v>
      </c>
      <c r="Q114">
        <v>1</v>
      </c>
      <c r="X114">
        <v>0.56000000000000005</v>
      </c>
      <c r="Y114">
        <v>0</v>
      </c>
      <c r="Z114">
        <v>87.17</v>
      </c>
      <c r="AA114">
        <v>11.6</v>
      </c>
      <c r="AB114">
        <v>0</v>
      </c>
      <c r="AC114">
        <v>0</v>
      </c>
      <c r="AD114">
        <v>1</v>
      </c>
      <c r="AE114">
        <v>0</v>
      </c>
      <c r="AF114" t="s">
        <v>100</v>
      </c>
      <c r="AG114">
        <v>0.70000000000000007</v>
      </c>
      <c r="AH114">
        <v>2</v>
      </c>
      <c r="AI114">
        <v>36167841</v>
      </c>
      <c r="AJ114">
        <v>111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ROW(Source!A84)</f>
        <v>84</v>
      </c>
      <c r="B115">
        <v>36167842</v>
      </c>
      <c r="C115">
        <v>36167822</v>
      </c>
      <c r="D115">
        <v>29145815</v>
      </c>
      <c r="E115">
        <v>1</v>
      </c>
      <c r="F115">
        <v>1</v>
      </c>
      <c r="G115">
        <v>1</v>
      </c>
      <c r="H115">
        <v>3</v>
      </c>
      <c r="I115" t="s">
        <v>542</v>
      </c>
      <c r="J115" t="s">
        <v>543</v>
      </c>
      <c r="K115" t="s">
        <v>544</v>
      </c>
      <c r="L115">
        <v>1327</v>
      </c>
      <c r="N115">
        <v>1005</v>
      </c>
      <c r="O115" t="s">
        <v>140</v>
      </c>
      <c r="P115" t="s">
        <v>140</v>
      </c>
      <c r="Q115">
        <v>1</v>
      </c>
      <c r="X115">
        <v>100</v>
      </c>
      <c r="Y115">
        <v>70.099999999999994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100</v>
      </c>
      <c r="AH115">
        <v>2</v>
      </c>
      <c r="AI115">
        <v>36167842</v>
      </c>
      <c r="AJ115">
        <v>112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ROW(Source!A84)</f>
        <v>84</v>
      </c>
      <c r="B116">
        <v>36167843</v>
      </c>
      <c r="C116">
        <v>36167822</v>
      </c>
      <c r="D116">
        <v>29149420</v>
      </c>
      <c r="E116">
        <v>1</v>
      </c>
      <c r="F116">
        <v>1</v>
      </c>
      <c r="G116">
        <v>1</v>
      </c>
      <c r="H116">
        <v>3</v>
      </c>
      <c r="I116" t="s">
        <v>194</v>
      </c>
      <c r="J116" t="s">
        <v>196</v>
      </c>
      <c r="K116" t="s">
        <v>195</v>
      </c>
      <c r="L116">
        <v>1339</v>
      </c>
      <c r="N116">
        <v>1007</v>
      </c>
      <c r="O116" t="s">
        <v>182</v>
      </c>
      <c r="P116" t="s">
        <v>182</v>
      </c>
      <c r="Q116">
        <v>1</v>
      </c>
      <c r="X116">
        <v>5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3</v>
      </c>
      <c r="AG116">
        <v>5</v>
      </c>
      <c r="AH116">
        <v>2</v>
      </c>
      <c r="AI116">
        <v>36167843</v>
      </c>
      <c r="AJ116">
        <v>114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ROW(Source!A84)</f>
        <v>84</v>
      </c>
      <c r="B117">
        <v>36167844</v>
      </c>
      <c r="C117">
        <v>36167822</v>
      </c>
      <c r="D117">
        <v>29149608</v>
      </c>
      <c r="E117">
        <v>1</v>
      </c>
      <c r="F117">
        <v>1</v>
      </c>
      <c r="G117">
        <v>1</v>
      </c>
      <c r="H117">
        <v>3</v>
      </c>
      <c r="I117" t="s">
        <v>545</v>
      </c>
      <c r="J117" t="s">
        <v>546</v>
      </c>
      <c r="K117" t="s">
        <v>547</v>
      </c>
      <c r="L117">
        <v>1339</v>
      </c>
      <c r="N117">
        <v>1007</v>
      </c>
      <c r="O117" t="s">
        <v>182</v>
      </c>
      <c r="P117" t="s">
        <v>182</v>
      </c>
      <c r="Q117">
        <v>1</v>
      </c>
      <c r="X117">
        <v>0.05</v>
      </c>
      <c r="Y117">
        <v>55.26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0.05</v>
      </c>
      <c r="AH117">
        <v>2</v>
      </c>
      <c r="AI117">
        <v>36167844</v>
      </c>
      <c r="AJ117">
        <v>115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ROW(Source!A122)</f>
        <v>122</v>
      </c>
      <c r="B118">
        <v>35833281</v>
      </c>
      <c r="C118">
        <v>35833280</v>
      </c>
      <c r="D118">
        <v>18407150</v>
      </c>
      <c r="E118">
        <v>1</v>
      </c>
      <c r="F118">
        <v>1</v>
      </c>
      <c r="G118">
        <v>1</v>
      </c>
      <c r="H118">
        <v>1</v>
      </c>
      <c r="I118" t="s">
        <v>335</v>
      </c>
      <c r="J118" t="s">
        <v>3</v>
      </c>
      <c r="K118" t="s">
        <v>336</v>
      </c>
      <c r="L118">
        <v>1369</v>
      </c>
      <c r="N118">
        <v>1013</v>
      </c>
      <c r="O118" t="s">
        <v>323</v>
      </c>
      <c r="P118" t="s">
        <v>323</v>
      </c>
      <c r="Q118">
        <v>1</v>
      </c>
      <c r="X118">
        <v>69.87</v>
      </c>
      <c r="Y118">
        <v>0</v>
      </c>
      <c r="Z118">
        <v>0</v>
      </c>
      <c r="AA118">
        <v>0</v>
      </c>
      <c r="AB118">
        <v>278.5</v>
      </c>
      <c r="AC118">
        <v>0</v>
      </c>
      <c r="AD118">
        <v>1</v>
      </c>
      <c r="AE118">
        <v>1</v>
      </c>
      <c r="AF118" t="s">
        <v>3</v>
      </c>
      <c r="AG118">
        <v>69.87</v>
      </c>
      <c r="AH118">
        <v>2</v>
      </c>
      <c r="AI118">
        <v>35833281</v>
      </c>
      <c r="AJ118">
        <v>116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ROW(Source!A122)</f>
        <v>122</v>
      </c>
      <c r="B119">
        <v>35833282</v>
      </c>
      <c r="C119">
        <v>35833280</v>
      </c>
      <c r="D119">
        <v>121548</v>
      </c>
      <c r="E119">
        <v>1</v>
      </c>
      <c r="F119">
        <v>1</v>
      </c>
      <c r="G119">
        <v>1</v>
      </c>
      <c r="H119">
        <v>1</v>
      </c>
      <c r="I119" t="s">
        <v>28</v>
      </c>
      <c r="J119" t="s">
        <v>3</v>
      </c>
      <c r="K119" t="s">
        <v>326</v>
      </c>
      <c r="L119">
        <v>608254</v>
      </c>
      <c r="N119">
        <v>1013</v>
      </c>
      <c r="O119" t="s">
        <v>327</v>
      </c>
      <c r="P119" t="s">
        <v>327</v>
      </c>
      <c r="Q119">
        <v>1</v>
      </c>
      <c r="X119">
        <v>1.44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2</v>
      </c>
      <c r="AF119" t="s">
        <v>3</v>
      </c>
      <c r="AG119">
        <v>1.44</v>
      </c>
      <c r="AH119">
        <v>2</v>
      </c>
      <c r="AI119">
        <v>35833282</v>
      </c>
      <c r="AJ119">
        <v>117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ROW(Source!A122)</f>
        <v>122</v>
      </c>
      <c r="B120">
        <v>35833283</v>
      </c>
      <c r="C120">
        <v>35833280</v>
      </c>
      <c r="D120">
        <v>29172556</v>
      </c>
      <c r="E120">
        <v>1</v>
      </c>
      <c r="F120">
        <v>1</v>
      </c>
      <c r="G120">
        <v>1</v>
      </c>
      <c r="H120">
        <v>2</v>
      </c>
      <c r="I120" t="s">
        <v>337</v>
      </c>
      <c r="J120" t="s">
        <v>338</v>
      </c>
      <c r="K120" t="s">
        <v>339</v>
      </c>
      <c r="L120">
        <v>1368</v>
      </c>
      <c r="N120">
        <v>1011</v>
      </c>
      <c r="O120" t="s">
        <v>331</v>
      </c>
      <c r="P120" t="s">
        <v>331</v>
      </c>
      <c r="Q120">
        <v>1</v>
      </c>
      <c r="X120">
        <v>1.44</v>
      </c>
      <c r="Y120">
        <v>0</v>
      </c>
      <c r="Z120">
        <v>31.26</v>
      </c>
      <c r="AA120">
        <v>13.5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1.44</v>
      </c>
      <c r="AH120">
        <v>2</v>
      </c>
      <c r="AI120">
        <v>35833283</v>
      </c>
      <c r="AJ120">
        <v>118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ROW(Source!A122)</f>
        <v>122</v>
      </c>
      <c r="B121">
        <v>35833284</v>
      </c>
      <c r="C121">
        <v>35833280</v>
      </c>
      <c r="D121">
        <v>29164349</v>
      </c>
      <c r="E121">
        <v>1</v>
      </c>
      <c r="F121">
        <v>1</v>
      </c>
      <c r="G121">
        <v>1</v>
      </c>
      <c r="H121">
        <v>3</v>
      </c>
      <c r="I121" t="s">
        <v>24</v>
      </c>
      <c r="J121" t="s">
        <v>27</v>
      </c>
      <c r="K121" t="s">
        <v>25</v>
      </c>
      <c r="L121">
        <v>1348</v>
      </c>
      <c r="N121">
        <v>1009</v>
      </c>
      <c r="O121" t="s">
        <v>26</v>
      </c>
      <c r="P121" t="s">
        <v>26</v>
      </c>
      <c r="Q121">
        <v>1000</v>
      </c>
      <c r="X121">
        <v>5.2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 t="s">
        <v>3</v>
      </c>
      <c r="AG121">
        <v>5.2</v>
      </c>
      <c r="AH121">
        <v>2</v>
      </c>
      <c r="AI121">
        <v>35833284</v>
      </c>
      <c r="AJ121">
        <v>119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ROW(Source!A124)</f>
        <v>124</v>
      </c>
      <c r="B122">
        <v>35833670</v>
      </c>
      <c r="C122">
        <v>35833669</v>
      </c>
      <c r="D122">
        <v>18411771</v>
      </c>
      <c r="E122">
        <v>1</v>
      </c>
      <c r="F122">
        <v>1</v>
      </c>
      <c r="G122">
        <v>1</v>
      </c>
      <c r="H122">
        <v>1</v>
      </c>
      <c r="I122" t="s">
        <v>321</v>
      </c>
      <c r="J122" t="s">
        <v>3</v>
      </c>
      <c r="K122" t="s">
        <v>322</v>
      </c>
      <c r="L122">
        <v>1369</v>
      </c>
      <c r="N122">
        <v>1013</v>
      </c>
      <c r="O122" t="s">
        <v>323</v>
      </c>
      <c r="P122" t="s">
        <v>323</v>
      </c>
      <c r="Q122">
        <v>1</v>
      </c>
      <c r="X122">
        <v>0.5</v>
      </c>
      <c r="Y122">
        <v>0</v>
      </c>
      <c r="Z122">
        <v>0</v>
      </c>
      <c r="AA122">
        <v>0</v>
      </c>
      <c r="AB122">
        <v>259.24</v>
      </c>
      <c r="AC122">
        <v>0</v>
      </c>
      <c r="AD122">
        <v>1</v>
      </c>
      <c r="AE122">
        <v>1</v>
      </c>
      <c r="AF122" t="s">
        <v>101</v>
      </c>
      <c r="AG122">
        <v>0.57499999999999996</v>
      </c>
      <c r="AH122">
        <v>2</v>
      </c>
      <c r="AI122">
        <v>35833670</v>
      </c>
      <c r="AJ122">
        <v>120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ROW(Source!A124)</f>
        <v>124</v>
      </c>
      <c r="B123">
        <v>35833671</v>
      </c>
      <c r="C123">
        <v>35833669</v>
      </c>
      <c r="D123">
        <v>121548</v>
      </c>
      <c r="E123">
        <v>1</v>
      </c>
      <c r="F123">
        <v>1</v>
      </c>
      <c r="G123">
        <v>1</v>
      </c>
      <c r="H123">
        <v>1</v>
      </c>
      <c r="I123" t="s">
        <v>28</v>
      </c>
      <c r="J123" t="s">
        <v>3</v>
      </c>
      <c r="K123" t="s">
        <v>326</v>
      </c>
      <c r="L123">
        <v>608254</v>
      </c>
      <c r="N123">
        <v>1013</v>
      </c>
      <c r="O123" t="s">
        <v>327</v>
      </c>
      <c r="P123" t="s">
        <v>327</v>
      </c>
      <c r="Q123">
        <v>1</v>
      </c>
      <c r="X123">
        <v>0.21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2</v>
      </c>
      <c r="AF123" t="s">
        <v>100</v>
      </c>
      <c r="AG123">
        <v>0.26250000000000001</v>
      </c>
      <c r="AH123">
        <v>2</v>
      </c>
      <c r="AI123">
        <v>35833671</v>
      </c>
      <c r="AJ123">
        <v>121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ROW(Source!A124)</f>
        <v>124</v>
      </c>
      <c r="B124">
        <v>35833672</v>
      </c>
      <c r="C124">
        <v>35833669</v>
      </c>
      <c r="D124">
        <v>29172556</v>
      </c>
      <c r="E124">
        <v>1</v>
      </c>
      <c r="F124">
        <v>1</v>
      </c>
      <c r="G124">
        <v>1</v>
      </c>
      <c r="H124">
        <v>2</v>
      </c>
      <c r="I124" t="s">
        <v>337</v>
      </c>
      <c r="J124" t="s">
        <v>338</v>
      </c>
      <c r="K124" t="s">
        <v>339</v>
      </c>
      <c r="L124">
        <v>1368</v>
      </c>
      <c r="N124">
        <v>1011</v>
      </c>
      <c r="O124" t="s">
        <v>331</v>
      </c>
      <c r="P124" t="s">
        <v>331</v>
      </c>
      <c r="Q124">
        <v>1</v>
      </c>
      <c r="X124">
        <v>0.21</v>
      </c>
      <c r="Y124">
        <v>0</v>
      </c>
      <c r="Z124">
        <v>31.26</v>
      </c>
      <c r="AA124">
        <v>13.5</v>
      </c>
      <c r="AB124">
        <v>0</v>
      </c>
      <c r="AC124">
        <v>0</v>
      </c>
      <c r="AD124">
        <v>1</v>
      </c>
      <c r="AE124">
        <v>0</v>
      </c>
      <c r="AF124" t="s">
        <v>100</v>
      </c>
      <c r="AG124">
        <v>0.26250000000000001</v>
      </c>
      <c r="AH124">
        <v>2</v>
      </c>
      <c r="AI124">
        <v>35833672</v>
      </c>
      <c r="AJ124">
        <v>122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ROW(Source!A124)</f>
        <v>124</v>
      </c>
      <c r="B125">
        <v>35833673</v>
      </c>
      <c r="C125">
        <v>35833669</v>
      </c>
      <c r="D125">
        <v>29173152</v>
      </c>
      <c r="E125">
        <v>1</v>
      </c>
      <c r="F125">
        <v>1</v>
      </c>
      <c r="G125">
        <v>1</v>
      </c>
      <c r="H125">
        <v>2</v>
      </c>
      <c r="I125" t="s">
        <v>493</v>
      </c>
      <c r="J125" t="s">
        <v>494</v>
      </c>
      <c r="K125" t="s">
        <v>495</v>
      </c>
      <c r="L125">
        <v>1368</v>
      </c>
      <c r="N125">
        <v>1011</v>
      </c>
      <c r="O125" t="s">
        <v>331</v>
      </c>
      <c r="P125" t="s">
        <v>331</v>
      </c>
      <c r="Q125">
        <v>1</v>
      </c>
      <c r="X125">
        <v>2.3199999999999998</v>
      </c>
      <c r="Y125">
        <v>0</v>
      </c>
      <c r="Z125">
        <v>0.5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100</v>
      </c>
      <c r="AG125">
        <v>2.9</v>
      </c>
      <c r="AH125">
        <v>2</v>
      </c>
      <c r="AI125">
        <v>35833673</v>
      </c>
      <c r="AJ125">
        <v>123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ROW(Source!A124)</f>
        <v>124</v>
      </c>
      <c r="B126">
        <v>35833674</v>
      </c>
      <c r="C126">
        <v>35833669</v>
      </c>
      <c r="D126">
        <v>29145158</v>
      </c>
      <c r="E126">
        <v>1</v>
      </c>
      <c r="F126">
        <v>1</v>
      </c>
      <c r="G126">
        <v>1</v>
      </c>
      <c r="H126">
        <v>3</v>
      </c>
      <c r="I126" t="s">
        <v>496</v>
      </c>
      <c r="J126" t="s">
        <v>497</v>
      </c>
      <c r="K126" t="s">
        <v>498</v>
      </c>
      <c r="L126">
        <v>1339</v>
      </c>
      <c r="N126">
        <v>1007</v>
      </c>
      <c r="O126" t="s">
        <v>182</v>
      </c>
      <c r="P126" t="s">
        <v>182</v>
      </c>
      <c r="Q126">
        <v>1</v>
      </c>
      <c r="X126">
        <v>0.51</v>
      </c>
      <c r="Y126">
        <v>548.29999999999995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0.51</v>
      </c>
      <c r="AH126">
        <v>2</v>
      </c>
      <c r="AI126">
        <v>35833674</v>
      </c>
      <c r="AJ126">
        <v>124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ROW(Source!A125)</f>
        <v>125</v>
      </c>
      <c r="B127">
        <v>35833739</v>
      </c>
      <c r="C127">
        <v>35833738</v>
      </c>
      <c r="D127">
        <v>31427453</v>
      </c>
      <c r="E127">
        <v>1</v>
      </c>
      <c r="F127">
        <v>1</v>
      </c>
      <c r="G127">
        <v>1</v>
      </c>
      <c r="H127">
        <v>1</v>
      </c>
      <c r="I127" t="s">
        <v>548</v>
      </c>
      <c r="J127" t="s">
        <v>3</v>
      </c>
      <c r="K127" t="s">
        <v>549</v>
      </c>
      <c r="L127">
        <v>1369</v>
      </c>
      <c r="N127">
        <v>1013</v>
      </c>
      <c r="O127" t="s">
        <v>323</v>
      </c>
      <c r="P127" t="s">
        <v>323</v>
      </c>
      <c r="Q127">
        <v>1</v>
      </c>
      <c r="X127">
        <v>76.63</v>
      </c>
      <c r="Y127">
        <v>0</v>
      </c>
      <c r="Z127">
        <v>0</v>
      </c>
      <c r="AA127">
        <v>0</v>
      </c>
      <c r="AB127">
        <v>285.36</v>
      </c>
      <c r="AC127">
        <v>0</v>
      </c>
      <c r="AD127">
        <v>1</v>
      </c>
      <c r="AE127">
        <v>1</v>
      </c>
      <c r="AF127" t="s">
        <v>101</v>
      </c>
      <c r="AG127">
        <v>88.124499999999983</v>
      </c>
      <c r="AH127">
        <v>2</v>
      </c>
      <c r="AI127">
        <v>35833739</v>
      </c>
      <c r="AJ127">
        <v>125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ROW(Source!A125)</f>
        <v>125</v>
      </c>
      <c r="B128">
        <v>35833740</v>
      </c>
      <c r="C128">
        <v>35833738</v>
      </c>
      <c r="D128">
        <v>121548</v>
      </c>
      <c r="E128">
        <v>1</v>
      </c>
      <c r="F128">
        <v>1</v>
      </c>
      <c r="G128">
        <v>1</v>
      </c>
      <c r="H128">
        <v>1</v>
      </c>
      <c r="I128" t="s">
        <v>28</v>
      </c>
      <c r="J128" t="s">
        <v>3</v>
      </c>
      <c r="K128" t="s">
        <v>326</v>
      </c>
      <c r="L128">
        <v>608254</v>
      </c>
      <c r="N128">
        <v>1013</v>
      </c>
      <c r="O128" t="s">
        <v>327</v>
      </c>
      <c r="P128" t="s">
        <v>327</v>
      </c>
      <c r="Q128">
        <v>1</v>
      </c>
      <c r="X128">
        <v>4.22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2</v>
      </c>
      <c r="AF128" t="s">
        <v>100</v>
      </c>
      <c r="AG128">
        <v>5.2749999999999995</v>
      </c>
      <c r="AH128">
        <v>2</v>
      </c>
      <c r="AI128">
        <v>35833740</v>
      </c>
      <c r="AJ128">
        <v>126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ROW(Source!A125)</f>
        <v>125</v>
      </c>
      <c r="B129">
        <v>35833741</v>
      </c>
      <c r="C129">
        <v>35833738</v>
      </c>
      <c r="D129">
        <v>35554709</v>
      </c>
      <c r="E129">
        <v>1</v>
      </c>
      <c r="F129">
        <v>1</v>
      </c>
      <c r="G129">
        <v>1</v>
      </c>
      <c r="H129">
        <v>2</v>
      </c>
      <c r="I129" t="s">
        <v>525</v>
      </c>
      <c r="J129" t="s">
        <v>550</v>
      </c>
      <c r="K129" t="s">
        <v>527</v>
      </c>
      <c r="L129">
        <v>1368</v>
      </c>
      <c r="N129">
        <v>1011</v>
      </c>
      <c r="O129" t="s">
        <v>331</v>
      </c>
      <c r="P129" t="s">
        <v>331</v>
      </c>
      <c r="Q129">
        <v>1</v>
      </c>
      <c r="X129">
        <v>0.36</v>
      </c>
      <c r="Y129">
        <v>0</v>
      </c>
      <c r="Z129">
        <v>99.89</v>
      </c>
      <c r="AA129">
        <v>10.06</v>
      </c>
      <c r="AB129">
        <v>0</v>
      </c>
      <c r="AC129">
        <v>0</v>
      </c>
      <c r="AD129">
        <v>1</v>
      </c>
      <c r="AE129">
        <v>0</v>
      </c>
      <c r="AF129" t="s">
        <v>100</v>
      </c>
      <c r="AG129">
        <v>0.44999999999999996</v>
      </c>
      <c r="AH129">
        <v>2</v>
      </c>
      <c r="AI129">
        <v>35833741</v>
      </c>
      <c r="AJ129">
        <v>127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ROW(Source!A125)</f>
        <v>125</v>
      </c>
      <c r="B130">
        <v>35833742</v>
      </c>
      <c r="C130">
        <v>35833738</v>
      </c>
      <c r="D130">
        <v>35554736</v>
      </c>
      <c r="E130">
        <v>1</v>
      </c>
      <c r="F130">
        <v>1</v>
      </c>
      <c r="G130">
        <v>1</v>
      </c>
      <c r="H130">
        <v>2</v>
      </c>
      <c r="I130" t="s">
        <v>551</v>
      </c>
      <c r="J130" t="s">
        <v>552</v>
      </c>
      <c r="K130" t="s">
        <v>553</v>
      </c>
      <c r="L130">
        <v>1368</v>
      </c>
      <c r="N130">
        <v>1011</v>
      </c>
      <c r="O130" t="s">
        <v>331</v>
      </c>
      <c r="P130" t="s">
        <v>331</v>
      </c>
      <c r="Q130">
        <v>1</v>
      </c>
      <c r="X130">
        <v>2.2999999999999998</v>
      </c>
      <c r="Y130">
        <v>0</v>
      </c>
      <c r="Z130">
        <v>29.46</v>
      </c>
      <c r="AA130">
        <v>11.6</v>
      </c>
      <c r="AB130">
        <v>0</v>
      </c>
      <c r="AC130">
        <v>0</v>
      </c>
      <c r="AD130">
        <v>1</v>
      </c>
      <c r="AE130">
        <v>0</v>
      </c>
      <c r="AF130" t="s">
        <v>100</v>
      </c>
      <c r="AG130">
        <v>2.875</v>
      </c>
      <c r="AH130">
        <v>2</v>
      </c>
      <c r="AI130">
        <v>35833742</v>
      </c>
      <c r="AJ130">
        <v>128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ROW(Source!A125)</f>
        <v>125</v>
      </c>
      <c r="B131">
        <v>35833743</v>
      </c>
      <c r="C131">
        <v>35833738</v>
      </c>
      <c r="D131">
        <v>35554830</v>
      </c>
      <c r="E131">
        <v>1</v>
      </c>
      <c r="F131">
        <v>1</v>
      </c>
      <c r="G131">
        <v>1</v>
      </c>
      <c r="H131">
        <v>2</v>
      </c>
      <c r="I131" t="s">
        <v>505</v>
      </c>
      <c r="J131" t="s">
        <v>554</v>
      </c>
      <c r="K131" t="s">
        <v>507</v>
      </c>
      <c r="L131">
        <v>1368</v>
      </c>
      <c r="N131">
        <v>1011</v>
      </c>
      <c r="O131" t="s">
        <v>331</v>
      </c>
      <c r="P131" t="s">
        <v>331</v>
      </c>
      <c r="Q131">
        <v>1</v>
      </c>
      <c r="X131">
        <v>1.56</v>
      </c>
      <c r="Y131">
        <v>0</v>
      </c>
      <c r="Z131">
        <v>12.4</v>
      </c>
      <c r="AA131">
        <v>10.06</v>
      </c>
      <c r="AB131">
        <v>0</v>
      </c>
      <c r="AC131">
        <v>0</v>
      </c>
      <c r="AD131">
        <v>1</v>
      </c>
      <c r="AE131">
        <v>0</v>
      </c>
      <c r="AF131" t="s">
        <v>100</v>
      </c>
      <c r="AG131">
        <v>1.9500000000000002</v>
      </c>
      <c r="AH131">
        <v>2</v>
      </c>
      <c r="AI131">
        <v>35833743</v>
      </c>
      <c r="AJ131">
        <v>129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ROW(Source!A125)</f>
        <v>125</v>
      </c>
      <c r="B132">
        <v>35833744</v>
      </c>
      <c r="C132">
        <v>35833738</v>
      </c>
      <c r="D132">
        <v>35555043</v>
      </c>
      <c r="E132">
        <v>1</v>
      </c>
      <c r="F132">
        <v>1</v>
      </c>
      <c r="G132">
        <v>1</v>
      </c>
      <c r="H132">
        <v>2</v>
      </c>
      <c r="I132" t="s">
        <v>508</v>
      </c>
      <c r="J132" t="s">
        <v>555</v>
      </c>
      <c r="K132" t="s">
        <v>510</v>
      </c>
      <c r="L132">
        <v>1368</v>
      </c>
      <c r="N132">
        <v>1011</v>
      </c>
      <c r="O132" t="s">
        <v>331</v>
      </c>
      <c r="P132" t="s">
        <v>331</v>
      </c>
      <c r="Q132">
        <v>1</v>
      </c>
      <c r="X132">
        <v>0.05</v>
      </c>
      <c r="Y132">
        <v>0</v>
      </c>
      <c r="Z132">
        <v>9.9700000000000006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100</v>
      </c>
      <c r="AG132">
        <v>6.25E-2</v>
      </c>
      <c r="AH132">
        <v>2</v>
      </c>
      <c r="AI132">
        <v>35833744</v>
      </c>
      <c r="AJ132">
        <v>130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ROW(Source!A125)</f>
        <v>125</v>
      </c>
      <c r="B133">
        <v>35833745</v>
      </c>
      <c r="C133">
        <v>35833738</v>
      </c>
      <c r="D133">
        <v>35555088</v>
      </c>
      <c r="E133">
        <v>1</v>
      </c>
      <c r="F133">
        <v>1</v>
      </c>
      <c r="G133">
        <v>1</v>
      </c>
      <c r="H133">
        <v>2</v>
      </c>
      <c r="I133" t="s">
        <v>342</v>
      </c>
      <c r="J133" t="s">
        <v>556</v>
      </c>
      <c r="K133" t="s">
        <v>344</v>
      </c>
      <c r="L133">
        <v>1368</v>
      </c>
      <c r="N133">
        <v>1011</v>
      </c>
      <c r="O133" t="s">
        <v>331</v>
      </c>
      <c r="P133" t="s">
        <v>331</v>
      </c>
      <c r="Q133">
        <v>1</v>
      </c>
      <c r="X133">
        <v>0.28000000000000003</v>
      </c>
      <c r="Y133">
        <v>0</v>
      </c>
      <c r="Z133">
        <v>87.17</v>
      </c>
      <c r="AA133">
        <v>11.6</v>
      </c>
      <c r="AB133">
        <v>0</v>
      </c>
      <c r="AC133">
        <v>0</v>
      </c>
      <c r="AD133">
        <v>1</v>
      </c>
      <c r="AE133">
        <v>0</v>
      </c>
      <c r="AF133" t="s">
        <v>100</v>
      </c>
      <c r="AG133">
        <v>0.35000000000000003</v>
      </c>
      <c r="AH133">
        <v>2</v>
      </c>
      <c r="AI133">
        <v>35833745</v>
      </c>
      <c r="AJ133">
        <v>131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ROW(Source!A125)</f>
        <v>125</v>
      </c>
      <c r="B134">
        <v>35833746</v>
      </c>
      <c r="C134">
        <v>35833738</v>
      </c>
      <c r="D134">
        <v>35552759</v>
      </c>
      <c r="E134">
        <v>1</v>
      </c>
      <c r="F134">
        <v>1</v>
      </c>
      <c r="G134">
        <v>1</v>
      </c>
      <c r="H134">
        <v>3</v>
      </c>
      <c r="I134" t="s">
        <v>487</v>
      </c>
      <c r="J134" t="s">
        <v>557</v>
      </c>
      <c r="K134" t="s">
        <v>489</v>
      </c>
      <c r="L134">
        <v>1346</v>
      </c>
      <c r="N134">
        <v>1009</v>
      </c>
      <c r="O134" t="s">
        <v>401</v>
      </c>
      <c r="P134" t="s">
        <v>401</v>
      </c>
      <c r="Q134">
        <v>1</v>
      </c>
      <c r="X134">
        <v>0.5</v>
      </c>
      <c r="Y134">
        <v>1.81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0.5</v>
      </c>
      <c r="AH134">
        <v>2</v>
      </c>
      <c r="AI134">
        <v>35833746</v>
      </c>
      <c r="AJ134">
        <v>132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ROW(Source!A125)</f>
        <v>125</v>
      </c>
      <c r="B135">
        <v>35833747</v>
      </c>
      <c r="C135">
        <v>35833738</v>
      </c>
      <c r="D135">
        <v>35552810</v>
      </c>
      <c r="E135">
        <v>1</v>
      </c>
      <c r="F135">
        <v>1</v>
      </c>
      <c r="G135">
        <v>1</v>
      </c>
      <c r="H135">
        <v>3</v>
      </c>
      <c r="I135" t="s">
        <v>511</v>
      </c>
      <c r="J135" t="s">
        <v>558</v>
      </c>
      <c r="K135" t="s">
        <v>513</v>
      </c>
      <c r="L135">
        <v>1348</v>
      </c>
      <c r="N135">
        <v>1009</v>
      </c>
      <c r="O135" t="s">
        <v>26</v>
      </c>
      <c r="P135" t="s">
        <v>26</v>
      </c>
      <c r="Q135">
        <v>1000</v>
      </c>
      <c r="X135">
        <v>0.05</v>
      </c>
      <c r="Y135">
        <v>6532.53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0.05</v>
      </c>
      <c r="AH135">
        <v>2</v>
      </c>
      <c r="AI135">
        <v>35833747</v>
      </c>
      <c r="AJ135">
        <v>133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ROW(Source!A125)</f>
        <v>125</v>
      </c>
      <c r="B136">
        <v>35833748</v>
      </c>
      <c r="C136">
        <v>35833738</v>
      </c>
      <c r="D136">
        <v>35552960</v>
      </c>
      <c r="E136">
        <v>1</v>
      </c>
      <c r="F136">
        <v>1</v>
      </c>
      <c r="G136">
        <v>1</v>
      </c>
      <c r="H136">
        <v>3</v>
      </c>
      <c r="I136" t="s">
        <v>514</v>
      </c>
      <c r="J136" t="s">
        <v>559</v>
      </c>
      <c r="K136" t="s">
        <v>516</v>
      </c>
      <c r="L136">
        <v>1346</v>
      </c>
      <c r="N136">
        <v>1009</v>
      </c>
      <c r="O136" t="s">
        <v>401</v>
      </c>
      <c r="P136" t="s">
        <v>401</v>
      </c>
      <c r="Q136">
        <v>1</v>
      </c>
      <c r="X136">
        <v>430</v>
      </c>
      <c r="Y136">
        <v>3.86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430</v>
      </c>
      <c r="AH136">
        <v>2</v>
      </c>
      <c r="AI136">
        <v>35833748</v>
      </c>
      <c r="AJ136">
        <v>134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ROW(Source!A125)</f>
        <v>125</v>
      </c>
      <c r="B137">
        <v>35833749</v>
      </c>
      <c r="C137">
        <v>35833738</v>
      </c>
      <c r="D137">
        <v>35552967</v>
      </c>
      <c r="E137">
        <v>1</v>
      </c>
      <c r="F137">
        <v>1</v>
      </c>
      <c r="G137">
        <v>1</v>
      </c>
      <c r="H137">
        <v>3</v>
      </c>
      <c r="I137" t="s">
        <v>560</v>
      </c>
      <c r="J137" t="s">
        <v>561</v>
      </c>
      <c r="K137" t="s">
        <v>562</v>
      </c>
      <c r="L137">
        <v>1327</v>
      </c>
      <c r="N137">
        <v>1005</v>
      </c>
      <c r="O137" t="s">
        <v>140</v>
      </c>
      <c r="P137" t="s">
        <v>140</v>
      </c>
      <c r="Q137">
        <v>1</v>
      </c>
      <c r="X137">
        <v>102</v>
      </c>
      <c r="Y137">
        <v>69.209999999999994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102</v>
      </c>
      <c r="AH137">
        <v>2</v>
      </c>
      <c r="AI137">
        <v>35833749</v>
      </c>
      <c r="AJ137">
        <v>135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ROW(Source!A125)</f>
        <v>125</v>
      </c>
      <c r="B138">
        <v>35833750</v>
      </c>
      <c r="C138">
        <v>35833738</v>
      </c>
      <c r="D138">
        <v>35554227</v>
      </c>
      <c r="E138">
        <v>1</v>
      </c>
      <c r="F138">
        <v>1</v>
      </c>
      <c r="G138">
        <v>1</v>
      </c>
      <c r="H138">
        <v>3</v>
      </c>
      <c r="I138" t="s">
        <v>520</v>
      </c>
      <c r="J138" t="s">
        <v>563</v>
      </c>
      <c r="K138" t="s">
        <v>522</v>
      </c>
      <c r="L138">
        <v>1339</v>
      </c>
      <c r="N138">
        <v>1007</v>
      </c>
      <c r="O138" t="s">
        <v>182</v>
      </c>
      <c r="P138" t="s">
        <v>182</v>
      </c>
      <c r="Q138">
        <v>1</v>
      </c>
      <c r="X138">
        <v>3.5</v>
      </c>
      <c r="Y138">
        <v>2.44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3.5</v>
      </c>
      <c r="AH138">
        <v>2</v>
      </c>
      <c r="AI138">
        <v>35833750</v>
      </c>
      <c r="AJ138">
        <v>136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ROW(Source!A126)</f>
        <v>126</v>
      </c>
      <c r="B139">
        <v>36151155</v>
      </c>
      <c r="C139">
        <v>36151154</v>
      </c>
      <c r="D139">
        <v>18411771</v>
      </c>
      <c r="E139">
        <v>1</v>
      </c>
      <c r="F139">
        <v>1</v>
      </c>
      <c r="G139">
        <v>1</v>
      </c>
      <c r="H139">
        <v>1</v>
      </c>
      <c r="I139" t="s">
        <v>321</v>
      </c>
      <c r="J139" t="s">
        <v>3</v>
      </c>
      <c r="K139" t="s">
        <v>322</v>
      </c>
      <c r="L139">
        <v>1369</v>
      </c>
      <c r="N139">
        <v>1013</v>
      </c>
      <c r="O139" t="s">
        <v>323</v>
      </c>
      <c r="P139" t="s">
        <v>323</v>
      </c>
      <c r="Q139">
        <v>1</v>
      </c>
      <c r="X139">
        <v>36.28</v>
      </c>
      <c r="Y139">
        <v>0</v>
      </c>
      <c r="Z139">
        <v>0</v>
      </c>
      <c r="AA139">
        <v>0</v>
      </c>
      <c r="AB139">
        <v>259.24</v>
      </c>
      <c r="AC139">
        <v>0</v>
      </c>
      <c r="AD139">
        <v>1</v>
      </c>
      <c r="AE139">
        <v>1</v>
      </c>
      <c r="AF139" t="s">
        <v>3</v>
      </c>
      <c r="AG139">
        <v>36.28</v>
      </c>
      <c r="AH139">
        <v>2</v>
      </c>
      <c r="AI139">
        <v>36151155</v>
      </c>
      <c r="AJ139">
        <v>137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ROW(Source!A126)</f>
        <v>126</v>
      </c>
      <c r="B140">
        <v>36151156</v>
      </c>
      <c r="C140">
        <v>36151154</v>
      </c>
      <c r="D140">
        <v>29164349</v>
      </c>
      <c r="E140">
        <v>1</v>
      </c>
      <c r="F140">
        <v>1</v>
      </c>
      <c r="G140">
        <v>1</v>
      </c>
      <c r="H140">
        <v>3</v>
      </c>
      <c r="I140" t="s">
        <v>24</v>
      </c>
      <c r="J140" t="s">
        <v>27</v>
      </c>
      <c r="K140" t="s">
        <v>25</v>
      </c>
      <c r="L140">
        <v>1348</v>
      </c>
      <c r="N140">
        <v>1009</v>
      </c>
      <c r="O140" t="s">
        <v>26</v>
      </c>
      <c r="P140" t="s">
        <v>26</v>
      </c>
      <c r="Q140">
        <v>1000</v>
      </c>
      <c r="X140">
        <v>1.18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3</v>
      </c>
      <c r="AG140">
        <v>1.18</v>
      </c>
      <c r="AH140">
        <v>2</v>
      </c>
      <c r="AI140">
        <v>36151156</v>
      </c>
      <c r="AJ140">
        <v>138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ROW(Source!A128)</f>
        <v>128</v>
      </c>
      <c r="B141">
        <v>35833287</v>
      </c>
      <c r="C141">
        <v>35833286</v>
      </c>
      <c r="D141">
        <v>18413627</v>
      </c>
      <c r="E141">
        <v>1</v>
      </c>
      <c r="F141">
        <v>1</v>
      </c>
      <c r="G141">
        <v>1</v>
      </c>
      <c r="H141">
        <v>1</v>
      </c>
      <c r="I141" t="s">
        <v>418</v>
      </c>
      <c r="J141" t="s">
        <v>3</v>
      </c>
      <c r="K141" t="s">
        <v>419</v>
      </c>
      <c r="L141">
        <v>1369</v>
      </c>
      <c r="N141">
        <v>1013</v>
      </c>
      <c r="O141" t="s">
        <v>323</v>
      </c>
      <c r="P141" t="s">
        <v>323</v>
      </c>
      <c r="Q141">
        <v>1</v>
      </c>
      <c r="X141">
        <v>2.4</v>
      </c>
      <c r="Y141">
        <v>0</v>
      </c>
      <c r="Z141">
        <v>0</v>
      </c>
      <c r="AA141">
        <v>0</v>
      </c>
      <c r="AB141">
        <v>323.88</v>
      </c>
      <c r="AC141">
        <v>0</v>
      </c>
      <c r="AD141">
        <v>1</v>
      </c>
      <c r="AE141">
        <v>1</v>
      </c>
      <c r="AF141" t="s">
        <v>101</v>
      </c>
      <c r="AG141">
        <v>2.76</v>
      </c>
      <c r="AH141">
        <v>2</v>
      </c>
      <c r="AI141">
        <v>35833287</v>
      </c>
      <c r="AJ141">
        <v>139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ROW(Source!A128)</f>
        <v>128</v>
      </c>
      <c r="B142">
        <v>35833288</v>
      </c>
      <c r="C142">
        <v>35833286</v>
      </c>
      <c r="D142">
        <v>29172657</v>
      </c>
      <c r="E142">
        <v>1</v>
      </c>
      <c r="F142">
        <v>1</v>
      </c>
      <c r="G142">
        <v>1</v>
      </c>
      <c r="H142">
        <v>2</v>
      </c>
      <c r="I142" t="s">
        <v>420</v>
      </c>
      <c r="J142" t="s">
        <v>421</v>
      </c>
      <c r="K142" t="s">
        <v>422</v>
      </c>
      <c r="L142">
        <v>1368</v>
      </c>
      <c r="N142">
        <v>1011</v>
      </c>
      <c r="O142" t="s">
        <v>331</v>
      </c>
      <c r="P142" t="s">
        <v>331</v>
      </c>
      <c r="Q142">
        <v>1</v>
      </c>
      <c r="X142">
        <v>0.4</v>
      </c>
      <c r="Y142">
        <v>0</v>
      </c>
      <c r="Z142">
        <v>8.1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100</v>
      </c>
      <c r="AG142">
        <v>0.5</v>
      </c>
      <c r="AH142">
        <v>2</v>
      </c>
      <c r="AI142">
        <v>35833288</v>
      </c>
      <c r="AJ142">
        <v>140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ROW(Source!A128)</f>
        <v>128</v>
      </c>
      <c r="B143">
        <v>35833289</v>
      </c>
      <c r="C143">
        <v>35833286</v>
      </c>
      <c r="D143">
        <v>29174507</v>
      </c>
      <c r="E143">
        <v>1</v>
      </c>
      <c r="F143">
        <v>1</v>
      </c>
      <c r="G143">
        <v>1</v>
      </c>
      <c r="H143">
        <v>2</v>
      </c>
      <c r="I143" t="s">
        <v>423</v>
      </c>
      <c r="J143" t="s">
        <v>424</v>
      </c>
      <c r="K143" t="s">
        <v>425</v>
      </c>
      <c r="L143">
        <v>1368</v>
      </c>
      <c r="N143">
        <v>1011</v>
      </c>
      <c r="O143" t="s">
        <v>331</v>
      </c>
      <c r="P143" t="s">
        <v>331</v>
      </c>
      <c r="Q143">
        <v>1</v>
      </c>
      <c r="X143">
        <v>0.12</v>
      </c>
      <c r="Y143">
        <v>0</v>
      </c>
      <c r="Z143">
        <v>5.13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100</v>
      </c>
      <c r="AG143">
        <v>0.15</v>
      </c>
      <c r="AH143">
        <v>2</v>
      </c>
      <c r="AI143">
        <v>35833289</v>
      </c>
      <c r="AJ143">
        <v>141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ROW(Source!A128)</f>
        <v>128</v>
      </c>
      <c r="B144">
        <v>35833290</v>
      </c>
      <c r="C144">
        <v>35833286</v>
      </c>
      <c r="D144">
        <v>29174580</v>
      </c>
      <c r="E144">
        <v>1</v>
      </c>
      <c r="F144">
        <v>1</v>
      </c>
      <c r="G144">
        <v>1</v>
      </c>
      <c r="H144">
        <v>2</v>
      </c>
      <c r="I144" t="s">
        <v>426</v>
      </c>
      <c r="J144" t="s">
        <v>427</v>
      </c>
      <c r="K144" t="s">
        <v>428</v>
      </c>
      <c r="L144">
        <v>1368</v>
      </c>
      <c r="N144">
        <v>1011</v>
      </c>
      <c r="O144" t="s">
        <v>331</v>
      </c>
      <c r="P144" t="s">
        <v>331</v>
      </c>
      <c r="Q144">
        <v>1</v>
      </c>
      <c r="X144">
        <v>0.19</v>
      </c>
      <c r="Y144">
        <v>0</v>
      </c>
      <c r="Z144">
        <v>2.08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100</v>
      </c>
      <c r="AG144">
        <v>0.23749999999999999</v>
      </c>
      <c r="AH144">
        <v>2</v>
      </c>
      <c r="AI144">
        <v>35833290</v>
      </c>
      <c r="AJ144">
        <v>142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ROW(Source!A128)</f>
        <v>128</v>
      </c>
      <c r="B145">
        <v>35833291</v>
      </c>
      <c r="C145">
        <v>35833286</v>
      </c>
      <c r="D145">
        <v>29174913</v>
      </c>
      <c r="E145">
        <v>1</v>
      </c>
      <c r="F145">
        <v>1</v>
      </c>
      <c r="G145">
        <v>1</v>
      </c>
      <c r="H145">
        <v>2</v>
      </c>
      <c r="I145" t="s">
        <v>342</v>
      </c>
      <c r="J145" t="s">
        <v>343</v>
      </c>
      <c r="K145" t="s">
        <v>344</v>
      </c>
      <c r="L145">
        <v>1368</v>
      </c>
      <c r="N145">
        <v>1011</v>
      </c>
      <c r="O145" t="s">
        <v>331</v>
      </c>
      <c r="P145" t="s">
        <v>331</v>
      </c>
      <c r="Q145">
        <v>1</v>
      </c>
      <c r="X145">
        <v>0.17</v>
      </c>
      <c r="Y145">
        <v>0</v>
      </c>
      <c r="Z145">
        <v>87.17</v>
      </c>
      <c r="AA145">
        <v>11.6</v>
      </c>
      <c r="AB145">
        <v>0</v>
      </c>
      <c r="AC145">
        <v>0</v>
      </c>
      <c r="AD145">
        <v>1</v>
      </c>
      <c r="AE145">
        <v>0</v>
      </c>
      <c r="AF145" t="s">
        <v>100</v>
      </c>
      <c r="AG145">
        <v>0.21250000000000002</v>
      </c>
      <c r="AH145">
        <v>2</v>
      </c>
      <c r="AI145">
        <v>35833291</v>
      </c>
      <c r="AJ145">
        <v>143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ROW(Source!A128)</f>
        <v>128</v>
      </c>
      <c r="B146">
        <v>35833292</v>
      </c>
      <c r="C146">
        <v>35833286</v>
      </c>
      <c r="D146">
        <v>29113979</v>
      </c>
      <c r="E146">
        <v>1</v>
      </c>
      <c r="F146">
        <v>1</v>
      </c>
      <c r="G146">
        <v>1</v>
      </c>
      <c r="H146">
        <v>3</v>
      </c>
      <c r="I146" t="s">
        <v>392</v>
      </c>
      <c r="J146" t="s">
        <v>393</v>
      </c>
      <c r="K146" t="s">
        <v>394</v>
      </c>
      <c r="L146">
        <v>1348</v>
      </c>
      <c r="N146">
        <v>1009</v>
      </c>
      <c r="O146" t="s">
        <v>26</v>
      </c>
      <c r="P146" t="s">
        <v>26</v>
      </c>
      <c r="Q146">
        <v>1000</v>
      </c>
      <c r="X146">
        <v>1E-4</v>
      </c>
      <c r="Y146">
        <v>9749.99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1E-4</v>
      </c>
      <c r="AH146">
        <v>2</v>
      </c>
      <c r="AI146">
        <v>35833292</v>
      </c>
      <c r="AJ146">
        <v>144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ROW(Source!A128)</f>
        <v>128</v>
      </c>
      <c r="B147">
        <v>35833293</v>
      </c>
      <c r="C147">
        <v>35833286</v>
      </c>
      <c r="D147">
        <v>29107991</v>
      </c>
      <c r="E147">
        <v>1</v>
      </c>
      <c r="F147">
        <v>1</v>
      </c>
      <c r="G147">
        <v>1</v>
      </c>
      <c r="H147">
        <v>3</v>
      </c>
      <c r="I147" t="s">
        <v>429</v>
      </c>
      <c r="J147" t="s">
        <v>430</v>
      </c>
      <c r="K147" t="s">
        <v>431</v>
      </c>
      <c r="L147">
        <v>1354</v>
      </c>
      <c r="N147">
        <v>1010</v>
      </c>
      <c r="O147" t="s">
        <v>117</v>
      </c>
      <c r="P147" t="s">
        <v>117</v>
      </c>
      <c r="Q147">
        <v>1</v>
      </c>
      <c r="X147">
        <v>0.1</v>
      </c>
      <c r="Y147">
        <v>72.8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0.1</v>
      </c>
      <c r="AH147">
        <v>2</v>
      </c>
      <c r="AI147">
        <v>35833293</v>
      </c>
      <c r="AJ147">
        <v>145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ROW(Source!A128)</f>
        <v>128</v>
      </c>
      <c r="B148">
        <v>35833294</v>
      </c>
      <c r="C148">
        <v>35833286</v>
      </c>
      <c r="D148">
        <v>29114830</v>
      </c>
      <c r="E148">
        <v>1</v>
      </c>
      <c r="F148">
        <v>1</v>
      </c>
      <c r="G148">
        <v>1</v>
      </c>
      <c r="H148">
        <v>3</v>
      </c>
      <c r="I148" t="s">
        <v>592</v>
      </c>
      <c r="J148" t="s">
        <v>593</v>
      </c>
      <c r="K148" t="s">
        <v>594</v>
      </c>
      <c r="L148">
        <v>1035</v>
      </c>
      <c r="N148">
        <v>1013</v>
      </c>
      <c r="O148" t="s">
        <v>595</v>
      </c>
      <c r="P148" t="s">
        <v>595</v>
      </c>
      <c r="Q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 t="s">
        <v>3</v>
      </c>
      <c r="AG148">
        <v>0</v>
      </c>
      <c r="AH148">
        <v>3</v>
      </c>
      <c r="AI148">
        <v>-1</v>
      </c>
      <c r="AJ148" t="s">
        <v>3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ROW(Source!A128)</f>
        <v>128</v>
      </c>
      <c r="B149">
        <v>35833295</v>
      </c>
      <c r="C149">
        <v>35833286</v>
      </c>
      <c r="D149">
        <v>29130403</v>
      </c>
      <c r="E149">
        <v>1</v>
      </c>
      <c r="F149">
        <v>1</v>
      </c>
      <c r="G149">
        <v>1</v>
      </c>
      <c r="H149">
        <v>3</v>
      </c>
      <c r="I149" t="s">
        <v>596</v>
      </c>
      <c r="J149" t="s">
        <v>597</v>
      </c>
      <c r="K149" t="s">
        <v>598</v>
      </c>
      <c r="L149">
        <v>1327</v>
      </c>
      <c r="N149">
        <v>1005</v>
      </c>
      <c r="O149" t="s">
        <v>140</v>
      </c>
      <c r="P149" t="s">
        <v>140</v>
      </c>
      <c r="Q149">
        <v>1</v>
      </c>
      <c r="X149">
        <v>1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 t="s">
        <v>3</v>
      </c>
      <c r="AG149">
        <v>1</v>
      </c>
      <c r="AH149">
        <v>3</v>
      </c>
      <c r="AI149">
        <v>-1</v>
      </c>
      <c r="AJ149" t="s">
        <v>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ROW(Source!A128)</f>
        <v>128</v>
      </c>
      <c r="B150">
        <v>35833296</v>
      </c>
      <c r="C150">
        <v>35833286</v>
      </c>
      <c r="D150">
        <v>29131398</v>
      </c>
      <c r="E150">
        <v>1</v>
      </c>
      <c r="F150">
        <v>1</v>
      </c>
      <c r="G150">
        <v>1</v>
      </c>
      <c r="H150">
        <v>3</v>
      </c>
      <c r="I150" t="s">
        <v>432</v>
      </c>
      <c r="J150" t="s">
        <v>433</v>
      </c>
      <c r="K150" t="s">
        <v>434</v>
      </c>
      <c r="L150">
        <v>1348</v>
      </c>
      <c r="N150">
        <v>1009</v>
      </c>
      <c r="O150" t="s">
        <v>26</v>
      </c>
      <c r="P150" t="s">
        <v>26</v>
      </c>
      <c r="Q150">
        <v>1000</v>
      </c>
      <c r="X150">
        <v>3.0000000000000001E-3</v>
      </c>
      <c r="Y150">
        <v>5804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3.0000000000000001E-3</v>
      </c>
      <c r="AH150">
        <v>2</v>
      </c>
      <c r="AI150">
        <v>35833296</v>
      </c>
      <c r="AJ150">
        <v>147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ROW(Source!A130)</f>
        <v>130</v>
      </c>
      <c r="B151">
        <v>35833300</v>
      </c>
      <c r="C151">
        <v>35833299</v>
      </c>
      <c r="D151">
        <v>18413230</v>
      </c>
      <c r="E151">
        <v>1</v>
      </c>
      <c r="F151">
        <v>1</v>
      </c>
      <c r="G151">
        <v>1</v>
      </c>
      <c r="H151">
        <v>1</v>
      </c>
      <c r="I151" t="s">
        <v>435</v>
      </c>
      <c r="J151" t="s">
        <v>3</v>
      </c>
      <c r="K151" t="s">
        <v>436</v>
      </c>
      <c r="L151">
        <v>1369</v>
      </c>
      <c r="N151">
        <v>1013</v>
      </c>
      <c r="O151" t="s">
        <v>323</v>
      </c>
      <c r="P151" t="s">
        <v>323</v>
      </c>
      <c r="Q151">
        <v>1</v>
      </c>
      <c r="X151">
        <v>104.28</v>
      </c>
      <c r="Y151">
        <v>0</v>
      </c>
      <c r="Z151">
        <v>0</v>
      </c>
      <c r="AA151">
        <v>0</v>
      </c>
      <c r="AB151">
        <v>299.72000000000003</v>
      </c>
      <c r="AC151">
        <v>0</v>
      </c>
      <c r="AD151">
        <v>1</v>
      </c>
      <c r="AE151">
        <v>1</v>
      </c>
      <c r="AF151" t="s">
        <v>101</v>
      </c>
      <c r="AG151">
        <v>119.922</v>
      </c>
      <c r="AH151">
        <v>2</v>
      </c>
      <c r="AI151">
        <v>35833300</v>
      </c>
      <c r="AJ151">
        <v>148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ROW(Source!A130)</f>
        <v>130</v>
      </c>
      <c r="B152">
        <v>35833301</v>
      </c>
      <c r="C152">
        <v>35833299</v>
      </c>
      <c r="D152">
        <v>121548</v>
      </c>
      <c r="E152">
        <v>1</v>
      </c>
      <c r="F152">
        <v>1</v>
      </c>
      <c r="G152">
        <v>1</v>
      </c>
      <c r="H152">
        <v>1</v>
      </c>
      <c r="I152" t="s">
        <v>28</v>
      </c>
      <c r="J152" t="s">
        <v>3</v>
      </c>
      <c r="K152" t="s">
        <v>326</v>
      </c>
      <c r="L152">
        <v>608254</v>
      </c>
      <c r="N152">
        <v>1013</v>
      </c>
      <c r="O152" t="s">
        <v>327</v>
      </c>
      <c r="P152" t="s">
        <v>327</v>
      </c>
      <c r="Q152">
        <v>1</v>
      </c>
      <c r="X152">
        <v>11.35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2</v>
      </c>
      <c r="AF152" t="s">
        <v>100</v>
      </c>
      <c r="AG152">
        <v>14.1875</v>
      </c>
      <c r="AH152">
        <v>2</v>
      </c>
      <c r="AI152">
        <v>35833301</v>
      </c>
      <c r="AJ152">
        <v>149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ROW(Source!A130)</f>
        <v>130</v>
      </c>
      <c r="B153">
        <v>35833302</v>
      </c>
      <c r="C153">
        <v>35833299</v>
      </c>
      <c r="D153">
        <v>29172268</v>
      </c>
      <c r="E153">
        <v>1</v>
      </c>
      <c r="F153">
        <v>1</v>
      </c>
      <c r="G153">
        <v>1</v>
      </c>
      <c r="H153">
        <v>2</v>
      </c>
      <c r="I153" t="s">
        <v>437</v>
      </c>
      <c r="J153" t="s">
        <v>438</v>
      </c>
      <c r="K153" t="s">
        <v>439</v>
      </c>
      <c r="L153">
        <v>1368</v>
      </c>
      <c r="N153">
        <v>1011</v>
      </c>
      <c r="O153" t="s">
        <v>331</v>
      </c>
      <c r="P153" t="s">
        <v>331</v>
      </c>
      <c r="Q153">
        <v>1</v>
      </c>
      <c r="X153">
        <v>9.69</v>
      </c>
      <c r="Y153">
        <v>0</v>
      </c>
      <c r="Z153">
        <v>86.4</v>
      </c>
      <c r="AA153">
        <v>13.5</v>
      </c>
      <c r="AB153">
        <v>0</v>
      </c>
      <c r="AC153">
        <v>0</v>
      </c>
      <c r="AD153">
        <v>1</v>
      </c>
      <c r="AE153">
        <v>0</v>
      </c>
      <c r="AF153" t="s">
        <v>100</v>
      </c>
      <c r="AG153">
        <v>12.112499999999999</v>
      </c>
      <c r="AH153">
        <v>2</v>
      </c>
      <c r="AI153">
        <v>35833302</v>
      </c>
      <c r="AJ153">
        <v>150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ROW(Source!A130)</f>
        <v>130</v>
      </c>
      <c r="B154">
        <v>35833303</v>
      </c>
      <c r="C154">
        <v>35833299</v>
      </c>
      <c r="D154">
        <v>29172379</v>
      </c>
      <c r="E154">
        <v>1</v>
      </c>
      <c r="F154">
        <v>1</v>
      </c>
      <c r="G154">
        <v>1</v>
      </c>
      <c r="H154">
        <v>2</v>
      </c>
      <c r="I154" t="s">
        <v>359</v>
      </c>
      <c r="J154" t="s">
        <v>360</v>
      </c>
      <c r="K154" t="s">
        <v>361</v>
      </c>
      <c r="L154">
        <v>1368</v>
      </c>
      <c r="N154">
        <v>1011</v>
      </c>
      <c r="O154" t="s">
        <v>331</v>
      </c>
      <c r="P154" t="s">
        <v>331</v>
      </c>
      <c r="Q154">
        <v>1</v>
      </c>
      <c r="X154">
        <v>1.66</v>
      </c>
      <c r="Y154">
        <v>0</v>
      </c>
      <c r="Z154">
        <v>112</v>
      </c>
      <c r="AA154">
        <v>13.5</v>
      </c>
      <c r="AB154">
        <v>0</v>
      </c>
      <c r="AC154">
        <v>0</v>
      </c>
      <c r="AD154">
        <v>1</v>
      </c>
      <c r="AE154">
        <v>0</v>
      </c>
      <c r="AF154" t="s">
        <v>100</v>
      </c>
      <c r="AG154">
        <v>2.0749999999999997</v>
      </c>
      <c r="AH154">
        <v>2</v>
      </c>
      <c r="AI154">
        <v>35833303</v>
      </c>
      <c r="AJ154">
        <v>151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ROW(Source!A130)</f>
        <v>130</v>
      </c>
      <c r="B155">
        <v>35833304</v>
      </c>
      <c r="C155">
        <v>35833299</v>
      </c>
      <c r="D155">
        <v>29173252</v>
      </c>
      <c r="E155">
        <v>1</v>
      </c>
      <c r="F155">
        <v>1</v>
      </c>
      <c r="G155">
        <v>1</v>
      </c>
      <c r="H155">
        <v>2</v>
      </c>
      <c r="I155" t="s">
        <v>440</v>
      </c>
      <c r="J155" t="s">
        <v>441</v>
      </c>
      <c r="K155" t="s">
        <v>442</v>
      </c>
      <c r="L155">
        <v>1368</v>
      </c>
      <c r="N155">
        <v>1011</v>
      </c>
      <c r="O155" t="s">
        <v>331</v>
      </c>
      <c r="P155" t="s">
        <v>331</v>
      </c>
      <c r="Q155">
        <v>1</v>
      </c>
      <c r="X155">
        <v>1.79</v>
      </c>
      <c r="Y155">
        <v>0</v>
      </c>
      <c r="Z155">
        <v>30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100</v>
      </c>
      <c r="AG155">
        <v>2.2374999999999998</v>
      </c>
      <c r="AH155">
        <v>2</v>
      </c>
      <c r="AI155">
        <v>35833304</v>
      </c>
      <c r="AJ155">
        <v>152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ROW(Source!A130)</f>
        <v>130</v>
      </c>
      <c r="B156">
        <v>35833305</v>
      </c>
      <c r="C156">
        <v>35833299</v>
      </c>
      <c r="D156">
        <v>29174913</v>
      </c>
      <c r="E156">
        <v>1</v>
      </c>
      <c r="F156">
        <v>1</v>
      </c>
      <c r="G156">
        <v>1</v>
      </c>
      <c r="H156">
        <v>2</v>
      </c>
      <c r="I156" t="s">
        <v>342</v>
      </c>
      <c r="J156" t="s">
        <v>343</v>
      </c>
      <c r="K156" t="s">
        <v>344</v>
      </c>
      <c r="L156">
        <v>1368</v>
      </c>
      <c r="N156">
        <v>1011</v>
      </c>
      <c r="O156" t="s">
        <v>331</v>
      </c>
      <c r="P156" t="s">
        <v>331</v>
      </c>
      <c r="Q156">
        <v>1</v>
      </c>
      <c r="X156">
        <v>1.99</v>
      </c>
      <c r="Y156">
        <v>0</v>
      </c>
      <c r="Z156">
        <v>87.17</v>
      </c>
      <c r="AA156">
        <v>11.6</v>
      </c>
      <c r="AB156">
        <v>0</v>
      </c>
      <c r="AC156">
        <v>0</v>
      </c>
      <c r="AD156">
        <v>1</v>
      </c>
      <c r="AE156">
        <v>0</v>
      </c>
      <c r="AF156" t="s">
        <v>100</v>
      </c>
      <c r="AG156">
        <v>2.4874999999999998</v>
      </c>
      <c r="AH156">
        <v>2</v>
      </c>
      <c r="AI156">
        <v>35833305</v>
      </c>
      <c r="AJ156">
        <v>153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ROW(Source!A130)</f>
        <v>130</v>
      </c>
      <c r="B157">
        <v>35833306</v>
      </c>
      <c r="C157">
        <v>35833299</v>
      </c>
      <c r="D157">
        <v>29114395</v>
      </c>
      <c r="E157">
        <v>1</v>
      </c>
      <c r="F157">
        <v>1</v>
      </c>
      <c r="G157">
        <v>1</v>
      </c>
      <c r="H157">
        <v>3</v>
      </c>
      <c r="I157" t="s">
        <v>443</v>
      </c>
      <c r="J157" t="s">
        <v>444</v>
      </c>
      <c r="K157" t="s">
        <v>445</v>
      </c>
      <c r="L157">
        <v>1348</v>
      </c>
      <c r="N157">
        <v>1009</v>
      </c>
      <c r="O157" t="s">
        <v>26</v>
      </c>
      <c r="P157" t="s">
        <v>26</v>
      </c>
      <c r="Q157">
        <v>1000</v>
      </c>
      <c r="X157">
        <v>2.0999999999999999E-3</v>
      </c>
      <c r="Y157">
        <v>8475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2.0999999999999999E-3</v>
      </c>
      <c r="AH157">
        <v>2</v>
      </c>
      <c r="AI157">
        <v>35833306</v>
      </c>
      <c r="AJ157">
        <v>154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ROW(Source!A130)</f>
        <v>130</v>
      </c>
      <c r="B158">
        <v>35833307</v>
      </c>
      <c r="C158">
        <v>35833299</v>
      </c>
      <c r="D158">
        <v>29111762</v>
      </c>
      <c r="E158">
        <v>1</v>
      </c>
      <c r="F158">
        <v>1</v>
      </c>
      <c r="G158">
        <v>1</v>
      </c>
      <c r="H158">
        <v>3</v>
      </c>
      <c r="I158" t="s">
        <v>446</v>
      </c>
      <c r="J158" t="s">
        <v>447</v>
      </c>
      <c r="K158" t="s">
        <v>448</v>
      </c>
      <c r="L158">
        <v>1348</v>
      </c>
      <c r="N158">
        <v>1009</v>
      </c>
      <c r="O158" t="s">
        <v>26</v>
      </c>
      <c r="P158" t="s">
        <v>26</v>
      </c>
      <c r="Q158">
        <v>1000</v>
      </c>
      <c r="X158">
        <v>2.3599999999999999E-2</v>
      </c>
      <c r="Y158">
        <v>1694.99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2.3599999999999999E-2</v>
      </c>
      <c r="AH158">
        <v>2</v>
      </c>
      <c r="AI158">
        <v>35833307</v>
      </c>
      <c r="AJ158">
        <v>155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ROW(Source!A130)</f>
        <v>130</v>
      </c>
      <c r="B159">
        <v>35833308</v>
      </c>
      <c r="C159">
        <v>35833299</v>
      </c>
      <c r="D159">
        <v>29109162</v>
      </c>
      <c r="E159">
        <v>1</v>
      </c>
      <c r="F159">
        <v>1</v>
      </c>
      <c r="G159">
        <v>1</v>
      </c>
      <c r="H159">
        <v>3</v>
      </c>
      <c r="I159" t="s">
        <v>449</v>
      </c>
      <c r="J159" t="s">
        <v>450</v>
      </c>
      <c r="K159" t="s">
        <v>451</v>
      </c>
      <c r="L159">
        <v>1327</v>
      </c>
      <c r="N159">
        <v>1005</v>
      </c>
      <c r="O159" t="s">
        <v>140</v>
      </c>
      <c r="P159" t="s">
        <v>140</v>
      </c>
      <c r="Q159">
        <v>1</v>
      </c>
      <c r="X159">
        <v>89</v>
      </c>
      <c r="Y159">
        <v>5.71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89</v>
      </c>
      <c r="AH159">
        <v>2</v>
      </c>
      <c r="AI159">
        <v>35833308</v>
      </c>
      <c r="AJ159">
        <v>156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ROW(Source!A130)</f>
        <v>130</v>
      </c>
      <c r="B160">
        <v>35833309</v>
      </c>
      <c r="C160">
        <v>35833299</v>
      </c>
      <c r="D160">
        <v>29112547</v>
      </c>
      <c r="E160">
        <v>1</v>
      </c>
      <c r="F160">
        <v>1</v>
      </c>
      <c r="G160">
        <v>1</v>
      </c>
      <c r="H160">
        <v>3</v>
      </c>
      <c r="I160" t="s">
        <v>452</v>
      </c>
      <c r="J160" t="s">
        <v>453</v>
      </c>
      <c r="K160" t="s">
        <v>454</v>
      </c>
      <c r="L160">
        <v>1346</v>
      </c>
      <c r="N160">
        <v>1009</v>
      </c>
      <c r="O160" t="s">
        <v>401</v>
      </c>
      <c r="P160" t="s">
        <v>401</v>
      </c>
      <c r="Q160">
        <v>1</v>
      </c>
      <c r="X160">
        <v>37.5</v>
      </c>
      <c r="Y160">
        <v>10.26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37.5</v>
      </c>
      <c r="AH160">
        <v>2</v>
      </c>
      <c r="AI160">
        <v>35833309</v>
      </c>
      <c r="AJ160">
        <v>157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ROW(Source!A130)</f>
        <v>130</v>
      </c>
      <c r="B161">
        <v>35833310</v>
      </c>
      <c r="C161">
        <v>35833299</v>
      </c>
      <c r="D161">
        <v>29114332</v>
      </c>
      <c r="E161">
        <v>1</v>
      </c>
      <c r="F161">
        <v>1</v>
      </c>
      <c r="G161">
        <v>1</v>
      </c>
      <c r="H161">
        <v>3</v>
      </c>
      <c r="I161" t="s">
        <v>345</v>
      </c>
      <c r="J161" t="s">
        <v>346</v>
      </c>
      <c r="K161" t="s">
        <v>347</v>
      </c>
      <c r="L161">
        <v>1348</v>
      </c>
      <c r="N161">
        <v>1009</v>
      </c>
      <c r="O161" t="s">
        <v>26</v>
      </c>
      <c r="P161" t="s">
        <v>26</v>
      </c>
      <c r="Q161">
        <v>1000</v>
      </c>
      <c r="X161">
        <v>4.13E-3</v>
      </c>
      <c r="Y161">
        <v>11978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4.13E-3</v>
      </c>
      <c r="AH161">
        <v>2</v>
      </c>
      <c r="AI161">
        <v>35833310</v>
      </c>
      <c r="AJ161">
        <v>158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ROW(Source!A130)</f>
        <v>130</v>
      </c>
      <c r="B162">
        <v>35833311</v>
      </c>
      <c r="C162">
        <v>35833299</v>
      </c>
      <c r="D162">
        <v>29107989</v>
      </c>
      <c r="E162">
        <v>1</v>
      </c>
      <c r="F162">
        <v>1</v>
      </c>
      <c r="G162">
        <v>1</v>
      </c>
      <c r="H162">
        <v>3</v>
      </c>
      <c r="I162" t="s">
        <v>455</v>
      </c>
      <c r="J162" t="s">
        <v>456</v>
      </c>
      <c r="K162" t="s">
        <v>457</v>
      </c>
      <c r="L162">
        <v>1296</v>
      </c>
      <c r="N162">
        <v>1002</v>
      </c>
      <c r="O162" t="s">
        <v>458</v>
      </c>
      <c r="P162" t="s">
        <v>458</v>
      </c>
      <c r="Q162">
        <v>1</v>
      </c>
      <c r="X162">
        <v>32.4</v>
      </c>
      <c r="Y162">
        <v>47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32.4</v>
      </c>
      <c r="AH162">
        <v>2</v>
      </c>
      <c r="AI162">
        <v>35833311</v>
      </c>
      <c r="AJ162">
        <v>159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ROW(Source!A130)</f>
        <v>130</v>
      </c>
      <c r="B163">
        <v>35833312</v>
      </c>
      <c r="C163">
        <v>35833299</v>
      </c>
      <c r="D163">
        <v>29114830</v>
      </c>
      <c r="E163">
        <v>1</v>
      </c>
      <c r="F163">
        <v>1</v>
      </c>
      <c r="G163">
        <v>1</v>
      </c>
      <c r="H163">
        <v>3</v>
      </c>
      <c r="I163" t="s">
        <v>592</v>
      </c>
      <c r="J163" t="s">
        <v>593</v>
      </c>
      <c r="K163" t="s">
        <v>594</v>
      </c>
      <c r="L163">
        <v>1035</v>
      </c>
      <c r="N163">
        <v>1013</v>
      </c>
      <c r="O163" t="s">
        <v>595</v>
      </c>
      <c r="P163" t="s">
        <v>595</v>
      </c>
      <c r="Q163">
        <v>1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0</v>
      </c>
      <c r="AF163" t="s">
        <v>3</v>
      </c>
      <c r="AG163">
        <v>0</v>
      </c>
      <c r="AH163">
        <v>3</v>
      </c>
      <c r="AI163">
        <v>-1</v>
      </c>
      <c r="AJ163" t="s">
        <v>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ROW(Source!A130)</f>
        <v>130</v>
      </c>
      <c r="B164">
        <v>35833313</v>
      </c>
      <c r="C164">
        <v>35833299</v>
      </c>
      <c r="D164">
        <v>29115642</v>
      </c>
      <c r="E164">
        <v>1</v>
      </c>
      <c r="F164">
        <v>1</v>
      </c>
      <c r="G164">
        <v>1</v>
      </c>
      <c r="H164">
        <v>3</v>
      </c>
      <c r="I164" t="s">
        <v>459</v>
      </c>
      <c r="J164" t="s">
        <v>460</v>
      </c>
      <c r="K164" t="s">
        <v>461</v>
      </c>
      <c r="L164">
        <v>1339</v>
      </c>
      <c r="N164">
        <v>1007</v>
      </c>
      <c r="O164" t="s">
        <v>182</v>
      </c>
      <c r="P164" t="s">
        <v>182</v>
      </c>
      <c r="Q164">
        <v>1</v>
      </c>
      <c r="X164">
        <v>0.08</v>
      </c>
      <c r="Y164">
        <v>1100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0.08</v>
      </c>
      <c r="AH164">
        <v>2</v>
      </c>
      <c r="AI164">
        <v>35833313</v>
      </c>
      <c r="AJ164">
        <v>160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ROW(Source!A130)</f>
        <v>130</v>
      </c>
      <c r="B165">
        <v>35833314</v>
      </c>
      <c r="C165">
        <v>35833299</v>
      </c>
      <c r="D165">
        <v>29130561</v>
      </c>
      <c r="E165">
        <v>1</v>
      </c>
      <c r="F165">
        <v>1</v>
      </c>
      <c r="G165">
        <v>1</v>
      </c>
      <c r="H165">
        <v>3</v>
      </c>
      <c r="I165" t="s">
        <v>462</v>
      </c>
      <c r="J165" t="s">
        <v>463</v>
      </c>
      <c r="K165" t="s">
        <v>464</v>
      </c>
      <c r="L165">
        <v>1327</v>
      </c>
      <c r="N165">
        <v>1005</v>
      </c>
      <c r="O165" t="s">
        <v>140</v>
      </c>
      <c r="P165" t="s">
        <v>140</v>
      </c>
      <c r="Q165">
        <v>1</v>
      </c>
      <c r="X165">
        <v>100</v>
      </c>
      <c r="Y165">
        <v>207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100</v>
      </c>
      <c r="AH165">
        <v>2</v>
      </c>
      <c r="AI165">
        <v>35833314</v>
      </c>
      <c r="AJ165">
        <v>161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ROW(Source!A130)</f>
        <v>130</v>
      </c>
      <c r="B166">
        <v>35833315</v>
      </c>
      <c r="C166">
        <v>35833299</v>
      </c>
      <c r="D166">
        <v>29145217</v>
      </c>
      <c r="E166">
        <v>1</v>
      </c>
      <c r="F166">
        <v>1</v>
      </c>
      <c r="G166">
        <v>1</v>
      </c>
      <c r="H166">
        <v>3</v>
      </c>
      <c r="I166" t="s">
        <v>465</v>
      </c>
      <c r="J166" t="s">
        <v>466</v>
      </c>
      <c r="K166" t="s">
        <v>467</v>
      </c>
      <c r="L166">
        <v>1339</v>
      </c>
      <c r="N166">
        <v>1007</v>
      </c>
      <c r="O166" t="s">
        <v>182</v>
      </c>
      <c r="P166" t="s">
        <v>182</v>
      </c>
      <c r="Q166">
        <v>1</v>
      </c>
      <c r="X166">
        <v>0.105</v>
      </c>
      <c r="Y166">
        <v>458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0.105</v>
      </c>
      <c r="AH166">
        <v>2</v>
      </c>
      <c r="AI166">
        <v>35833315</v>
      </c>
      <c r="AJ166">
        <v>163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ROW(Source!A130)</f>
        <v>130</v>
      </c>
      <c r="B167">
        <v>35833316</v>
      </c>
      <c r="C167">
        <v>35833299</v>
      </c>
      <c r="D167">
        <v>29149204</v>
      </c>
      <c r="E167">
        <v>1</v>
      </c>
      <c r="F167">
        <v>1</v>
      </c>
      <c r="G167">
        <v>1</v>
      </c>
      <c r="H167">
        <v>3</v>
      </c>
      <c r="I167" t="s">
        <v>468</v>
      </c>
      <c r="J167" t="s">
        <v>469</v>
      </c>
      <c r="K167" t="s">
        <v>470</v>
      </c>
      <c r="L167">
        <v>1348</v>
      </c>
      <c r="N167">
        <v>1009</v>
      </c>
      <c r="O167" t="s">
        <v>26</v>
      </c>
      <c r="P167" t="s">
        <v>26</v>
      </c>
      <c r="Q167">
        <v>1000</v>
      </c>
      <c r="X167">
        <v>1.6E-2</v>
      </c>
      <c r="Y167">
        <v>729.98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3</v>
      </c>
      <c r="AG167">
        <v>1.6E-2</v>
      </c>
      <c r="AH167">
        <v>2</v>
      </c>
      <c r="AI167">
        <v>35833316</v>
      </c>
      <c r="AJ167">
        <v>164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ROW(Source!A132)</f>
        <v>132</v>
      </c>
      <c r="B168">
        <v>35833772</v>
      </c>
      <c r="C168">
        <v>35833771</v>
      </c>
      <c r="D168">
        <v>18411771</v>
      </c>
      <c r="E168">
        <v>1</v>
      </c>
      <c r="F168">
        <v>1</v>
      </c>
      <c r="G168">
        <v>1</v>
      </c>
      <c r="H168">
        <v>1</v>
      </c>
      <c r="I168" t="s">
        <v>321</v>
      </c>
      <c r="J168" t="s">
        <v>3</v>
      </c>
      <c r="K168" t="s">
        <v>322</v>
      </c>
      <c r="L168">
        <v>1369</v>
      </c>
      <c r="N168">
        <v>1013</v>
      </c>
      <c r="O168" t="s">
        <v>323</v>
      </c>
      <c r="P168" t="s">
        <v>323</v>
      </c>
      <c r="Q168">
        <v>1</v>
      </c>
      <c r="X168">
        <v>47.3</v>
      </c>
      <c r="Y168">
        <v>0</v>
      </c>
      <c r="Z168">
        <v>0</v>
      </c>
      <c r="AA168">
        <v>0</v>
      </c>
      <c r="AB168">
        <v>259.24</v>
      </c>
      <c r="AC168">
        <v>0</v>
      </c>
      <c r="AD168">
        <v>1</v>
      </c>
      <c r="AE168">
        <v>1</v>
      </c>
      <c r="AF168" t="s">
        <v>3</v>
      </c>
      <c r="AG168">
        <v>47.3</v>
      </c>
      <c r="AH168">
        <v>2</v>
      </c>
      <c r="AI168">
        <v>35833772</v>
      </c>
      <c r="AJ168">
        <v>165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ROW(Source!A132)</f>
        <v>132</v>
      </c>
      <c r="B169">
        <v>35833773</v>
      </c>
      <c r="C169">
        <v>35833771</v>
      </c>
      <c r="D169">
        <v>29172659</v>
      </c>
      <c r="E169">
        <v>1</v>
      </c>
      <c r="F169">
        <v>1</v>
      </c>
      <c r="G169">
        <v>1</v>
      </c>
      <c r="H169">
        <v>2</v>
      </c>
      <c r="I169" t="s">
        <v>368</v>
      </c>
      <c r="J169" t="s">
        <v>369</v>
      </c>
      <c r="K169" t="s">
        <v>370</v>
      </c>
      <c r="L169">
        <v>1368</v>
      </c>
      <c r="N169">
        <v>1011</v>
      </c>
      <c r="O169" t="s">
        <v>331</v>
      </c>
      <c r="P169" t="s">
        <v>331</v>
      </c>
      <c r="Q169">
        <v>1</v>
      </c>
      <c r="X169">
        <v>4.7</v>
      </c>
      <c r="Y169">
        <v>0</v>
      </c>
      <c r="Z169">
        <v>1.2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4.7</v>
      </c>
      <c r="AH169">
        <v>2</v>
      </c>
      <c r="AI169">
        <v>35833773</v>
      </c>
      <c r="AJ169">
        <v>166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ROW(Source!A132)</f>
        <v>132</v>
      </c>
      <c r="B170">
        <v>35833774</v>
      </c>
      <c r="C170">
        <v>35833771</v>
      </c>
      <c r="D170">
        <v>29107441</v>
      </c>
      <c r="E170">
        <v>1</v>
      </c>
      <c r="F170">
        <v>1</v>
      </c>
      <c r="G170">
        <v>1</v>
      </c>
      <c r="H170">
        <v>3</v>
      </c>
      <c r="I170" t="s">
        <v>383</v>
      </c>
      <c r="J170" t="s">
        <v>384</v>
      </c>
      <c r="K170" t="s">
        <v>385</v>
      </c>
      <c r="L170">
        <v>1339</v>
      </c>
      <c r="N170">
        <v>1007</v>
      </c>
      <c r="O170" t="s">
        <v>182</v>
      </c>
      <c r="P170" t="s">
        <v>182</v>
      </c>
      <c r="Q170">
        <v>1</v>
      </c>
      <c r="X170">
        <v>3.9</v>
      </c>
      <c r="Y170">
        <v>6.23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3.9</v>
      </c>
      <c r="AH170">
        <v>2</v>
      </c>
      <c r="AI170">
        <v>35833774</v>
      </c>
      <c r="AJ170">
        <v>167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ROW(Source!A132)</f>
        <v>132</v>
      </c>
      <c r="B171">
        <v>35833775</v>
      </c>
      <c r="C171">
        <v>35833771</v>
      </c>
      <c r="D171">
        <v>29107430</v>
      </c>
      <c r="E171">
        <v>1</v>
      </c>
      <c r="F171">
        <v>1</v>
      </c>
      <c r="G171">
        <v>1</v>
      </c>
      <c r="H171">
        <v>3</v>
      </c>
      <c r="I171" t="s">
        <v>564</v>
      </c>
      <c r="J171" t="s">
        <v>565</v>
      </c>
      <c r="K171" t="s">
        <v>566</v>
      </c>
      <c r="L171">
        <v>1339</v>
      </c>
      <c r="N171">
        <v>1007</v>
      </c>
      <c r="O171" t="s">
        <v>182</v>
      </c>
      <c r="P171" t="s">
        <v>182</v>
      </c>
      <c r="Q171">
        <v>1</v>
      </c>
      <c r="X171">
        <v>0.6</v>
      </c>
      <c r="Y171">
        <v>38.49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0.6</v>
      </c>
      <c r="AH171">
        <v>2</v>
      </c>
      <c r="AI171">
        <v>35833775</v>
      </c>
      <c r="AJ171">
        <v>168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ROW(Source!A132)</f>
        <v>132</v>
      </c>
      <c r="B172">
        <v>35833776</v>
      </c>
      <c r="C172">
        <v>35833771</v>
      </c>
      <c r="D172">
        <v>29164349</v>
      </c>
      <c r="E172">
        <v>1</v>
      </c>
      <c r="F172">
        <v>1</v>
      </c>
      <c r="G172">
        <v>1</v>
      </c>
      <c r="H172">
        <v>3</v>
      </c>
      <c r="I172" t="s">
        <v>24</v>
      </c>
      <c r="J172" t="s">
        <v>27</v>
      </c>
      <c r="K172" t="s">
        <v>25</v>
      </c>
      <c r="L172">
        <v>1348</v>
      </c>
      <c r="N172">
        <v>1009</v>
      </c>
      <c r="O172" t="s">
        <v>26</v>
      </c>
      <c r="P172" t="s">
        <v>26</v>
      </c>
      <c r="Q172">
        <v>1000</v>
      </c>
      <c r="X172">
        <v>2.5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 t="s">
        <v>3</v>
      </c>
      <c r="AG172">
        <v>2.5</v>
      </c>
      <c r="AH172">
        <v>2</v>
      </c>
      <c r="AI172">
        <v>35833776</v>
      </c>
      <c r="AJ172">
        <v>169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ROW(Source!A134)</f>
        <v>134</v>
      </c>
      <c r="B173">
        <v>35833780</v>
      </c>
      <c r="C173">
        <v>35833779</v>
      </c>
      <c r="D173">
        <v>18406785</v>
      </c>
      <c r="E173">
        <v>1</v>
      </c>
      <c r="F173">
        <v>1</v>
      </c>
      <c r="G173">
        <v>1</v>
      </c>
      <c r="H173">
        <v>1</v>
      </c>
      <c r="I173" t="s">
        <v>567</v>
      </c>
      <c r="J173" t="s">
        <v>3</v>
      </c>
      <c r="K173" t="s">
        <v>568</v>
      </c>
      <c r="L173">
        <v>1369</v>
      </c>
      <c r="N173">
        <v>1013</v>
      </c>
      <c r="O173" t="s">
        <v>323</v>
      </c>
      <c r="P173" t="s">
        <v>323</v>
      </c>
      <c r="Q173">
        <v>1</v>
      </c>
      <c r="X173">
        <v>28.78</v>
      </c>
      <c r="Y173">
        <v>0</v>
      </c>
      <c r="Z173">
        <v>0</v>
      </c>
      <c r="AA173">
        <v>0</v>
      </c>
      <c r="AB173">
        <v>289.27999999999997</v>
      </c>
      <c r="AC173">
        <v>0</v>
      </c>
      <c r="AD173">
        <v>1</v>
      </c>
      <c r="AE173">
        <v>1</v>
      </c>
      <c r="AF173" t="s">
        <v>101</v>
      </c>
      <c r="AG173">
        <v>33.097000000000001</v>
      </c>
      <c r="AH173">
        <v>2</v>
      </c>
      <c r="AI173">
        <v>35833780</v>
      </c>
      <c r="AJ173">
        <v>170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ROW(Source!A134)</f>
        <v>134</v>
      </c>
      <c r="B174">
        <v>35833781</v>
      </c>
      <c r="C174">
        <v>35833779</v>
      </c>
      <c r="D174">
        <v>121548</v>
      </c>
      <c r="E174">
        <v>1</v>
      </c>
      <c r="F174">
        <v>1</v>
      </c>
      <c r="G174">
        <v>1</v>
      </c>
      <c r="H174">
        <v>1</v>
      </c>
      <c r="I174" t="s">
        <v>28</v>
      </c>
      <c r="J174" t="s">
        <v>3</v>
      </c>
      <c r="K174" t="s">
        <v>326</v>
      </c>
      <c r="L174">
        <v>608254</v>
      </c>
      <c r="N174">
        <v>1013</v>
      </c>
      <c r="O174" t="s">
        <v>327</v>
      </c>
      <c r="P174" t="s">
        <v>327</v>
      </c>
      <c r="Q174">
        <v>1</v>
      </c>
      <c r="X174">
        <v>0.47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2</v>
      </c>
      <c r="AF174" t="s">
        <v>100</v>
      </c>
      <c r="AG174">
        <v>0.58749999999999991</v>
      </c>
      <c r="AH174">
        <v>2</v>
      </c>
      <c r="AI174">
        <v>35833781</v>
      </c>
      <c r="AJ174">
        <v>171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ROW(Source!A134)</f>
        <v>134</v>
      </c>
      <c r="B175">
        <v>35833782</v>
      </c>
      <c r="C175">
        <v>35833779</v>
      </c>
      <c r="D175">
        <v>29172379</v>
      </c>
      <c r="E175">
        <v>1</v>
      </c>
      <c r="F175">
        <v>1</v>
      </c>
      <c r="G175">
        <v>1</v>
      </c>
      <c r="H175">
        <v>2</v>
      </c>
      <c r="I175" t="s">
        <v>359</v>
      </c>
      <c r="J175" t="s">
        <v>360</v>
      </c>
      <c r="K175" t="s">
        <v>361</v>
      </c>
      <c r="L175">
        <v>1368</v>
      </c>
      <c r="N175">
        <v>1011</v>
      </c>
      <c r="O175" t="s">
        <v>331</v>
      </c>
      <c r="P175" t="s">
        <v>331</v>
      </c>
      <c r="Q175">
        <v>1</v>
      </c>
      <c r="X175">
        <v>0.47</v>
      </c>
      <c r="Y175">
        <v>0</v>
      </c>
      <c r="Z175">
        <v>112</v>
      </c>
      <c r="AA175">
        <v>13.5</v>
      </c>
      <c r="AB175">
        <v>0</v>
      </c>
      <c r="AC175">
        <v>0</v>
      </c>
      <c r="AD175">
        <v>1</v>
      </c>
      <c r="AE175">
        <v>0</v>
      </c>
      <c r="AF175" t="s">
        <v>100</v>
      </c>
      <c r="AG175">
        <v>0.58749999999999991</v>
      </c>
      <c r="AH175">
        <v>2</v>
      </c>
      <c r="AI175">
        <v>35833782</v>
      </c>
      <c r="AJ175">
        <v>172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ROW(Source!A134)</f>
        <v>134</v>
      </c>
      <c r="B176">
        <v>35833783</v>
      </c>
      <c r="C176">
        <v>35833779</v>
      </c>
      <c r="D176">
        <v>29174913</v>
      </c>
      <c r="E176">
        <v>1</v>
      </c>
      <c r="F176">
        <v>1</v>
      </c>
      <c r="G176">
        <v>1</v>
      </c>
      <c r="H176">
        <v>2</v>
      </c>
      <c r="I176" t="s">
        <v>342</v>
      </c>
      <c r="J176" t="s">
        <v>343</v>
      </c>
      <c r="K176" t="s">
        <v>344</v>
      </c>
      <c r="L176">
        <v>1368</v>
      </c>
      <c r="N176">
        <v>1011</v>
      </c>
      <c r="O176" t="s">
        <v>331</v>
      </c>
      <c r="P176" t="s">
        <v>331</v>
      </c>
      <c r="Q176">
        <v>1</v>
      </c>
      <c r="X176">
        <v>0.7</v>
      </c>
      <c r="Y176">
        <v>0</v>
      </c>
      <c r="Z176">
        <v>87.17</v>
      </c>
      <c r="AA176">
        <v>11.6</v>
      </c>
      <c r="AB176">
        <v>0</v>
      </c>
      <c r="AC176">
        <v>0</v>
      </c>
      <c r="AD176">
        <v>1</v>
      </c>
      <c r="AE176">
        <v>0</v>
      </c>
      <c r="AF176" t="s">
        <v>100</v>
      </c>
      <c r="AG176">
        <v>0.875</v>
      </c>
      <c r="AH176">
        <v>2</v>
      </c>
      <c r="AI176">
        <v>35833783</v>
      </c>
      <c r="AJ176">
        <v>173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ROW(Source!A134)</f>
        <v>134</v>
      </c>
      <c r="B177">
        <v>35833784</v>
      </c>
      <c r="C177">
        <v>35833779</v>
      </c>
      <c r="D177">
        <v>29114332</v>
      </c>
      <c r="E177">
        <v>1</v>
      </c>
      <c r="F177">
        <v>1</v>
      </c>
      <c r="G177">
        <v>1</v>
      </c>
      <c r="H177">
        <v>3</v>
      </c>
      <c r="I177" t="s">
        <v>345</v>
      </c>
      <c r="J177" t="s">
        <v>346</v>
      </c>
      <c r="K177" t="s">
        <v>347</v>
      </c>
      <c r="L177">
        <v>1348</v>
      </c>
      <c r="N177">
        <v>1009</v>
      </c>
      <c r="O177" t="s">
        <v>26</v>
      </c>
      <c r="P177" t="s">
        <v>26</v>
      </c>
      <c r="Q177">
        <v>1000</v>
      </c>
      <c r="X177">
        <v>7.62E-3</v>
      </c>
      <c r="Y177">
        <v>11978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7.62E-3</v>
      </c>
      <c r="AH177">
        <v>2</v>
      </c>
      <c r="AI177">
        <v>35833784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ROW(Source!A136)</f>
        <v>136</v>
      </c>
      <c r="B178">
        <v>35797750</v>
      </c>
      <c r="C178">
        <v>35797749</v>
      </c>
      <c r="D178">
        <v>18409661</v>
      </c>
      <c r="E178">
        <v>1</v>
      </c>
      <c r="F178">
        <v>1</v>
      </c>
      <c r="G178">
        <v>1</v>
      </c>
      <c r="H178">
        <v>1</v>
      </c>
      <c r="I178" t="s">
        <v>569</v>
      </c>
      <c r="J178" t="s">
        <v>3</v>
      </c>
      <c r="K178" t="s">
        <v>570</v>
      </c>
      <c r="L178">
        <v>1369</v>
      </c>
      <c r="N178">
        <v>1013</v>
      </c>
      <c r="O178" t="s">
        <v>323</v>
      </c>
      <c r="P178" t="s">
        <v>323</v>
      </c>
      <c r="Q178">
        <v>1</v>
      </c>
      <c r="X178">
        <v>102.89</v>
      </c>
      <c r="Y178">
        <v>0</v>
      </c>
      <c r="Z178">
        <v>0</v>
      </c>
      <c r="AA178">
        <v>0</v>
      </c>
      <c r="AB178">
        <v>258.77</v>
      </c>
      <c r="AC178">
        <v>0</v>
      </c>
      <c r="AD178">
        <v>1</v>
      </c>
      <c r="AE178">
        <v>1</v>
      </c>
      <c r="AF178" t="s">
        <v>3</v>
      </c>
      <c r="AG178">
        <v>102.89</v>
      </c>
      <c r="AH178">
        <v>2</v>
      </c>
      <c r="AI178">
        <v>35797750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ROW(Source!A136)</f>
        <v>136</v>
      </c>
      <c r="B179">
        <v>35797751</v>
      </c>
      <c r="C179">
        <v>35797749</v>
      </c>
      <c r="D179">
        <v>121548</v>
      </c>
      <c r="E179">
        <v>1</v>
      </c>
      <c r="F179">
        <v>1</v>
      </c>
      <c r="G179">
        <v>1</v>
      </c>
      <c r="H179">
        <v>1</v>
      </c>
      <c r="I179" t="s">
        <v>28</v>
      </c>
      <c r="J179" t="s">
        <v>3</v>
      </c>
      <c r="K179" t="s">
        <v>326</v>
      </c>
      <c r="L179">
        <v>608254</v>
      </c>
      <c r="N179">
        <v>1013</v>
      </c>
      <c r="O179" t="s">
        <v>327</v>
      </c>
      <c r="P179" t="s">
        <v>327</v>
      </c>
      <c r="Q179">
        <v>1</v>
      </c>
      <c r="X179">
        <v>0.28999999999999998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2</v>
      </c>
      <c r="AF179" t="s">
        <v>3</v>
      </c>
      <c r="AG179">
        <v>0.28999999999999998</v>
      </c>
      <c r="AH179">
        <v>2</v>
      </c>
      <c r="AI179">
        <v>35797751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ROW(Source!A136)</f>
        <v>136</v>
      </c>
      <c r="B180">
        <v>35797752</v>
      </c>
      <c r="C180">
        <v>35797749</v>
      </c>
      <c r="D180">
        <v>29172556</v>
      </c>
      <c r="E180">
        <v>1</v>
      </c>
      <c r="F180">
        <v>1</v>
      </c>
      <c r="G180">
        <v>1</v>
      </c>
      <c r="H180">
        <v>2</v>
      </c>
      <c r="I180" t="s">
        <v>337</v>
      </c>
      <c r="J180" t="s">
        <v>338</v>
      </c>
      <c r="K180" t="s">
        <v>339</v>
      </c>
      <c r="L180">
        <v>1368</v>
      </c>
      <c r="N180">
        <v>1011</v>
      </c>
      <c r="O180" t="s">
        <v>331</v>
      </c>
      <c r="P180" t="s">
        <v>331</v>
      </c>
      <c r="Q180">
        <v>1</v>
      </c>
      <c r="X180">
        <v>0.28999999999999998</v>
      </c>
      <c r="Y180">
        <v>0</v>
      </c>
      <c r="Z180">
        <v>31.26</v>
      </c>
      <c r="AA180">
        <v>13.5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0.28999999999999998</v>
      </c>
      <c r="AH180">
        <v>2</v>
      </c>
      <c r="AI180">
        <v>35797752</v>
      </c>
      <c r="AJ180">
        <v>177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ROW(Source!A136)</f>
        <v>136</v>
      </c>
      <c r="B181">
        <v>35797753</v>
      </c>
      <c r="C181">
        <v>35797749</v>
      </c>
      <c r="D181">
        <v>29174913</v>
      </c>
      <c r="E181">
        <v>1</v>
      </c>
      <c r="F181">
        <v>1</v>
      </c>
      <c r="G181">
        <v>1</v>
      </c>
      <c r="H181">
        <v>2</v>
      </c>
      <c r="I181" t="s">
        <v>342</v>
      </c>
      <c r="J181" t="s">
        <v>343</v>
      </c>
      <c r="K181" t="s">
        <v>344</v>
      </c>
      <c r="L181">
        <v>1368</v>
      </c>
      <c r="N181">
        <v>1011</v>
      </c>
      <c r="O181" t="s">
        <v>331</v>
      </c>
      <c r="P181" t="s">
        <v>331</v>
      </c>
      <c r="Q181">
        <v>1</v>
      </c>
      <c r="X181">
        <v>0.15</v>
      </c>
      <c r="Y181">
        <v>0</v>
      </c>
      <c r="Z181">
        <v>87.17</v>
      </c>
      <c r="AA181">
        <v>11.6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0.15</v>
      </c>
      <c r="AH181">
        <v>2</v>
      </c>
      <c r="AI181">
        <v>35797753</v>
      </c>
      <c r="AJ181">
        <v>178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ROW(Source!A136)</f>
        <v>136</v>
      </c>
      <c r="B182">
        <v>35797754</v>
      </c>
      <c r="C182">
        <v>35797749</v>
      </c>
      <c r="D182">
        <v>29109197</v>
      </c>
      <c r="E182">
        <v>1</v>
      </c>
      <c r="F182">
        <v>1</v>
      </c>
      <c r="G182">
        <v>1</v>
      </c>
      <c r="H182">
        <v>3</v>
      </c>
      <c r="I182" t="s">
        <v>571</v>
      </c>
      <c r="J182" t="s">
        <v>572</v>
      </c>
      <c r="K182" t="s">
        <v>573</v>
      </c>
      <c r="L182">
        <v>1348</v>
      </c>
      <c r="N182">
        <v>1009</v>
      </c>
      <c r="O182" t="s">
        <v>26</v>
      </c>
      <c r="P182" t="s">
        <v>26</v>
      </c>
      <c r="Q182">
        <v>1000</v>
      </c>
      <c r="X182">
        <v>0.1</v>
      </c>
      <c r="Y182">
        <v>412.01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0.1</v>
      </c>
      <c r="AH182">
        <v>2</v>
      </c>
      <c r="AI182">
        <v>35797754</v>
      </c>
      <c r="AJ182">
        <v>179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ROW(Source!A136)</f>
        <v>136</v>
      </c>
      <c r="B183">
        <v>35797755</v>
      </c>
      <c r="C183">
        <v>35797749</v>
      </c>
      <c r="D183">
        <v>29114332</v>
      </c>
      <c r="E183">
        <v>1</v>
      </c>
      <c r="F183">
        <v>1</v>
      </c>
      <c r="G183">
        <v>1</v>
      </c>
      <c r="H183">
        <v>3</v>
      </c>
      <c r="I183" t="s">
        <v>345</v>
      </c>
      <c r="J183" t="s">
        <v>346</v>
      </c>
      <c r="K183" t="s">
        <v>347</v>
      </c>
      <c r="L183">
        <v>1348</v>
      </c>
      <c r="N183">
        <v>1009</v>
      </c>
      <c r="O183" t="s">
        <v>26</v>
      </c>
      <c r="P183" t="s">
        <v>26</v>
      </c>
      <c r="Q183">
        <v>1000</v>
      </c>
      <c r="X183">
        <v>1E-3</v>
      </c>
      <c r="Y183">
        <v>11978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1E-3</v>
      </c>
      <c r="AH183">
        <v>2</v>
      </c>
      <c r="AI183">
        <v>35797755</v>
      </c>
      <c r="AJ183">
        <v>180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ROW(Source!A136)</f>
        <v>136</v>
      </c>
      <c r="B184">
        <v>35797756</v>
      </c>
      <c r="C184">
        <v>35797749</v>
      </c>
      <c r="D184">
        <v>29115584</v>
      </c>
      <c r="E184">
        <v>1</v>
      </c>
      <c r="F184">
        <v>1</v>
      </c>
      <c r="G184">
        <v>1</v>
      </c>
      <c r="H184">
        <v>3</v>
      </c>
      <c r="I184" t="s">
        <v>574</v>
      </c>
      <c r="J184" t="s">
        <v>575</v>
      </c>
      <c r="K184" t="s">
        <v>576</v>
      </c>
      <c r="L184">
        <v>1339</v>
      </c>
      <c r="N184">
        <v>1007</v>
      </c>
      <c r="O184" t="s">
        <v>182</v>
      </c>
      <c r="P184" t="s">
        <v>182</v>
      </c>
      <c r="Q184">
        <v>1</v>
      </c>
      <c r="X184">
        <v>0.52900000000000003</v>
      </c>
      <c r="Y184">
        <v>601.99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0.52900000000000003</v>
      </c>
      <c r="AH184">
        <v>2</v>
      </c>
      <c r="AI184">
        <v>35797756</v>
      </c>
      <c r="AJ184">
        <v>181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ROW(Source!A136)</f>
        <v>136</v>
      </c>
      <c r="B185">
        <v>35797757</v>
      </c>
      <c r="C185">
        <v>35797749</v>
      </c>
      <c r="D185">
        <v>29131507</v>
      </c>
      <c r="E185">
        <v>1</v>
      </c>
      <c r="F185">
        <v>1</v>
      </c>
      <c r="G185">
        <v>1</v>
      </c>
      <c r="H185">
        <v>3</v>
      </c>
      <c r="I185" t="s">
        <v>577</v>
      </c>
      <c r="J185" t="s">
        <v>578</v>
      </c>
      <c r="K185" t="s">
        <v>579</v>
      </c>
      <c r="L185">
        <v>1348</v>
      </c>
      <c r="N185">
        <v>1009</v>
      </c>
      <c r="O185" t="s">
        <v>26</v>
      </c>
      <c r="P185" t="s">
        <v>26</v>
      </c>
      <c r="Q185">
        <v>1000</v>
      </c>
      <c r="X185">
        <v>2E-3</v>
      </c>
      <c r="Y185">
        <v>7200.02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2E-3</v>
      </c>
      <c r="AH185">
        <v>2</v>
      </c>
      <c r="AI185">
        <v>35797757</v>
      </c>
      <c r="AJ185">
        <v>182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ROW(Source!A136)</f>
        <v>136</v>
      </c>
      <c r="B186">
        <v>35797758</v>
      </c>
      <c r="C186">
        <v>35797749</v>
      </c>
      <c r="D186">
        <v>29145008</v>
      </c>
      <c r="E186">
        <v>1</v>
      </c>
      <c r="F186">
        <v>1</v>
      </c>
      <c r="G186">
        <v>1</v>
      </c>
      <c r="H186">
        <v>3</v>
      </c>
      <c r="I186" t="s">
        <v>580</v>
      </c>
      <c r="J186" t="s">
        <v>581</v>
      </c>
      <c r="K186" t="s">
        <v>582</v>
      </c>
      <c r="L186">
        <v>1339</v>
      </c>
      <c r="N186">
        <v>1007</v>
      </c>
      <c r="O186" t="s">
        <v>182</v>
      </c>
      <c r="P186" t="s">
        <v>182</v>
      </c>
      <c r="Q186">
        <v>1</v>
      </c>
      <c r="X186">
        <v>0.28000000000000003</v>
      </c>
      <c r="Y186">
        <v>580.01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0.28000000000000003</v>
      </c>
      <c r="AH186">
        <v>2</v>
      </c>
      <c r="AI186">
        <v>35797758</v>
      </c>
      <c r="AJ186">
        <v>183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ROW(Source!A137)</f>
        <v>137</v>
      </c>
      <c r="B187">
        <v>36151141</v>
      </c>
      <c r="C187">
        <v>35797782</v>
      </c>
      <c r="D187">
        <v>18413230</v>
      </c>
      <c r="E187">
        <v>1</v>
      </c>
      <c r="F187">
        <v>1</v>
      </c>
      <c r="G187">
        <v>1</v>
      </c>
      <c r="H187">
        <v>1</v>
      </c>
      <c r="I187" t="s">
        <v>435</v>
      </c>
      <c r="J187" t="s">
        <v>3</v>
      </c>
      <c r="K187" t="s">
        <v>436</v>
      </c>
      <c r="L187">
        <v>1369</v>
      </c>
      <c r="N187">
        <v>1013</v>
      </c>
      <c r="O187" t="s">
        <v>323</v>
      </c>
      <c r="P187" t="s">
        <v>323</v>
      </c>
      <c r="Q187">
        <v>1</v>
      </c>
      <c r="X187">
        <v>378.17</v>
      </c>
      <c r="Y187">
        <v>0</v>
      </c>
      <c r="Z187">
        <v>0</v>
      </c>
      <c r="AA187">
        <v>0</v>
      </c>
      <c r="AB187">
        <v>299.72000000000003</v>
      </c>
      <c r="AC187">
        <v>0</v>
      </c>
      <c r="AD187">
        <v>1</v>
      </c>
      <c r="AE187">
        <v>1</v>
      </c>
      <c r="AF187" t="s">
        <v>101</v>
      </c>
      <c r="AG187">
        <v>434.89549999999997</v>
      </c>
      <c r="AH187">
        <v>2</v>
      </c>
      <c r="AI187">
        <v>36151141</v>
      </c>
      <c r="AJ187">
        <v>184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ROW(Source!A137)</f>
        <v>137</v>
      </c>
      <c r="B188">
        <v>36151142</v>
      </c>
      <c r="C188">
        <v>35797782</v>
      </c>
      <c r="D188">
        <v>121548</v>
      </c>
      <c r="E188">
        <v>1</v>
      </c>
      <c r="F188">
        <v>1</v>
      </c>
      <c r="G188">
        <v>1</v>
      </c>
      <c r="H188">
        <v>1</v>
      </c>
      <c r="I188" t="s">
        <v>28</v>
      </c>
      <c r="J188" t="s">
        <v>3</v>
      </c>
      <c r="K188" t="s">
        <v>326</v>
      </c>
      <c r="L188">
        <v>608254</v>
      </c>
      <c r="N188">
        <v>1013</v>
      </c>
      <c r="O188" t="s">
        <v>327</v>
      </c>
      <c r="P188" t="s">
        <v>327</v>
      </c>
      <c r="Q188">
        <v>1</v>
      </c>
      <c r="X188">
        <v>2.16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100</v>
      </c>
      <c r="AG188">
        <v>2.7</v>
      </c>
      <c r="AH188">
        <v>2</v>
      </c>
      <c r="AI188">
        <v>36151142</v>
      </c>
      <c r="AJ188">
        <v>185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ROW(Source!A137)</f>
        <v>137</v>
      </c>
      <c r="B189">
        <v>36151143</v>
      </c>
      <c r="C189">
        <v>35797782</v>
      </c>
      <c r="D189">
        <v>29172267</v>
      </c>
      <c r="E189">
        <v>1</v>
      </c>
      <c r="F189">
        <v>1</v>
      </c>
      <c r="G189">
        <v>1</v>
      </c>
      <c r="H189">
        <v>2</v>
      </c>
      <c r="I189" t="s">
        <v>499</v>
      </c>
      <c r="J189" t="s">
        <v>500</v>
      </c>
      <c r="K189" t="s">
        <v>501</v>
      </c>
      <c r="L189">
        <v>1368</v>
      </c>
      <c r="N189">
        <v>1011</v>
      </c>
      <c r="O189" t="s">
        <v>331</v>
      </c>
      <c r="P189" t="s">
        <v>331</v>
      </c>
      <c r="Q189">
        <v>1</v>
      </c>
      <c r="X189">
        <v>0.34</v>
      </c>
      <c r="Y189">
        <v>0</v>
      </c>
      <c r="Z189">
        <v>83.43</v>
      </c>
      <c r="AA189">
        <v>13.5</v>
      </c>
      <c r="AB189">
        <v>0</v>
      </c>
      <c r="AC189">
        <v>0</v>
      </c>
      <c r="AD189">
        <v>1</v>
      </c>
      <c r="AE189">
        <v>0</v>
      </c>
      <c r="AF189" t="s">
        <v>100</v>
      </c>
      <c r="AG189">
        <v>0.42500000000000004</v>
      </c>
      <c r="AH189">
        <v>2</v>
      </c>
      <c r="AI189">
        <v>36151143</v>
      </c>
      <c r="AJ189">
        <v>186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ROW(Source!A137)</f>
        <v>137</v>
      </c>
      <c r="B190">
        <v>36151144</v>
      </c>
      <c r="C190">
        <v>35797782</v>
      </c>
      <c r="D190">
        <v>29172378</v>
      </c>
      <c r="E190">
        <v>1</v>
      </c>
      <c r="F190">
        <v>1</v>
      </c>
      <c r="G190">
        <v>1</v>
      </c>
      <c r="H190">
        <v>2</v>
      </c>
      <c r="I190" t="s">
        <v>502</v>
      </c>
      <c r="J190" t="s">
        <v>503</v>
      </c>
      <c r="K190" t="s">
        <v>504</v>
      </c>
      <c r="L190">
        <v>1368</v>
      </c>
      <c r="N190">
        <v>1011</v>
      </c>
      <c r="O190" t="s">
        <v>331</v>
      </c>
      <c r="P190" t="s">
        <v>331</v>
      </c>
      <c r="Q190">
        <v>1</v>
      </c>
      <c r="X190">
        <v>0.13</v>
      </c>
      <c r="Y190">
        <v>0</v>
      </c>
      <c r="Z190">
        <v>88.01</v>
      </c>
      <c r="AA190">
        <v>11.6</v>
      </c>
      <c r="AB190">
        <v>0</v>
      </c>
      <c r="AC190">
        <v>0</v>
      </c>
      <c r="AD190">
        <v>1</v>
      </c>
      <c r="AE190">
        <v>0</v>
      </c>
      <c r="AF190" t="s">
        <v>100</v>
      </c>
      <c r="AG190">
        <v>0.16250000000000001</v>
      </c>
      <c r="AH190">
        <v>2</v>
      </c>
      <c r="AI190">
        <v>36151144</v>
      </c>
      <c r="AJ190">
        <v>187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ROW(Source!A137)</f>
        <v>137</v>
      </c>
      <c r="B191">
        <v>36151145</v>
      </c>
      <c r="C191">
        <v>35797782</v>
      </c>
      <c r="D191">
        <v>29173141</v>
      </c>
      <c r="E191">
        <v>1</v>
      </c>
      <c r="F191">
        <v>1</v>
      </c>
      <c r="G191">
        <v>1</v>
      </c>
      <c r="H191">
        <v>2</v>
      </c>
      <c r="I191" t="s">
        <v>505</v>
      </c>
      <c r="J191" t="s">
        <v>506</v>
      </c>
      <c r="K191" t="s">
        <v>507</v>
      </c>
      <c r="L191">
        <v>1368</v>
      </c>
      <c r="N191">
        <v>1011</v>
      </c>
      <c r="O191" t="s">
        <v>331</v>
      </c>
      <c r="P191" t="s">
        <v>331</v>
      </c>
      <c r="Q191">
        <v>1</v>
      </c>
      <c r="X191">
        <v>1.69</v>
      </c>
      <c r="Y191">
        <v>0</v>
      </c>
      <c r="Z191">
        <v>12.4</v>
      </c>
      <c r="AA191">
        <v>10.06</v>
      </c>
      <c r="AB191">
        <v>0</v>
      </c>
      <c r="AC191">
        <v>0</v>
      </c>
      <c r="AD191">
        <v>1</v>
      </c>
      <c r="AE191">
        <v>0</v>
      </c>
      <c r="AF191" t="s">
        <v>100</v>
      </c>
      <c r="AG191">
        <v>2.1124999999999998</v>
      </c>
      <c r="AH191">
        <v>2</v>
      </c>
      <c r="AI191">
        <v>36151145</v>
      </c>
      <c r="AJ191">
        <v>188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ROW(Source!A137)</f>
        <v>137</v>
      </c>
      <c r="B192">
        <v>36151146</v>
      </c>
      <c r="C192">
        <v>35797782</v>
      </c>
      <c r="D192">
        <v>29174638</v>
      </c>
      <c r="E192">
        <v>1</v>
      </c>
      <c r="F192">
        <v>1</v>
      </c>
      <c r="G192">
        <v>1</v>
      </c>
      <c r="H192">
        <v>2</v>
      </c>
      <c r="I192" t="s">
        <v>508</v>
      </c>
      <c r="J192" t="s">
        <v>509</v>
      </c>
      <c r="K192" t="s">
        <v>510</v>
      </c>
      <c r="L192">
        <v>1368</v>
      </c>
      <c r="N192">
        <v>1011</v>
      </c>
      <c r="O192" t="s">
        <v>331</v>
      </c>
      <c r="P192" t="s">
        <v>331</v>
      </c>
      <c r="Q192">
        <v>1</v>
      </c>
      <c r="X192">
        <v>0.09</v>
      </c>
      <c r="Y192">
        <v>0</v>
      </c>
      <c r="Z192">
        <v>9.9700000000000006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100</v>
      </c>
      <c r="AG192">
        <v>0.11249999999999999</v>
      </c>
      <c r="AH192">
        <v>2</v>
      </c>
      <c r="AI192">
        <v>36151146</v>
      </c>
      <c r="AJ192">
        <v>189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ROW(Source!A137)</f>
        <v>137</v>
      </c>
      <c r="B193">
        <v>36151147</v>
      </c>
      <c r="C193">
        <v>35797782</v>
      </c>
      <c r="D193">
        <v>29174913</v>
      </c>
      <c r="E193">
        <v>1</v>
      </c>
      <c r="F193">
        <v>1</v>
      </c>
      <c r="G193">
        <v>1</v>
      </c>
      <c r="H193">
        <v>2</v>
      </c>
      <c r="I193" t="s">
        <v>342</v>
      </c>
      <c r="J193" t="s">
        <v>343</v>
      </c>
      <c r="K193" t="s">
        <v>344</v>
      </c>
      <c r="L193">
        <v>1368</v>
      </c>
      <c r="N193">
        <v>1011</v>
      </c>
      <c r="O193" t="s">
        <v>331</v>
      </c>
      <c r="P193" t="s">
        <v>331</v>
      </c>
      <c r="Q193">
        <v>1</v>
      </c>
      <c r="X193">
        <v>0.13</v>
      </c>
      <c r="Y193">
        <v>0</v>
      </c>
      <c r="Z193">
        <v>87.17</v>
      </c>
      <c r="AA193">
        <v>11.6</v>
      </c>
      <c r="AB193">
        <v>0</v>
      </c>
      <c r="AC193">
        <v>0</v>
      </c>
      <c r="AD193">
        <v>1</v>
      </c>
      <c r="AE193">
        <v>0</v>
      </c>
      <c r="AF193" t="s">
        <v>100</v>
      </c>
      <c r="AG193">
        <v>0.16250000000000001</v>
      </c>
      <c r="AH193">
        <v>2</v>
      </c>
      <c r="AI193">
        <v>36151147</v>
      </c>
      <c r="AJ193">
        <v>190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ROW(Source!A137)</f>
        <v>137</v>
      </c>
      <c r="B194">
        <v>36151148</v>
      </c>
      <c r="C194">
        <v>35797782</v>
      </c>
      <c r="D194">
        <v>29107863</v>
      </c>
      <c r="E194">
        <v>1</v>
      </c>
      <c r="F194">
        <v>1</v>
      </c>
      <c r="G194">
        <v>1</v>
      </c>
      <c r="H194">
        <v>3</v>
      </c>
      <c r="I194" t="s">
        <v>511</v>
      </c>
      <c r="J194" t="s">
        <v>512</v>
      </c>
      <c r="K194" t="s">
        <v>513</v>
      </c>
      <c r="L194">
        <v>1348</v>
      </c>
      <c r="N194">
        <v>1009</v>
      </c>
      <c r="O194" t="s">
        <v>26</v>
      </c>
      <c r="P194" t="s">
        <v>26</v>
      </c>
      <c r="Q194">
        <v>1000</v>
      </c>
      <c r="X194">
        <v>2.1000000000000001E-2</v>
      </c>
      <c r="Y194">
        <v>6532.53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2.1000000000000001E-2</v>
      </c>
      <c r="AH194">
        <v>2</v>
      </c>
      <c r="AI194">
        <v>36151148</v>
      </c>
      <c r="AJ194">
        <v>191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ROW(Source!A137)</f>
        <v>137</v>
      </c>
      <c r="B195">
        <v>36151149</v>
      </c>
      <c r="C195">
        <v>35797782</v>
      </c>
      <c r="D195">
        <v>29109437</v>
      </c>
      <c r="E195">
        <v>1</v>
      </c>
      <c r="F195">
        <v>1</v>
      </c>
      <c r="G195">
        <v>1</v>
      </c>
      <c r="H195">
        <v>3</v>
      </c>
      <c r="I195" t="s">
        <v>514</v>
      </c>
      <c r="J195" t="s">
        <v>515</v>
      </c>
      <c r="K195" t="s">
        <v>516</v>
      </c>
      <c r="L195">
        <v>1346</v>
      </c>
      <c r="N195">
        <v>1009</v>
      </c>
      <c r="O195" t="s">
        <v>401</v>
      </c>
      <c r="P195" t="s">
        <v>401</v>
      </c>
      <c r="Q195">
        <v>1</v>
      </c>
      <c r="X195">
        <v>1200</v>
      </c>
      <c r="Y195">
        <v>3.86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1200</v>
      </c>
      <c r="AH195">
        <v>2</v>
      </c>
      <c r="AI195">
        <v>36151149</v>
      </c>
      <c r="AJ195">
        <v>192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ROW(Source!A137)</f>
        <v>137</v>
      </c>
      <c r="B196">
        <v>36151150</v>
      </c>
      <c r="C196">
        <v>35797782</v>
      </c>
      <c r="D196">
        <v>29109878</v>
      </c>
      <c r="E196">
        <v>1</v>
      </c>
      <c r="F196">
        <v>1</v>
      </c>
      <c r="G196">
        <v>1</v>
      </c>
      <c r="H196">
        <v>3</v>
      </c>
      <c r="I196" t="s">
        <v>583</v>
      </c>
      <c r="J196" t="s">
        <v>584</v>
      </c>
      <c r="K196" t="s">
        <v>585</v>
      </c>
      <c r="L196">
        <v>1327</v>
      </c>
      <c r="N196">
        <v>1005</v>
      </c>
      <c r="O196" t="s">
        <v>140</v>
      </c>
      <c r="P196" t="s">
        <v>140</v>
      </c>
      <c r="Q196">
        <v>1</v>
      </c>
      <c r="X196">
        <v>102</v>
      </c>
      <c r="Y196">
        <v>126.55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102</v>
      </c>
      <c r="AH196">
        <v>2</v>
      </c>
      <c r="AI196">
        <v>36151150</v>
      </c>
      <c r="AJ196">
        <v>193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ROW(Source!A137)</f>
        <v>137</v>
      </c>
      <c r="B197">
        <v>36151151</v>
      </c>
      <c r="C197">
        <v>35797782</v>
      </c>
      <c r="D197">
        <v>29131294</v>
      </c>
      <c r="E197">
        <v>1</v>
      </c>
      <c r="F197">
        <v>1</v>
      </c>
      <c r="G197">
        <v>1</v>
      </c>
      <c r="H197">
        <v>3</v>
      </c>
      <c r="I197" t="s">
        <v>602</v>
      </c>
      <c r="J197" t="s">
        <v>603</v>
      </c>
      <c r="K197" t="s">
        <v>604</v>
      </c>
      <c r="L197">
        <v>1339</v>
      </c>
      <c r="N197">
        <v>1007</v>
      </c>
      <c r="O197" t="s">
        <v>182</v>
      </c>
      <c r="P197" t="s">
        <v>182</v>
      </c>
      <c r="Q197">
        <v>1</v>
      </c>
      <c r="X197">
        <v>0.01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 t="s">
        <v>3</v>
      </c>
      <c r="AG197">
        <v>0.01</v>
      </c>
      <c r="AH197">
        <v>3</v>
      </c>
      <c r="AI197">
        <v>-1</v>
      </c>
      <c r="AJ197" t="s">
        <v>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ROW(Source!A137)</f>
        <v>137</v>
      </c>
      <c r="B198">
        <v>36151152</v>
      </c>
      <c r="C198">
        <v>35797782</v>
      </c>
      <c r="D198">
        <v>29150040</v>
      </c>
      <c r="E198">
        <v>1</v>
      </c>
      <c r="F198">
        <v>1</v>
      </c>
      <c r="G198">
        <v>1</v>
      </c>
      <c r="H198">
        <v>3</v>
      </c>
      <c r="I198" t="s">
        <v>520</v>
      </c>
      <c r="J198" t="s">
        <v>521</v>
      </c>
      <c r="K198" t="s">
        <v>522</v>
      </c>
      <c r="L198">
        <v>1339</v>
      </c>
      <c r="N198">
        <v>1007</v>
      </c>
      <c r="O198" t="s">
        <v>182</v>
      </c>
      <c r="P198" t="s">
        <v>182</v>
      </c>
      <c r="Q198">
        <v>1</v>
      </c>
      <c r="X198">
        <v>0.45</v>
      </c>
      <c r="Y198">
        <v>2.44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0.45</v>
      </c>
      <c r="AH198">
        <v>2</v>
      </c>
      <c r="AI198">
        <v>36151152</v>
      </c>
      <c r="AJ198">
        <v>194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ROW(Source!A138)</f>
        <v>138</v>
      </c>
      <c r="B199">
        <v>36151111</v>
      </c>
      <c r="C199">
        <v>34232179</v>
      </c>
      <c r="D199">
        <v>18410572</v>
      </c>
      <c r="E199">
        <v>1</v>
      </c>
      <c r="F199">
        <v>1</v>
      </c>
      <c r="G199">
        <v>1</v>
      </c>
      <c r="H199">
        <v>1</v>
      </c>
      <c r="I199" t="s">
        <v>354</v>
      </c>
      <c r="J199" t="s">
        <v>3</v>
      </c>
      <c r="K199" t="s">
        <v>355</v>
      </c>
      <c r="L199">
        <v>1369</v>
      </c>
      <c r="N199">
        <v>1013</v>
      </c>
      <c r="O199" t="s">
        <v>323</v>
      </c>
      <c r="P199" t="s">
        <v>323</v>
      </c>
      <c r="Q199">
        <v>1</v>
      </c>
      <c r="X199">
        <v>35.5</v>
      </c>
      <c r="Y199">
        <v>0</v>
      </c>
      <c r="Z199">
        <v>0</v>
      </c>
      <c r="AA199">
        <v>0</v>
      </c>
      <c r="AB199">
        <v>285.36</v>
      </c>
      <c r="AC199">
        <v>0</v>
      </c>
      <c r="AD199">
        <v>1</v>
      </c>
      <c r="AE199">
        <v>1</v>
      </c>
      <c r="AF199" t="s">
        <v>101</v>
      </c>
      <c r="AG199">
        <v>40.824999999999996</v>
      </c>
      <c r="AH199">
        <v>2</v>
      </c>
      <c r="AI199">
        <v>36151111</v>
      </c>
      <c r="AJ199">
        <v>195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ROW(Source!A138)</f>
        <v>138</v>
      </c>
      <c r="B200">
        <v>36151112</v>
      </c>
      <c r="C200">
        <v>34232179</v>
      </c>
      <c r="D200">
        <v>121548</v>
      </c>
      <c r="E200">
        <v>1</v>
      </c>
      <c r="F200">
        <v>1</v>
      </c>
      <c r="G200">
        <v>1</v>
      </c>
      <c r="H200">
        <v>1</v>
      </c>
      <c r="I200" t="s">
        <v>28</v>
      </c>
      <c r="J200" t="s">
        <v>3</v>
      </c>
      <c r="K200" t="s">
        <v>326</v>
      </c>
      <c r="L200">
        <v>608254</v>
      </c>
      <c r="N200">
        <v>1013</v>
      </c>
      <c r="O200" t="s">
        <v>327</v>
      </c>
      <c r="P200" t="s">
        <v>327</v>
      </c>
      <c r="Q200">
        <v>1</v>
      </c>
      <c r="X200">
        <v>2.61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2</v>
      </c>
      <c r="AF200" t="s">
        <v>100</v>
      </c>
      <c r="AG200">
        <v>3.2624999999999997</v>
      </c>
      <c r="AH200">
        <v>2</v>
      </c>
      <c r="AI200">
        <v>36151112</v>
      </c>
      <c r="AJ200">
        <v>196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ROW(Source!A138)</f>
        <v>138</v>
      </c>
      <c r="B201">
        <v>36151113</v>
      </c>
      <c r="C201">
        <v>34232179</v>
      </c>
      <c r="D201">
        <v>29172285</v>
      </c>
      <c r="E201">
        <v>1</v>
      </c>
      <c r="F201">
        <v>1</v>
      </c>
      <c r="G201">
        <v>1</v>
      </c>
      <c r="H201">
        <v>2</v>
      </c>
      <c r="I201" t="s">
        <v>356</v>
      </c>
      <c r="J201" t="s">
        <v>357</v>
      </c>
      <c r="K201" t="s">
        <v>358</v>
      </c>
      <c r="L201">
        <v>1368</v>
      </c>
      <c r="N201">
        <v>1011</v>
      </c>
      <c r="O201" t="s">
        <v>331</v>
      </c>
      <c r="P201" t="s">
        <v>331</v>
      </c>
      <c r="Q201">
        <v>1</v>
      </c>
      <c r="X201">
        <v>0.04</v>
      </c>
      <c r="Y201">
        <v>0</v>
      </c>
      <c r="Z201">
        <v>120.52</v>
      </c>
      <c r="AA201">
        <v>15.42</v>
      </c>
      <c r="AB201">
        <v>0</v>
      </c>
      <c r="AC201">
        <v>0</v>
      </c>
      <c r="AD201">
        <v>1</v>
      </c>
      <c r="AE201">
        <v>0</v>
      </c>
      <c r="AF201" t="s">
        <v>100</v>
      </c>
      <c r="AG201">
        <v>0.05</v>
      </c>
      <c r="AH201">
        <v>2</v>
      </c>
      <c r="AI201">
        <v>36151113</v>
      </c>
      <c r="AJ201">
        <v>197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ROW(Source!A138)</f>
        <v>138</v>
      </c>
      <c r="B202">
        <v>36151114</v>
      </c>
      <c r="C202">
        <v>34232179</v>
      </c>
      <c r="D202">
        <v>29172379</v>
      </c>
      <c r="E202">
        <v>1</v>
      </c>
      <c r="F202">
        <v>1</v>
      </c>
      <c r="G202">
        <v>1</v>
      </c>
      <c r="H202">
        <v>2</v>
      </c>
      <c r="I202" t="s">
        <v>359</v>
      </c>
      <c r="J202" t="s">
        <v>360</v>
      </c>
      <c r="K202" t="s">
        <v>361</v>
      </c>
      <c r="L202">
        <v>1368</v>
      </c>
      <c r="N202">
        <v>1011</v>
      </c>
      <c r="O202" t="s">
        <v>331</v>
      </c>
      <c r="P202" t="s">
        <v>331</v>
      </c>
      <c r="Q202">
        <v>1</v>
      </c>
      <c r="X202">
        <v>0.21</v>
      </c>
      <c r="Y202">
        <v>0</v>
      </c>
      <c r="Z202">
        <v>112</v>
      </c>
      <c r="AA202">
        <v>13.5</v>
      </c>
      <c r="AB202">
        <v>0</v>
      </c>
      <c r="AC202">
        <v>0</v>
      </c>
      <c r="AD202">
        <v>1</v>
      </c>
      <c r="AE202">
        <v>0</v>
      </c>
      <c r="AF202" t="s">
        <v>100</v>
      </c>
      <c r="AG202">
        <v>0.26250000000000001</v>
      </c>
      <c r="AH202">
        <v>2</v>
      </c>
      <c r="AI202">
        <v>36151114</v>
      </c>
      <c r="AJ202">
        <v>198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ROW(Source!A138)</f>
        <v>138</v>
      </c>
      <c r="B203">
        <v>36151115</v>
      </c>
      <c r="C203">
        <v>34232179</v>
      </c>
      <c r="D203">
        <v>29172409</v>
      </c>
      <c r="E203">
        <v>1</v>
      </c>
      <c r="F203">
        <v>1</v>
      </c>
      <c r="G203">
        <v>1</v>
      </c>
      <c r="H203">
        <v>2</v>
      </c>
      <c r="I203" t="s">
        <v>362</v>
      </c>
      <c r="J203" t="s">
        <v>363</v>
      </c>
      <c r="K203" t="s">
        <v>364</v>
      </c>
      <c r="L203">
        <v>1368</v>
      </c>
      <c r="N203">
        <v>1011</v>
      </c>
      <c r="O203" t="s">
        <v>331</v>
      </c>
      <c r="P203" t="s">
        <v>331</v>
      </c>
      <c r="Q203">
        <v>1</v>
      </c>
      <c r="X203">
        <v>2.36</v>
      </c>
      <c r="Y203">
        <v>0</v>
      </c>
      <c r="Z203">
        <v>175.55</v>
      </c>
      <c r="AA203">
        <v>14.4</v>
      </c>
      <c r="AB203">
        <v>0</v>
      </c>
      <c r="AC203">
        <v>0</v>
      </c>
      <c r="AD203">
        <v>1</v>
      </c>
      <c r="AE203">
        <v>0</v>
      </c>
      <c r="AF203" t="s">
        <v>100</v>
      </c>
      <c r="AG203">
        <v>2.9499999999999997</v>
      </c>
      <c r="AH203">
        <v>2</v>
      </c>
      <c r="AI203">
        <v>36151115</v>
      </c>
      <c r="AJ203">
        <v>199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ROW(Source!A138)</f>
        <v>138</v>
      </c>
      <c r="B204">
        <v>36151116</v>
      </c>
      <c r="C204">
        <v>34232179</v>
      </c>
      <c r="D204">
        <v>29172498</v>
      </c>
      <c r="E204">
        <v>1</v>
      </c>
      <c r="F204">
        <v>1</v>
      </c>
      <c r="G204">
        <v>1</v>
      </c>
      <c r="H204">
        <v>2</v>
      </c>
      <c r="I204" t="s">
        <v>365</v>
      </c>
      <c r="J204" t="s">
        <v>366</v>
      </c>
      <c r="K204" t="s">
        <v>367</v>
      </c>
      <c r="L204">
        <v>1368</v>
      </c>
      <c r="N204">
        <v>1011</v>
      </c>
      <c r="O204" t="s">
        <v>331</v>
      </c>
      <c r="P204" t="s">
        <v>331</v>
      </c>
      <c r="Q204">
        <v>1</v>
      </c>
      <c r="X204">
        <v>0.99</v>
      </c>
      <c r="Y204">
        <v>0</v>
      </c>
      <c r="Z204">
        <v>2.37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100</v>
      </c>
      <c r="AG204">
        <v>1.2375</v>
      </c>
      <c r="AH204">
        <v>2</v>
      </c>
      <c r="AI204">
        <v>36151116</v>
      </c>
      <c r="AJ204">
        <v>200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ROW(Source!A138)</f>
        <v>138</v>
      </c>
      <c r="B205">
        <v>36151117</v>
      </c>
      <c r="C205">
        <v>34232179</v>
      </c>
      <c r="D205">
        <v>29172659</v>
      </c>
      <c r="E205">
        <v>1</v>
      </c>
      <c r="F205">
        <v>1</v>
      </c>
      <c r="G205">
        <v>1</v>
      </c>
      <c r="H205">
        <v>2</v>
      </c>
      <c r="I205" t="s">
        <v>368</v>
      </c>
      <c r="J205" t="s">
        <v>369</v>
      </c>
      <c r="K205" t="s">
        <v>370</v>
      </c>
      <c r="L205">
        <v>1368</v>
      </c>
      <c r="N205">
        <v>1011</v>
      </c>
      <c r="O205" t="s">
        <v>331</v>
      </c>
      <c r="P205" t="s">
        <v>331</v>
      </c>
      <c r="Q205">
        <v>1</v>
      </c>
      <c r="X205">
        <v>1.68</v>
      </c>
      <c r="Y205">
        <v>0</v>
      </c>
      <c r="Z205">
        <v>1.2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100</v>
      </c>
      <c r="AG205">
        <v>2.1</v>
      </c>
      <c r="AH205">
        <v>2</v>
      </c>
      <c r="AI205">
        <v>36151117</v>
      </c>
      <c r="AJ205">
        <v>201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ROW(Source!A138)</f>
        <v>138</v>
      </c>
      <c r="B206">
        <v>36151118</v>
      </c>
      <c r="C206">
        <v>34232179</v>
      </c>
      <c r="D206">
        <v>29172669</v>
      </c>
      <c r="E206">
        <v>1</v>
      </c>
      <c r="F206">
        <v>1</v>
      </c>
      <c r="G206">
        <v>1</v>
      </c>
      <c r="H206">
        <v>2</v>
      </c>
      <c r="I206" t="s">
        <v>371</v>
      </c>
      <c r="J206" t="s">
        <v>372</v>
      </c>
      <c r="K206" t="s">
        <v>373</v>
      </c>
      <c r="L206">
        <v>1368</v>
      </c>
      <c r="N206">
        <v>1011</v>
      </c>
      <c r="O206" t="s">
        <v>331</v>
      </c>
      <c r="P206" t="s">
        <v>331</v>
      </c>
      <c r="Q206">
        <v>1</v>
      </c>
      <c r="X206">
        <v>0.18</v>
      </c>
      <c r="Y206">
        <v>0</v>
      </c>
      <c r="Z206">
        <v>12.31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100</v>
      </c>
      <c r="AG206">
        <v>0.22499999999999998</v>
      </c>
      <c r="AH206">
        <v>2</v>
      </c>
      <c r="AI206">
        <v>36151118</v>
      </c>
      <c r="AJ206">
        <v>202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ROW(Source!A138)</f>
        <v>138</v>
      </c>
      <c r="B207">
        <v>36151119</v>
      </c>
      <c r="C207">
        <v>34232179</v>
      </c>
      <c r="D207">
        <v>29172679</v>
      </c>
      <c r="E207">
        <v>1</v>
      </c>
      <c r="F207">
        <v>1</v>
      </c>
      <c r="G207">
        <v>1</v>
      </c>
      <c r="H207">
        <v>2</v>
      </c>
      <c r="I207" t="s">
        <v>374</v>
      </c>
      <c r="J207" t="s">
        <v>375</v>
      </c>
      <c r="K207" t="s">
        <v>376</v>
      </c>
      <c r="L207">
        <v>1368</v>
      </c>
      <c r="N207">
        <v>1011</v>
      </c>
      <c r="O207" t="s">
        <v>331</v>
      </c>
      <c r="P207" t="s">
        <v>331</v>
      </c>
      <c r="Q207">
        <v>1</v>
      </c>
      <c r="X207">
        <v>0.02</v>
      </c>
      <c r="Y207">
        <v>0</v>
      </c>
      <c r="Z207">
        <v>6.7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100</v>
      </c>
      <c r="AG207">
        <v>2.5000000000000001E-2</v>
      </c>
      <c r="AH207">
        <v>2</v>
      </c>
      <c r="AI207">
        <v>36151119</v>
      </c>
      <c r="AJ207">
        <v>203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ROW(Source!A138)</f>
        <v>138</v>
      </c>
      <c r="B208">
        <v>36151120</v>
      </c>
      <c r="C208">
        <v>34232179</v>
      </c>
      <c r="D208">
        <v>29174500</v>
      </c>
      <c r="E208">
        <v>1</v>
      </c>
      <c r="F208">
        <v>1</v>
      </c>
      <c r="G208">
        <v>1</v>
      </c>
      <c r="H208">
        <v>2</v>
      </c>
      <c r="I208" t="s">
        <v>377</v>
      </c>
      <c r="J208" t="s">
        <v>378</v>
      </c>
      <c r="K208" t="s">
        <v>379</v>
      </c>
      <c r="L208">
        <v>1368</v>
      </c>
      <c r="N208">
        <v>1011</v>
      </c>
      <c r="O208" t="s">
        <v>331</v>
      </c>
      <c r="P208" t="s">
        <v>331</v>
      </c>
      <c r="Q208">
        <v>1</v>
      </c>
      <c r="X208">
        <v>2.41</v>
      </c>
      <c r="Y208">
        <v>0</v>
      </c>
      <c r="Z208">
        <v>1.95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100</v>
      </c>
      <c r="AG208">
        <v>3.0125000000000002</v>
      </c>
      <c r="AH208">
        <v>2</v>
      </c>
      <c r="AI208">
        <v>36151120</v>
      </c>
      <c r="AJ208">
        <v>204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ROW(Source!A138)</f>
        <v>138</v>
      </c>
      <c r="B209">
        <v>36151121</v>
      </c>
      <c r="C209">
        <v>34232179</v>
      </c>
      <c r="D209">
        <v>29174913</v>
      </c>
      <c r="E209">
        <v>1</v>
      </c>
      <c r="F209">
        <v>1</v>
      </c>
      <c r="G209">
        <v>1</v>
      </c>
      <c r="H209">
        <v>2</v>
      </c>
      <c r="I209" t="s">
        <v>342</v>
      </c>
      <c r="J209" t="s">
        <v>343</v>
      </c>
      <c r="K209" t="s">
        <v>344</v>
      </c>
      <c r="L209">
        <v>1368</v>
      </c>
      <c r="N209">
        <v>1011</v>
      </c>
      <c r="O209" t="s">
        <v>331</v>
      </c>
      <c r="P209" t="s">
        <v>331</v>
      </c>
      <c r="Q209">
        <v>1</v>
      </c>
      <c r="X209">
        <v>0.32</v>
      </c>
      <c r="Y209">
        <v>0</v>
      </c>
      <c r="Z209">
        <v>87.17</v>
      </c>
      <c r="AA209">
        <v>11.6</v>
      </c>
      <c r="AB209">
        <v>0</v>
      </c>
      <c r="AC209">
        <v>0</v>
      </c>
      <c r="AD209">
        <v>1</v>
      </c>
      <c r="AE209">
        <v>0</v>
      </c>
      <c r="AF209" t="s">
        <v>100</v>
      </c>
      <c r="AG209">
        <v>0.4</v>
      </c>
      <c r="AH209">
        <v>2</v>
      </c>
      <c r="AI209">
        <v>36151121</v>
      </c>
      <c r="AJ209">
        <v>205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ROW(Source!A138)</f>
        <v>138</v>
      </c>
      <c r="B210">
        <v>36151122</v>
      </c>
      <c r="C210">
        <v>34232179</v>
      </c>
      <c r="D210">
        <v>29107906</v>
      </c>
      <c r="E210">
        <v>1</v>
      </c>
      <c r="F210">
        <v>1</v>
      </c>
      <c r="G210">
        <v>1</v>
      </c>
      <c r="H210">
        <v>3</v>
      </c>
      <c r="I210" t="s">
        <v>380</v>
      </c>
      <c r="J210" t="s">
        <v>381</v>
      </c>
      <c r="K210" t="s">
        <v>382</v>
      </c>
      <c r="L210">
        <v>1348</v>
      </c>
      <c r="N210">
        <v>1009</v>
      </c>
      <c r="O210" t="s">
        <v>26</v>
      </c>
      <c r="P210" t="s">
        <v>26</v>
      </c>
      <c r="Q210">
        <v>1000</v>
      </c>
      <c r="X210">
        <v>1.4999999999999999E-4</v>
      </c>
      <c r="Y210">
        <v>37900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</v>
      </c>
      <c r="AG210">
        <v>1.4999999999999999E-4</v>
      </c>
      <c r="AH210">
        <v>2</v>
      </c>
      <c r="AI210">
        <v>36151122</v>
      </c>
      <c r="AJ210">
        <v>206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ROW(Source!A138)</f>
        <v>138</v>
      </c>
      <c r="B211">
        <v>36151123</v>
      </c>
      <c r="C211">
        <v>34232179</v>
      </c>
      <c r="D211">
        <v>29107441</v>
      </c>
      <c r="E211">
        <v>1</v>
      </c>
      <c r="F211">
        <v>1</v>
      </c>
      <c r="G211">
        <v>1</v>
      </c>
      <c r="H211">
        <v>3</v>
      </c>
      <c r="I211" t="s">
        <v>383</v>
      </c>
      <c r="J211" t="s">
        <v>384</v>
      </c>
      <c r="K211" t="s">
        <v>385</v>
      </c>
      <c r="L211">
        <v>1339</v>
      </c>
      <c r="N211">
        <v>1007</v>
      </c>
      <c r="O211" t="s">
        <v>182</v>
      </c>
      <c r="P211" t="s">
        <v>182</v>
      </c>
      <c r="Q211">
        <v>1</v>
      </c>
      <c r="X211">
        <v>1.4</v>
      </c>
      <c r="Y211">
        <v>6.23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1.4</v>
      </c>
      <c r="AH211">
        <v>2</v>
      </c>
      <c r="AI211">
        <v>36151123</v>
      </c>
      <c r="AJ211">
        <v>207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ROW(Source!A138)</f>
        <v>138</v>
      </c>
      <c r="B212">
        <v>36151124</v>
      </c>
      <c r="C212">
        <v>34232179</v>
      </c>
      <c r="D212">
        <v>29113598</v>
      </c>
      <c r="E212">
        <v>1</v>
      </c>
      <c r="F212">
        <v>1</v>
      </c>
      <c r="G212">
        <v>1</v>
      </c>
      <c r="H212">
        <v>3</v>
      </c>
      <c r="I212" t="s">
        <v>386</v>
      </c>
      <c r="J212" t="s">
        <v>387</v>
      </c>
      <c r="K212" t="s">
        <v>388</v>
      </c>
      <c r="L212">
        <v>1348</v>
      </c>
      <c r="N212">
        <v>1009</v>
      </c>
      <c r="O212" t="s">
        <v>26</v>
      </c>
      <c r="P212" t="s">
        <v>26</v>
      </c>
      <c r="Q212">
        <v>1000</v>
      </c>
      <c r="X212">
        <v>4.0000000000000003E-5</v>
      </c>
      <c r="Y212">
        <v>4455.2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4.0000000000000003E-5</v>
      </c>
      <c r="AH212">
        <v>2</v>
      </c>
      <c r="AI212">
        <v>36151124</v>
      </c>
      <c r="AJ212">
        <v>208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ROW(Source!A138)</f>
        <v>138</v>
      </c>
      <c r="B213">
        <v>36151125</v>
      </c>
      <c r="C213">
        <v>34232179</v>
      </c>
      <c r="D213">
        <v>29113797</v>
      </c>
      <c r="E213">
        <v>1</v>
      </c>
      <c r="F213">
        <v>1</v>
      </c>
      <c r="G213">
        <v>1</v>
      </c>
      <c r="H213">
        <v>3</v>
      </c>
      <c r="I213" t="s">
        <v>389</v>
      </c>
      <c r="J213" t="s">
        <v>390</v>
      </c>
      <c r="K213" t="s">
        <v>391</v>
      </c>
      <c r="L213">
        <v>1348</v>
      </c>
      <c r="N213">
        <v>1009</v>
      </c>
      <c r="O213" t="s">
        <v>26</v>
      </c>
      <c r="P213" t="s">
        <v>26</v>
      </c>
      <c r="Q213">
        <v>1000</v>
      </c>
      <c r="X213">
        <v>2.97E-3</v>
      </c>
      <c r="Y213">
        <v>4920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2.97E-3</v>
      </c>
      <c r="AH213">
        <v>2</v>
      </c>
      <c r="AI213">
        <v>36151125</v>
      </c>
      <c r="AJ213">
        <v>209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ROW(Source!A138)</f>
        <v>138</v>
      </c>
      <c r="B214">
        <v>36151126</v>
      </c>
      <c r="C214">
        <v>34232179</v>
      </c>
      <c r="D214">
        <v>29113979</v>
      </c>
      <c r="E214">
        <v>1</v>
      </c>
      <c r="F214">
        <v>1</v>
      </c>
      <c r="G214">
        <v>1</v>
      </c>
      <c r="H214">
        <v>3</v>
      </c>
      <c r="I214" t="s">
        <v>392</v>
      </c>
      <c r="J214" t="s">
        <v>393</v>
      </c>
      <c r="K214" t="s">
        <v>394</v>
      </c>
      <c r="L214">
        <v>1348</v>
      </c>
      <c r="N214">
        <v>1009</v>
      </c>
      <c r="O214" t="s">
        <v>26</v>
      </c>
      <c r="P214" t="s">
        <v>26</v>
      </c>
      <c r="Q214">
        <v>1000</v>
      </c>
      <c r="X214">
        <v>6.0999999999999997E-4</v>
      </c>
      <c r="Y214">
        <v>9749.99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6.0999999999999997E-4</v>
      </c>
      <c r="AH214">
        <v>2</v>
      </c>
      <c r="AI214">
        <v>36151126</v>
      </c>
      <c r="AJ214">
        <v>210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ROW(Source!A138)</f>
        <v>138</v>
      </c>
      <c r="B215">
        <v>36151127</v>
      </c>
      <c r="C215">
        <v>34232179</v>
      </c>
      <c r="D215">
        <v>29114247</v>
      </c>
      <c r="E215">
        <v>1</v>
      </c>
      <c r="F215">
        <v>1</v>
      </c>
      <c r="G215">
        <v>1</v>
      </c>
      <c r="H215">
        <v>3</v>
      </c>
      <c r="I215" t="s">
        <v>395</v>
      </c>
      <c r="J215" t="s">
        <v>396</v>
      </c>
      <c r="K215" t="s">
        <v>397</v>
      </c>
      <c r="L215">
        <v>1348</v>
      </c>
      <c r="N215">
        <v>1009</v>
      </c>
      <c r="O215" t="s">
        <v>26</v>
      </c>
      <c r="P215" t="s">
        <v>26</v>
      </c>
      <c r="Q215">
        <v>1000</v>
      </c>
      <c r="X215">
        <v>2.2000000000000001E-3</v>
      </c>
      <c r="Y215">
        <v>9040.01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2.2000000000000001E-3</v>
      </c>
      <c r="AH215">
        <v>2</v>
      </c>
      <c r="AI215">
        <v>36151127</v>
      </c>
      <c r="AJ215">
        <v>211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ROW(Source!A138)</f>
        <v>138</v>
      </c>
      <c r="B216">
        <v>36151128</v>
      </c>
      <c r="C216">
        <v>34232179</v>
      </c>
      <c r="D216">
        <v>29107444</v>
      </c>
      <c r="E216">
        <v>1</v>
      </c>
      <c r="F216">
        <v>1</v>
      </c>
      <c r="G216">
        <v>1</v>
      </c>
      <c r="H216">
        <v>3</v>
      </c>
      <c r="I216" t="s">
        <v>398</v>
      </c>
      <c r="J216" t="s">
        <v>399</v>
      </c>
      <c r="K216" t="s">
        <v>400</v>
      </c>
      <c r="L216">
        <v>1346</v>
      </c>
      <c r="N216">
        <v>1009</v>
      </c>
      <c r="O216" t="s">
        <v>401</v>
      </c>
      <c r="P216" t="s">
        <v>401</v>
      </c>
      <c r="Q216">
        <v>1</v>
      </c>
      <c r="X216">
        <v>0.42</v>
      </c>
      <c r="Y216">
        <v>6.09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</v>
      </c>
      <c r="AG216">
        <v>0.42</v>
      </c>
      <c r="AH216">
        <v>2</v>
      </c>
      <c r="AI216">
        <v>36151128</v>
      </c>
      <c r="AJ216">
        <v>212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ROW(Source!A138)</f>
        <v>138</v>
      </c>
      <c r="B217">
        <v>36151129</v>
      </c>
      <c r="C217">
        <v>34232179</v>
      </c>
      <c r="D217">
        <v>29110606</v>
      </c>
      <c r="E217">
        <v>1</v>
      </c>
      <c r="F217">
        <v>1</v>
      </c>
      <c r="G217">
        <v>1</v>
      </c>
      <c r="H217">
        <v>3</v>
      </c>
      <c r="I217" t="s">
        <v>402</v>
      </c>
      <c r="J217" t="s">
        <v>403</v>
      </c>
      <c r="K217" t="s">
        <v>404</v>
      </c>
      <c r="L217">
        <v>1348</v>
      </c>
      <c r="N217">
        <v>1009</v>
      </c>
      <c r="O217" t="s">
        <v>26</v>
      </c>
      <c r="P217" t="s">
        <v>26</v>
      </c>
      <c r="Q217">
        <v>1000</v>
      </c>
      <c r="X217">
        <v>9.0000000000000006E-5</v>
      </c>
      <c r="Y217">
        <v>9420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9.0000000000000006E-5</v>
      </c>
      <c r="AH217">
        <v>2</v>
      </c>
      <c r="AI217">
        <v>36151129</v>
      </c>
      <c r="AJ217">
        <v>213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ROW(Source!A138)</f>
        <v>138</v>
      </c>
      <c r="B218">
        <v>36151130</v>
      </c>
      <c r="C218">
        <v>34232179</v>
      </c>
      <c r="D218">
        <v>29112833</v>
      </c>
      <c r="E218">
        <v>1</v>
      </c>
      <c r="F218">
        <v>1</v>
      </c>
      <c r="G218">
        <v>1</v>
      </c>
      <c r="H218">
        <v>3</v>
      </c>
      <c r="I218" t="s">
        <v>586</v>
      </c>
      <c r="J218" t="s">
        <v>587</v>
      </c>
      <c r="K218" t="s">
        <v>588</v>
      </c>
      <c r="L218">
        <v>1348</v>
      </c>
      <c r="N218">
        <v>1009</v>
      </c>
      <c r="O218" t="s">
        <v>26</v>
      </c>
      <c r="P218" t="s">
        <v>26</v>
      </c>
      <c r="Q218">
        <v>1000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1</v>
      </c>
      <c r="AD218">
        <v>0</v>
      </c>
      <c r="AE218">
        <v>0</v>
      </c>
      <c r="AF218" t="s">
        <v>3</v>
      </c>
      <c r="AG218">
        <v>0</v>
      </c>
      <c r="AH218">
        <v>3</v>
      </c>
      <c r="AI218">
        <v>-1</v>
      </c>
      <c r="AJ218" t="s">
        <v>3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ROW(Source!A138)</f>
        <v>138</v>
      </c>
      <c r="B219">
        <v>36151131</v>
      </c>
      <c r="C219">
        <v>34232179</v>
      </c>
      <c r="D219">
        <v>29112584</v>
      </c>
      <c r="E219">
        <v>1</v>
      </c>
      <c r="F219">
        <v>1</v>
      </c>
      <c r="G219">
        <v>1</v>
      </c>
      <c r="H219">
        <v>3</v>
      </c>
      <c r="I219" t="s">
        <v>589</v>
      </c>
      <c r="J219" t="s">
        <v>590</v>
      </c>
      <c r="K219" t="s">
        <v>591</v>
      </c>
      <c r="L219">
        <v>1348</v>
      </c>
      <c r="N219">
        <v>1009</v>
      </c>
      <c r="O219" t="s">
        <v>26</v>
      </c>
      <c r="P219" t="s">
        <v>26</v>
      </c>
      <c r="Q219">
        <v>1000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1</v>
      </c>
      <c r="AD219">
        <v>0</v>
      </c>
      <c r="AE219">
        <v>0</v>
      </c>
      <c r="AF219" t="s">
        <v>3</v>
      </c>
      <c r="AG219">
        <v>0</v>
      </c>
      <c r="AH219">
        <v>3</v>
      </c>
      <c r="AI219">
        <v>-1</v>
      </c>
      <c r="AJ219" t="s">
        <v>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ROW(Source!A138)</f>
        <v>138</v>
      </c>
      <c r="B220">
        <v>36151132</v>
      </c>
      <c r="C220">
        <v>34232179</v>
      </c>
      <c r="D220">
        <v>29115467</v>
      </c>
      <c r="E220">
        <v>1</v>
      </c>
      <c r="F220">
        <v>1</v>
      </c>
      <c r="G220">
        <v>1</v>
      </c>
      <c r="H220">
        <v>3</v>
      </c>
      <c r="I220" t="s">
        <v>405</v>
      </c>
      <c r="J220" t="s">
        <v>406</v>
      </c>
      <c r="K220" t="s">
        <v>407</v>
      </c>
      <c r="L220">
        <v>1339</v>
      </c>
      <c r="N220">
        <v>1007</v>
      </c>
      <c r="O220" t="s">
        <v>182</v>
      </c>
      <c r="P220" t="s">
        <v>182</v>
      </c>
      <c r="Q220">
        <v>1</v>
      </c>
      <c r="X220">
        <v>1.2999999999999999E-3</v>
      </c>
      <c r="Y220">
        <v>1699.99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1.2999999999999999E-3</v>
      </c>
      <c r="AH220">
        <v>2</v>
      </c>
      <c r="AI220">
        <v>36151132</v>
      </c>
      <c r="AJ220">
        <v>214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ROW(Source!A138)</f>
        <v>138</v>
      </c>
      <c r="B221">
        <v>36151133</v>
      </c>
      <c r="C221">
        <v>34232179</v>
      </c>
      <c r="D221">
        <v>29122102</v>
      </c>
      <c r="E221">
        <v>1</v>
      </c>
      <c r="F221">
        <v>1</v>
      </c>
      <c r="G221">
        <v>1</v>
      </c>
      <c r="H221">
        <v>3</v>
      </c>
      <c r="I221" t="s">
        <v>408</v>
      </c>
      <c r="J221" t="s">
        <v>409</v>
      </c>
      <c r="K221" t="s">
        <v>410</v>
      </c>
      <c r="L221">
        <v>1348</v>
      </c>
      <c r="N221">
        <v>1009</v>
      </c>
      <c r="O221" t="s">
        <v>26</v>
      </c>
      <c r="P221" t="s">
        <v>26</v>
      </c>
      <c r="Q221">
        <v>1000</v>
      </c>
      <c r="X221">
        <v>4.6999999999999999E-4</v>
      </c>
      <c r="Y221">
        <v>15620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4.6999999999999999E-4</v>
      </c>
      <c r="AH221">
        <v>2</v>
      </c>
      <c r="AI221">
        <v>36151133</v>
      </c>
      <c r="AJ221">
        <v>215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ROW(Source!A138)</f>
        <v>138</v>
      </c>
      <c r="B222">
        <v>36151134</v>
      </c>
      <c r="C222">
        <v>34232179</v>
      </c>
      <c r="D222">
        <v>29129276</v>
      </c>
      <c r="E222">
        <v>1</v>
      </c>
      <c r="F222">
        <v>1</v>
      </c>
      <c r="G222">
        <v>1</v>
      </c>
      <c r="H222">
        <v>3</v>
      </c>
      <c r="I222" t="s">
        <v>411</v>
      </c>
      <c r="J222" t="s">
        <v>412</v>
      </c>
      <c r="K222" t="s">
        <v>413</v>
      </c>
      <c r="L222">
        <v>1348</v>
      </c>
      <c r="N222">
        <v>1009</v>
      </c>
      <c r="O222" t="s">
        <v>26</v>
      </c>
      <c r="P222" t="s">
        <v>26</v>
      </c>
      <c r="Q222">
        <v>1000</v>
      </c>
      <c r="X222">
        <v>1.0999999999999999E-2</v>
      </c>
      <c r="Y222">
        <v>7712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1.0999999999999999E-2</v>
      </c>
      <c r="AH222">
        <v>2</v>
      </c>
      <c r="AI222">
        <v>36151134</v>
      </c>
      <c r="AJ222">
        <v>216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ROW(Source!A138)</f>
        <v>138</v>
      </c>
      <c r="B223">
        <v>36151135</v>
      </c>
      <c r="C223">
        <v>34232179</v>
      </c>
      <c r="D223">
        <v>29162764</v>
      </c>
      <c r="E223">
        <v>1</v>
      </c>
      <c r="F223">
        <v>1</v>
      </c>
      <c r="G223">
        <v>1</v>
      </c>
      <c r="H223">
        <v>3</v>
      </c>
      <c r="I223" t="s">
        <v>414</v>
      </c>
      <c r="J223" t="s">
        <v>415</v>
      </c>
      <c r="K223" t="s">
        <v>416</v>
      </c>
      <c r="L223">
        <v>1302</v>
      </c>
      <c r="N223">
        <v>1003</v>
      </c>
      <c r="O223" t="s">
        <v>417</v>
      </c>
      <c r="P223" t="s">
        <v>417</v>
      </c>
      <c r="Q223">
        <v>10</v>
      </c>
      <c r="X223">
        <v>1.6E-2</v>
      </c>
      <c r="Y223">
        <v>71.489999999999995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1.6E-2</v>
      </c>
      <c r="AH223">
        <v>2</v>
      </c>
      <c r="AI223">
        <v>36151135</v>
      </c>
      <c r="AJ223">
        <v>217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12 гр. ТЕР МО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'Смета 12 гр. ТЕР МО'!Заголовки_для_печати</vt:lpstr>
      <vt:lpstr>'Дефектная ведомость'!Область_печати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2021-07-12T11:45:39Z</dcterms:created>
  <dcterms:modified xsi:type="dcterms:W3CDTF">2021-07-12T14:35:39Z</dcterms:modified>
</cp:coreProperties>
</file>