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Договор\Этис\Ступени\"/>
    </mc:Choice>
  </mc:AlternateContent>
  <xr:revisionPtr revIDLastSave="0" documentId="13_ncr:1_{D5EC9CC8-80BA-4ACC-B408-24D6542D950D}" xr6:coauthVersionLast="37" xr6:coauthVersionMax="37" xr10:uidLastSave="{00000000-0000-0000-0000-000000000000}"/>
  <bookViews>
    <workbookView xWindow="0" yWindow="0" windowWidth="24720" windowHeight="11625" tabRatio="500" activeTab="1" xr2:uid="{00000000-000D-0000-FFFF-FFFF00000000}"/>
  </bookViews>
  <sheets>
    <sheet name="Расчет стоимости ресурсов" sheetId="1" r:id="rId1"/>
    <sheet name="Смета по ТСН" sheetId="2" r:id="rId2"/>
    <sheet name="Source" sheetId="3" r:id="rId3"/>
    <sheet name="SourceObSm" sheetId="4" state="hidden" r:id="rId4"/>
    <sheet name="SmtRes" sheetId="5" state="hidden" r:id="rId5"/>
    <sheet name="EtalonRes" sheetId="6" state="hidden" r:id="rId6"/>
    <sheet name="RV_DATA" sheetId="7" state="hidden" r:id="rId7"/>
  </sheets>
  <definedNames>
    <definedName name="Excel_BuiltIn_Print_Titles" localSheetId="0">'Расчет стоимости ресурсов'!$7:$7</definedName>
    <definedName name="Excel_BuiltIn_Print_Titles" localSheetId="1">'Смета по ТСН'!$25:$25</definedName>
    <definedName name="_xlnm.Print_Titles" localSheetId="0">'Расчет стоимости ресурсов'!$7:$7</definedName>
    <definedName name="_xlnm.Print_Titles" localSheetId="1">'Смета по ТСН'!$25:$25</definedName>
    <definedName name="_xlnm.Print_Area" localSheetId="0">'Расчет стоимости ресурсов'!$A$1:$K$19</definedName>
    <definedName name="_xlnm.Print_Area" localSheetId="1">'Смета по ТСН'!$A$1:$K$137</definedName>
  </definedNames>
  <calcPr calcId="1790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6" i="2" l="1"/>
  <c r="U17" i="7" l="1"/>
  <c r="I17" i="7"/>
  <c r="H17" i="7"/>
  <c r="G17" i="7"/>
  <c r="F17" i="7"/>
  <c r="E17" i="7"/>
  <c r="D17" i="7"/>
  <c r="A17" i="7"/>
  <c r="U16" i="7"/>
  <c r="S16" i="7"/>
  <c r="P16" i="7"/>
  <c r="N16" i="7"/>
  <c r="K16" i="7"/>
  <c r="J16" i="7"/>
  <c r="H16" i="7"/>
  <c r="G16" i="7"/>
  <c r="F16" i="7"/>
  <c r="E16" i="7"/>
  <c r="A16" i="7"/>
  <c r="U15" i="7"/>
  <c r="S15" i="7"/>
  <c r="Q15" i="7"/>
  <c r="P15" i="7"/>
  <c r="N15" i="7"/>
  <c r="K15" i="7"/>
  <c r="J15" i="7"/>
  <c r="H15" i="7"/>
  <c r="G15" i="7"/>
  <c r="F15" i="7"/>
  <c r="E15" i="7"/>
  <c r="A15" i="7"/>
  <c r="U14" i="7"/>
  <c r="S14" i="7"/>
  <c r="P14" i="7"/>
  <c r="N14" i="7"/>
  <c r="L14" i="7"/>
  <c r="K14" i="7"/>
  <c r="J14" i="7"/>
  <c r="H14" i="7"/>
  <c r="G14" i="7"/>
  <c r="F14" i="7"/>
  <c r="E14" i="7"/>
  <c r="A14" i="7"/>
  <c r="U13" i="7"/>
  <c r="S13" i="7"/>
  <c r="P13" i="7"/>
  <c r="N13" i="7"/>
  <c r="K13" i="7"/>
  <c r="J13" i="7"/>
  <c r="H13" i="7"/>
  <c r="G13" i="7"/>
  <c r="F13" i="7"/>
  <c r="E13" i="7"/>
  <c r="A13" i="7"/>
  <c r="U12" i="7"/>
  <c r="S12" i="7"/>
  <c r="P12" i="7"/>
  <c r="N12" i="7"/>
  <c r="K12" i="7"/>
  <c r="J12" i="7"/>
  <c r="H12" i="7"/>
  <c r="G12" i="7"/>
  <c r="F12" i="7"/>
  <c r="E12" i="7"/>
  <c r="A12" i="7"/>
  <c r="U11" i="7"/>
  <c r="S11" i="7"/>
  <c r="P11" i="7"/>
  <c r="N11" i="7"/>
  <c r="K11" i="7"/>
  <c r="J11" i="7"/>
  <c r="H11" i="7"/>
  <c r="G11" i="7"/>
  <c r="F11" i="7"/>
  <c r="E11" i="7"/>
  <c r="A11" i="7"/>
  <c r="U10" i="7"/>
  <c r="S10" i="7"/>
  <c r="P10" i="7"/>
  <c r="N10" i="7"/>
  <c r="L10" i="7"/>
  <c r="K10" i="7"/>
  <c r="J10" i="7"/>
  <c r="H10" i="7"/>
  <c r="G10" i="7"/>
  <c r="F10" i="7"/>
  <c r="E10" i="7"/>
  <c r="A10" i="7"/>
  <c r="U9" i="7"/>
  <c r="S9" i="7"/>
  <c r="P9" i="7"/>
  <c r="N9" i="7"/>
  <c r="K9" i="7"/>
  <c r="J9" i="7"/>
  <c r="H9" i="7"/>
  <c r="G9" i="7"/>
  <c r="F9" i="7"/>
  <c r="E9" i="7"/>
  <c r="A9" i="7"/>
  <c r="U8" i="7"/>
  <c r="H8" i="7"/>
  <c r="G8" i="7"/>
  <c r="F8" i="7"/>
  <c r="E8" i="7"/>
  <c r="D8" i="7"/>
  <c r="A8" i="7"/>
  <c r="U7" i="7"/>
  <c r="S7" i="7"/>
  <c r="P7" i="7"/>
  <c r="N7" i="7"/>
  <c r="K7" i="7"/>
  <c r="J7" i="7"/>
  <c r="H7" i="7"/>
  <c r="G7" i="7"/>
  <c r="F7" i="7"/>
  <c r="E7" i="7"/>
  <c r="A7" i="7"/>
  <c r="G6" i="7"/>
  <c r="A6" i="7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1" i="6"/>
  <c r="DC148" i="5"/>
  <c r="DA148" i="5"/>
  <c r="CZ148" i="5"/>
  <c r="DB148" i="5" s="1"/>
  <c r="CY148" i="5"/>
  <c r="CX148" i="5"/>
  <c r="A148" i="5"/>
  <c r="DC147" i="5"/>
  <c r="DB147" i="5"/>
  <c r="DA147" i="5"/>
  <c r="CZ147" i="5"/>
  <c r="CY147" i="5"/>
  <c r="CX147" i="5"/>
  <c r="A147" i="5"/>
  <c r="DC146" i="5"/>
  <c r="DB146" i="5"/>
  <c r="DA146" i="5"/>
  <c r="CZ146" i="5"/>
  <c r="CY146" i="5"/>
  <c r="CX146" i="5"/>
  <c r="A146" i="5"/>
  <c r="DC145" i="5"/>
  <c r="DA145" i="5"/>
  <c r="CZ145" i="5"/>
  <c r="DB145" i="5" s="1"/>
  <c r="CY145" i="5"/>
  <c r="CX145" i="5"/>
  <c r="A145" i="5"/>
  <c r="DC144" i="5"/>
  <c r="DA144" i="5"/>
  <c r="CZ144" i="5"/>
  <c r="DB144" i="5" s="1"/>
  <c r="CY144" i="5"/>
  <c r="CX144" i="5"/>
  <c r="A144" i="5"/>
  <c r="DC143" i="5"/>
  <c r="DB143" i="5"/>
  <c r="DA143" i="5"/>
  <c r="CZ143" i="5"/>
  <c r="CY143" i="5"/>
  <c r="CX143" i="5"/>
  <c r="A143" i="5"/>
  <c r="DC142" i="5"/>
  <c r="DB142" i="5"/>
  <c r="DA142" i="5"/>
  <c r="CZ142" i="5"/>
  <c r="CY142" i="5"/>
  <c r="A142" i="5"/>
  <c r="DC141" i="5"/>
  <c r="DA141" i="5"/>
  <c r="CZ141" i="5"/>
  <c r="DB141" i="5" s="1"/>
  <c r="L15" i="7" s="1"/>
  <c r="CY141" i="5"/>
  <c r="A141" i="5"/>
  <c r="DC140" i="5"/>
  <c r="Q16" i="7" s="1"/>
  <c r="DA140" i="5"/>
  <c r="CZ140" i="5"/>
  <c r="DB140" i="5" s="1"/>
  <c r="L16" i="7" s="1"/>
  <c r="CY140" i="5"/>
  <c r="A140" i="5"/>
  <c r="DC139" i="5"/>
  <c r="DB139" i="5"/>
  <c r="DA139" i="5"/>
  <c r="CZ139" i="5"/>
  <c r="CY139" i="5"/>
  <c r="A139" i="5"/>
  <c r="DC138" i="5"/>
  <c r="DB138" i="5"/>
  <c r="DA138" i="5"/>
  <c r="CZ138" i="5"/>
  <c r="CY138" i="5"/>
  <c r="A138" i="5"/>
  <c r="DC137" i="5"/>
  <c r="DA137" i="5"/>
  <c r="CZ137" i="5"/>
  <c r="DB137" i="5" s="1"/>
  <c r="CY137" i="5"/>
  <c r="A137" i="5"/>
  <c r="DC136" i="5"/>
  <c r="DA136" i="5"/>
  <c r="CZ136" i="5"/>
  <c r="DB136" i="5" s="1"/>
  <c r="CY136" i="5"/>
  <c r="A136" i="5"/>
  <c r="DC135" i="5"/>
  <c r="DB135" i="5"/>
  <c r="DA135" i="5"/>
  <c r="CZ135" i="5"/>
  <c r="CY135" i="5"/>
  <c r="A135" i="5"/>
  <c r="DC134" i="5"/>
  <c r="DB134" i="5"/>
  <c r="DA134" i="5"/>
  <c r="CZ134" i="5"/>
  <c r="CY134" i="5"/>
  <c r="A134" i="5"/>
  <c r="DC133" i="5"/>
  <c r="DA133" i="5"/>
  <c r="CZ133" i="5"/>
  <c r="DB133" i="5" s="1"/>
  <c r="CY133" i="5"/>
  <c r="A133" i="5"/>
  <c r="DC132" i="5"/>
  <c r="DA132" i="5"/>
  <c r="CZ132" i="5"/>
  <c r="DB132" i="5" s="1"/>
  <c r="CY132" i="5"/>
  <c r="A132" i="5"/>
  <c r="DC131" i="5"/>
  <c r="DB131" i="5"/>
  <c r="DA131" i="5"/>
  <c r="CZ131" i="5"/>
  <c r="CY131" i="5"/>
  <c r="A131" i="5"/>
  <c r="DC130" i="5"/>
  <c r="Q11" i="7" s="1"/>
  <c r="DB130" i="5"/>
  <c r="L11" i="7" s="1"/>
  <c r="DA130" i="5"/>
  <c r="CZ130" i="5"/>
  <c r="CY130" i="5"/>
  <c r="A130" i="5"/>
  <c r="DC129" i="5"/>
  <c r="Q12" i="7" s="1"/>
  <c r="DA129" i="5"/>
  <c r="CZ129" i="5"/>
  <c r="DB129" i="5" s="1"/>
  <c r="L12" i="7" s="1"/>
  <c r="CY129" i="5"/>
  <c r="A129" i="5"/>
  <c r="DC128" i="5"/>
  <c r="Q13" i="7" s="1"/>
  <c r="DA128" i="5"/>
  <c r="CZ128" i="5"/>
  <c r="DB128" i="5" s="1"/>
  <c r="L13" i="7" s="1"/>
  <c r="CY128" i="5"/>
  <c r="A128" i="5"/>
  <c r="DC127" i="5"/>
  <c r="Q14" i="7" s="1"/>
  <c r="DB127" i="5"/>
  <c r="DA127" i="5"/>
  <c r="CZ127" i="5"/>
  <c r="CY127" i="5"/>
  <c r="A127" i="5"/>
  <c r="DC126" i="5"/>
  <c r="DB126" i="5"/>
  <c r="DA126" i="5"/>
  <c r="CZ126" i="5"/>
  <c r="CY126" i="5"/>
  <c r="A126" i="5"/>
  <c r="DC125" i="5"/>
  <c r="DA125" i="5"/>
  <c r="CZ125" i="5"/>
  <c r="DB125" i="5" s="1"/>
  <c r="CY125" i="5"/>
  <c r="A125" i="5"/>
  <c r="DC124" i="5"/>
  <c r="DA124" i="5"/>
  <c r="CZ124" i="5"/>
  <c r="DB124" i="5" s="1"/>
  <c r="CY124" i="5"/>
  <c r="A124" i="5"/>
  <c r="DC123" i="5"/>
  <c r="DB123" i="5"/>
  <c r="DA123" i="5"/>
  <c r="CZ123" i="5"/>
  <c r="CY123" i="5"/>
  <c r="A123" i="5"/>
  <c r="DC122" i="5"/>
  <c r="DB122" i="5"/>
  <c r="DA122" i="5"/>
  <c r="CZ122" i="5"/>
  <c r="CY122" i="5"/>
  <c r="A122" i="5"/>
  <c r="DC121" i="5"/>
  <c r="DA121" i="5"/>
  <c r="CZ121" i="5"/>
  <c r="DB121" i="5" s="1"/>
  <c r="CY121" i="5"/>
  <c r="A121" i="5"/>
  <c r="DC120" i="5"/>
  <c r="DA120" i="5"/>
  <c r="CZ120" i="5"/>
  <c r="DB120" i="5" s="1"/>
  <c r="CY120" i="5"/>
  <c r="A120" i="5"/>
  <c r="DC119" i="5"/>
  <c r="DB119" i="5"/>
  <c r="DA119" i="5"/>
  <c r="CZ119" i="5"/>
  <c r="CY119" i="5"/>
  <c r="A119" i="5"/>
  <c r="DC118" i="5"/>
  <c r="DB118" i="5"/>
  <c r="DA118" i="5"/>
  <c r="CZ118" i="5"/>
  <c r="CY118" i="5"/>
  <c r="A118" i="5"/>
  <c r="DC117" i="5"/>
  <c r="DA117" i="5"/>
  <c r="CZ117" i="5"/>
  <c r="DB117" i="5" s="1"/>
  <c r="CY117" i="5"/>
  <c r="A117" i="5"/>
  <c r="DC116" i="5"/>
  <c r="DA116" i="5"/>
  <c r="CZ116" i="5"/>
  <c r="DB116" i="5" s="1"/>
  <c r="CY116" i="5"/>
  <c r="A116" i="5"/>
  <c r="DC115" i="5"/>
  <c r="DB115" i="5"/>
  <c r="DA115" i="5"/>
  <c r="CZ115" i="5"/>
  <c r="CY115" i="5"/>
  <c r="A115" i="5"/>
  <c r="DC114" i="5"/>
  <c r="DB114" i="5"/>
  <c r="DA114" i="5"/>
  <c r="CZ114" i="5"/>
  <c r="CY114" i="5"/>
  <c r="A114" i="5"/>
  <c r="DC113" i="5"/>
  <c r="DA113" i="5"/>
  <c r="CZ113" i="5"/>
  <c r="DB113" i="5" s="1"/>
  <c r="CY113" i="5"/>
  <c r="A113" i="5"/>
  <c r="DC112" i="5"/>
  <c r="DA112" i="5"/>
  <c r="CZ112" i="5"/>
  <c r="DB112" i="5" s="1"/>
  <c r="CY112" i="5"/>
  <c r="CX112" i="5"/>
  <c r="A112" i="5"/>
  <c r="DC111" i="5"/>
  <c r="DB111" i="5"/>
  <c r="DA111" i="5"/>
  <c r="CZ111" i="5"/>
  <c r="CY111" i="5"/>
  <c r="CX111" i="5"/>
  <c r="A111" i="5"/>
  <c r="DC110" i="5"/>
  <c r="DB110" i="5"/>
  <c r="DA110" i="5"/>
  <c r="CZ110" i="5"/>
  <c r="CY110" i="5"/>
  <c r="CX110" i="5"/>
  <c r="A110" i="5"/>
  <c r="DC109" i="5"/>
  <c r="DA109" i="5"/>
  <c r="CZ109" i="5"/>
  <c r="DB109" i="5" s="1"/>
  <c r="CY109" i="5"/>
  <c r="CX109" i="5"/>
  <c r="A109" i="5"/>
  <c r="DC108" i="5"/>
  <c r="DA108" i="5"/>
  <c r="CZ108" i="5"/>
  <c r="DB108" i="5" s="1"/>
  <c r="CY108" i="5"/>
  <c r="CX108" i="5"/>
  <c r="A108" i="5"/>
  <c r="DC107" i="5"/>
  <c r="DB107" i="5"/>
  <c r="DA107" i="5"/>
  <c r="CZ107" i="5"/>
  <c r="CY107" i="5"/>
  <c r="CX107" i="5"/>
  <c r="A107" i="5"/>
  <c r="DC106" i="5"/>
  <c r="DB106" i="5"/>
  <c r="DA106" i="5"/>
  <c r="CZ106" i="5"/>
  <c r="CY106" i="5"/>
  <c r="CX106" i="5"/>
  <c r="A106" i="5"/>
  <c r="DC105" i="5"/>
  <c r="DA105" i="5"/>
  <c r="CZ105" i="5"/>
  <c r="DB105" i="5" s="1"/>
  <c r="CY105" i="5"/>
  <c r="CX105" i="5"/>
  <c r="A105" i="5"/>
  <c r="DC104" i="5"/>
  <c r="DA104" i="5"/>
  <c r="CZ104" i="5"/>
  <c r="DB104" i="5" s="1"/>
  <c r="CY104" i="5"/>
  <c r="CX104" i="5"/>
  <c r="A104" i="5"/>
  <c r="DC103" i="5"/>
  <c r="DB103" i="5"/>
  <c r="DA103" i="5"/>
  <c r="CZ103" i="5"/>
  <c r="CY103" i="5"/>
  <c r="CX103" i="5"/>
  <c r="A103" i="5"/>
  <c r="DC102" i="5"/>
  <c r="DB102" i="5"/>
  <c r="DA102" i="5"/>
  <c r="CZ102" i="5"/>
  <c r="CY102" i="5"/>
  <c r="CX102" i="5"/>
  <c r="A102" i="5"/>
  <c r="DC101" i="5"/>
  <c r="DA101" i="5"/>
  <c r="CZ101" i="5"/>
  <c r="DB101" i="5" s="1"/>
  <c r="CY101" i="5"/>
  <c r="CX101" i="5"/>
  <c r="A101" i="5"/>
  <c r="DC100" i="5"/>
  <c r="DA100" i="5"/>
  <c r="CZ100" i="5"/>
  <c r="DB100" i="5" s="1"/>
  <c r="CY100" i="5"/>
  <c r="CX100" i="5"/>
  <c r="A100" i="5"/>
  <c r="DC99" i="5"/>
  <c r="DB99" i="5"/>
  <c r="DA99" i="5"/>
  <c r="CZ99" i="5"/>
  <c r="CY99" i="5"/>
  <c r="CX99" i="5"/>
  <c r="A99" i="5"/>
  <c r="DC98" i="5"/>
  <c r="DB98" i="5"/>
  <c r="DA98" i="5"/>
  <c r="CZ98" i="5"/>
  <c r="CY98" i="5"/>
  <c r="CX98" i="5"/>
  <c r="A98" i="5"/>
  <c r="DC97" i="5"/>
  <c r="DA97" i="5"/>
  <c r="CZ97" i="5"/>
  <c r="DB97" i="5" s="1"/>
  <c r="CY97" i="5"/>
  <c r="CX97" i="5"/>
  <c r="A97" i="5"/>
  <c r="DC96" i="5"/>
  <c r="DA96" i="5"/>
  <c r="CZ96" i="5"/>
  <c r="DB96" i="5" s="1"/>
  <c r="CY96" i="5"/>
  <c r="CX96" i="5"/>
  <c r="A96" i="5"/>
  <c r="DC95" i="5"/>
  <c r="DB95" i="5"/>
  <c r="DA95" i="5"/>
  <c r="CZ95" i="5"/>
  <c r="CY95" i="5"/>
  <c r="CX95" i="5"/>
  <c r="A95" i="5"/>
  <c r="DC94" i="5"/>
  <c r="DB94" i="5"/>
  <c r="DA94" i="5"/>
  <c r="CZ94" i="5"/>
  <c r="CY94" i="5"/>
  <c r="CX94" i="5"/>
  <c r="A94" i="5"/>
  <c r="DC93" i="5"/>
  <c r="DA93" i="5"/>
  <c r="CZ93" i="5"/>
  <c r="DB93" i="5" s="1"/>
  <c r="CY93" i="5"/>
  <c r="CX93" i="5"/>
  <c r="A93" i="5"/>
  <c r="DC92" i="5"/>
  <c r="DA92" i="5"/>
  <c r="CZ92" i="5"/>
  <c r="DB92" i="5" s="1"/>
  <c r="CY92" i="5"/>
  <c r="CX92" i="5"/>
  <c r="A92" i="5"/>
  <c r="DC91" i="5"/>
  <c r="DB91" i="5"/>
  <c r="DA91" i="5"/>
  <c r="CZ91" i="5"/>
  <c r="CY91" i="5"/>
  <c r="CX91" i="5"/>
  <c r="A91" i="5"/>
  <c r="DC90" i="5"/>
  <c r="DB90" i="5"/>
  <c r="DA90" i="5"/>
  <c r="CZ90" i="5"/>
  <c r="CY90" i="5"/>
  <c r="CX90" i="5"/>
  <c r="A90" i="5"/>
  <c r="DC89" i="5"/>
  <c r="DA89" i="5"/>
  <c r="CZ89" i="5"/>
  <c r="DB89" i="5" s="1"/>
  <c r="CY89" i="5"/>
  <c r="CX89" i="5"/>
  <c r="A89" i="5"/>
  <c r="DC88" i="5"/>
  <c r="DA88" i="5"/>
  <c r="CZ88" i="5"/>
  <c r="DB88" i="5" s="1"/>
  <c r="CY88" i="5"/>
  <c r="CX88" i="5"/>
  <c r="A88" i="5"/>
  <c r="DC87" i="5"/>
  <c r="DB87" i="5"/>
  <c r="DA87" i="5"/>
  <c r="CZ87" i="5"/>
  <c r="CY87" i="5"/>
  <c r="CX87" i="5"/>
  <c r="A87" i="5"/>
  <c r="DC86" i="5"/>
  <c r="DB86" i="5"/>
  <c r="DA86" i="5"/>
  <c r="CZ86" i="5"/>
  <c r="CY86" i="5"/>
  <c r="CX86" i="5"/>
  <c r="A86" i="5"/>
  <c r="DC85" i="5"/>
  <c r="DA85" i="5"/>
  <c r="CZ85" i="5"/>
  <c r="DB85" i="5" s="1"/>
  <c r="CY85" i="5"/>
  <c r="CX85" i="5"/>
  <c r="A85" i="5"/>
  <c r="DC84" i="5"/>
  <c r="DA84" i="5"/>
  <c r="CZ84" i="5"/>
  <c r="DB84" i="5" s="1"/>
  <c r="CY84" i="5"/>
  <c r="CX84" i="5"/>
  <c r="A84" i="5"/>
  <c r="DC83" i="5"/>
  <c r="DB83" i="5"/>
  <c r="DA83" i="5"/>
  <c r="CZ83" i="5"/>
  <c r="CY83" i="5"/>
  <c r="CX83" i="5"/>
  <c r="A83" i="5"/>
  <c r="DC82" i="5"/>
  <c r="DB82" i="5"/>
  <c r="DA82" i="5"/>
  <c r="CZ82" i="5"/>
  <c r="CY82" i="5"/>
  <c r="CX82" i="5"/>
  <c r="A82" i="5"/>
  <c r="DC81" i="5"/>
  <c r="DA81" i="5"/>
  <c r="CZ81" i="5"/>
  <c r="DB81" i="5" s="1"/>
  <c r="CY81" i="5"/>
  <c r="CX81" i="5"/>
  <c r="A81" i="5"/>
  <c r="DC80" i="5"/>
  <c r="Q9" i="7" s="1"/>
  <c r="DA80" i="5"/>
  <c r="CZ80" i="5"/>
  <c r="DB80" i="5" s="1"/>
  <c r="L9" i="7" s="1"/>
  <c r="CY80" i="5"/>
  <c r="A80" i="5"/>
  <c r="DC79" i="5"/>
  <c r="Q10" i="7" s="1"/>
  <c r="DB79" i="5"/>
  <c r="DA79" i="5"/>
  <c r="CZ79" i="5"/>
  <c r="CY79" i="5"/>
  <c r="A79" i="5"/>
  <c r="DC78" i="5"/>
  <c r="DB78" i="5"/>
  <c r="DA78" i="5"/>
  <c r="CZ78" i="5"/>
  <c r="CY78" i="5"/>
  <c r="A78" i="5"/>
  <c r="DC77" i="5"/>
  <c r="DA77" i="5"/>
  <c r="CZ77" i="5"/>
  <c r="DB77" i="5" s="1"/>
  <c r="CY77" i="5"/>
  <c r="A77" i="5"/>
  <c r="DC76" i="5"/>
  <c r="DA76" i="5"/>
  <c r="CZ76" i="5"/>
  <c r="DB76" i="5" s="1"/>
  <c r="CY76" i="5"/>
  <c r="A76" i="5"/>
  <c r="DC75" i="5"/>
  <c r="DB75" i="5"/>
  <c r="DA75" i="5"/>
  <c r="CZ75" i="5"/>
  <c r="CY75" i="5"/>
  <c r="A75" i="5"/>
  <c r="DC74" i="5"/>
  <c r="DB74" i="5"/>
  <c r="DA74" i="5"/>
  <c r="CZ74" i="5"/>
  <c r="CY74" i="5"/>
  <c r="A74" i="5"/>
  <c r="DC73" i="5"/>
  <c r="DA73" i="5"/>
  <c r="CZ73" i="5"/>
  <c r="DB73" i="5" s="1"/>
  <c r="CY73" i="5"/>
  <c r="A73" i="5"/>
  <c r="DC72" i="5"/>
  <c r="DA72" i="5"/>
  <c r="CZ72" i="5"/>
  <c r="DB72" i="5" s="1"/>
  <c r="CY72" i="5"/>
  <c r="A72" i="5"/>
  <c r="DC71" i="5"/>
  <c r="DB71" i="5"/>
  <c r="DA71" i="5"/>
  <c r="CZ71" i="5"/>
  <c r="CY71" i="5"/>
  <c r="A71" i="5"/>
  <c r="DC70" i="5"/>
  <c r="DB70" i="5"/>
  <c r="DA70" i="5"/>
  <c r="CZ70" i="5"/>
  <c r="CY70" i="5"/>
  <c r="A70" i="5"/>
  <c r="DC69" i="5"/>
  <c r="DA69" i="5"/>
  <c r="CZ69" i="5"/>
  <c r="DB69" i="5" s="1"/>
  <c r="CY69" i="5"/>
  <c r="A69" i="5"/>
  <c r="DC68" i="5"/>
  <c r="DA68" i="5"/>
  <c r="CZ68" i="5"/>
  <c r="DB68" i="5" s="1"/>
  <c r="CY68" i="5"/>
  <c r="A68" i="5"/>
  <c r="DC67" i="5"/>
  <c r="DB67" i="5"/>
  <c r="DA67" i="5"/>
  <c r="CZ67" i="5"/>
  <c r="CY67" i="5"/>
  <c r="A67" i="5"/>
  <c r="DC66" i="5"/>
  <c r="Q7" i="7" s="1"/>
  <c r="DB66" i="5"/>
  <c r="L7" i="7" s="1"/>
  <c r="DA66" i="5"/>
  <c r="CZ66" i="5"/>
  <c r="CY66" i="5"/>
  <c r="A66" i="5"/>
  <c r="DC65" i="5"/>
  <c r="DA65" i="5"/>
  <c r="CZ65" i="5"/>
  <c r="DB65" i="5" s="1"/>
  <c r="CY65" i="5"/>
  <c r="A65" i="5"/>
  <c r="DC64" i="5"/>
  <c r="DA64" i="5"/>
  <c r="CZ64" i="5"/>
  <c r="DB64" i="5" s="1"/>
  <c r="CY64" i="5"/>
  <c r="A64" i="5"/>
  <c r="DC63" i="5"/>
  <c r="DB63" i="5"/>
  <c r="DA63" i="5"/>
  <c r="CZ63" i="5"/>
  <c r="CY63" i="5"/>
  <c r="A63" i="5"/>
  <c r="DC62" i="5"/>
  <c r="DB62" i="5"/>
  <c r="DA62" i="5"/>
  <c r="CZ62" i="5"/>
  <c r="CY62" i="5"/>
  <c r="A62" i="5"/>
  <c r="DC61" i="5"/>
  <c r="DA61" i="5"/>
  <c r="CZ61" i="5"/>
  <c r="DB61" i="5" s="1"/>
  <c r="CY61" i="5"/>
  <c r="A61" i="5"/>
  <c r="DC60" i="5"/>
  <c r="DA60" i="5"/>
  <c r="CZ60" i="5"/>
  <c r="DB60" i="5" s="1"/>
  <c r="CY60" i="5"/>
  <c r="A60" i="5"/>
  <c r="DC59" i="5"/>
  <c r="DB59" i="5"/>
  <c r="DA59" i="5"/>
  <c r="CZ59" i="5"/>
  <c r="CY59" i="5"/>
  <c r="A59" i="5"/>
  <c r="DC58" i="5"/>
  <c r="DB58" i="5"/>
  <c r="DA58" i="5"/>
  <c r="CZ58" i="5"/>
  <c r="CY58" i="5"/>
  <c r="A58" i="5"/>
  <c r="DC57" i="5"/>
  <c r="DA57" i="5"/>
  <c r="CZ57" i="5"/>
  <c r="DB57" i="5" s="1"/>
  <c r="CY57" i="5"/>
  <c r="A57" i="5"/>
  <c r="DC56" i="5"/>
  <c r="DA56" i="5"/>
  <c r="CZ56" i="5"/>
  <c r="DB56" i="5" s="1"/>
  <c r="CY56" i="5"/>
  <c r="A56" i="5"/>
  <c r="DC55" i="5"/>
  <c r="DB55" i="5"/>
  <c r="DA55" i="5"/>
  <c r="CZ55" i="5"/>
  <c r="CY55" i="5"/>
  <c r="A55" i="5"/>
  <c r="DC54" i="5"/>
  <c r="DB54" i="5"/>
  <c r="DA54" i="5"/>
  <c r="CZ54" i="5"/>
  <c r="CY54" i="5"/>
  <c r="A54" i="5"/>
  <c r="DC53" i="5"/>
  <c r="DA53" i="5"/>
  <c r="CZ53" i="5"/>
  <c r="DB53" i="5" s="1"/>
  <c r="CY53" i="5"/>
  <c r="A53" i="5"/>
  <c r="DC52" i="5"/>
  <c r="DA52" i="5"/>
  <c r="CZ52" i="5"/>
  <c r="DB52" i="5" s="1"/>
  <c r="CY52" i="5"/>
  <c r="A52" i="5"/>
  <c r="DC51" i="5"/>
  <c r="DB51" i="5"/>
  <c r="DA51" i="5"/>
  <c r="CZ51" i="5"/>
  <c r="CY51" i="5"/>
  <c r="A51" i="5"/>
  <c r="DC50" i="5"/>
  <c r="DB50" i="5"/>
  <c r="DA50" i="5"/>
  <c r="CZ50" i="5"/>
  <c r="CY50" i="5"/>
  <c r="A50" i="5"/>
  <c r="DC49" i="5"/>
  <c r="DA49" i="5"/>
  <c r="CZ49" i="5"/>
  <c r="DB49" i="5" s="1"/>
  <c r="CY49" i="5"/>
  <c r="A49" i="5"/>
  <c r="DC48" i="5"/>
  <c r="DA48" i="5"/>
  <c r="CZ48" i="5"/>
  <c r="DB48" i="5" s="1"/>
  <c r="CY48" i="5"/>
  <c r="A48" i="5"/>
  <c r="DC47" i="5"/>
  <c r="DB47" i="5"/>
  <c r="DA47" i="5"/>
  <c r="CZ47" i="5"/>
  <c r="CY47" i="5"/>
  <c r="A47" i="5"/>
  <c r="DC46" i="5"/>
  <c r="DB46" i="5"/>
  <c r="DA46" i="5"/>
  <c r="CZ46" i="5"/>
  <c r="CY46" i="5"/>
  <c r="A46" i="5"/>
  <c r="DC45" i="5"/>
  <c r="DA45" i="5"/>
  <c r="CZ45" i="5"/>
  <c r="DB45" i="5" s="1"/>
  <c r="CY45" i="5"/>
  <c r="A45" i="5"/>
  <c r="DC44" i="5"/>
  <c r="DA44" i="5"/>
  <c r="CZ44" i="5"/>
  <c r="DB44" i="5" s="1"/>
  <c r="CY44" i="5"/>
  <c r="A44" i="5"/>
  <c r="DC43" i="5"/>
  <c r="DB43" i="5"/>
  <c r="DA43" i="5"/>
  <c r="CZ43" i="5"/>
  <c r="CY43" i="5"/>
  <c r="A43" i="5"/>
  <c r="DC42" i="5"/>
  <c r="DB42" i="5"/>
  <c r="DA42" i="5"/>
  <c r="CZ42" i="5"/>
  <c r="CY42" i="5"/>
  <c r="A42" i="5"/>
  <c r="DC41" i="5"/>
  <c r="DA41" i="5"/>
  <c r="CZ41" i="5"/>
  <c r="DB41" i="5" s="1"/>
  <c r="CY41" i="5"/>
  <c r="A41" i="5"/>
  <c r="DC40" i="5"/>
  <c r="DA40" i="5"/>
  <c r="CZ40" i="5"/>
  <c r="DB40" i="5" s="1"/>
  <c r="CY40" i="5"/>
  <c r="A40" i="5"/>
  <c r="DC39" i="5"/>
  <c r="DB39" i="5"/>
  <c r="DA39" i="5"/>
  <c r="CZ39" i="5"/>
  <c r="CY39" i="5"/>
  <c r="A39" i="5"/>
  <c r="DC38" i="5"/>
  <c r="DB38" i="5"/>
  <c r="DA38" i="5"/>
  <c r="CZ38" i="5"/>
  <c r="CY38" i="5"/>
  <c r="A38" i="5"/>
  <c r="DC37" i="5"/>
  <c r="DA37" i="5"/>
  <c r="CZ37" i="5"/>
  <c r="DB37" i="5" s="1"/>
  <c r="CY37" i="5"/>
  <c r="A37" i="5"/>
  <c r="DC36" i="5"/>
  <c r="DA36" i="5"/>
  <c r="CZ36" i="5"/>
  <c r="DB36" i="5" s="1"/>
  <c r="CY36" i="5"/>
  <c r="A36" i="5"/>
  <c r="DC35" i="5"/>
  <c r="DB35" i="5"/>
  <c r="DA35" i="5"/>
  <c r="CZ35" i="5"/>
  <c r="CY35" i="5"/>
  <c r="A35" i="5"/>
  <c r="DC34" i="5"/>
  <c r="DB34" i="5"/>
  <c r="DA34" i="5"/>
  <c r="CZ34" i="5"/>
  <c r="CY34" i="5"/>
  <c r="A34" i="5"/>
  <c r="DC33" i="5"/>
  <c r="DA33" i="5"/>
  <c r="CZ33" i="5"/>
  <c r="DB33" i="5" s="1"/>
  <c r="CY33" i="5"/>
  <c r="A33" i="5"/>
  <c r="DC32" i="5"/>
  <c r="DA32" i="5"/>
  <c r="CZ32" i="5"/>
  <c r="DB32" i="5" s="1"/>
  <c r="CY32" i="5"/>
  <c r="A32" i="5"/>
  <c r="DC31" i="5"/>
  <c r="DB31" i="5"/>
  <c r="DA31" i="5"/>
  <c r="CZ31" i="5"/>
  <c r="CY31" i="5"/>
  <c r="A31" i="5"/>
  <c r="DC30" i="5"/>
  <c r="DB30" i="5"/>
  <c r="DA30" i="5"/>
  <c r="CZ30" i="5"/>
  <c r="CY30" i="5"/>
  <c r="A30" i="5"/>
  <c r="DC29" i="5"/>
  <c r="DA29" i="5"/>
  <c r="CZ29" i="5"/>
  <c r="DB29" i="5" s="1"/>
  <c r="CY29" i="5"/>
  <c r="A29" i="5"/>
  <c r="DC28" i="5"/>
  <c r="DA28" i="5"/>
  <c r="CZ28" i="5"/>
  <c r="DB28" i="5" s="1"/>
  <c r="CY28" i="5"/>
  <c r="A28" i="5"/>
  <c r="DC27" i="5"/>
  <c r="DB27" i="5"/>
  <c r="DA27" i="5"/>
  <c r="CZ27" i="5"/>
  <c r="CY27" i="5"/>
  <c r="A27" i="5"/>
  <c r="DC26" i="5"/>
  <c r="DB26" i="5"/>
  <c r="DA26" i="5"/>
  <c r="CZ26" i="5"/>
  <c r="CY26" i="5"/>
  <c r="A26" i="5"/>
  <c r="DC25" i="5"/>
  <c r="DA25" i="5"/>
  <c r="CZ25" i="5"/>
  <c r="DB25" i="5" s="1"/>
  <c r="CY25" i="5"/>
  <c r="A25" i="5"/>
  <c r="DC24" i="5"/>
  <c r="DA24" i="5"/>
  <c r="CZ24" i="5"/>
  <c r="DB24" i="5" s="1"/>
  <c r="CY24" i="5"/>
  <c r="A24" i="5"/>
  <c r="DC23" i="5"/>
  <c r="DB23" i="5"/>
  <c r="DA23" i="5"/>
  <c r="CZ23" i="5"/>
  <c r="CY23" i="5"/>
  <c r="A23" i="5"/>
  <c r="DC22" i="5"/>
  <c r="DB22" i="5"/>
  <c r="DA22" i="5"/>
  <c r="CZ22" i="5"/>
  <c r="CY22" i="5"/>
  <c r="A22" i="5"/>
  <c r="DC21" i="5"/>
  <c r="DA21" i="5"/>
  <c r="CZ21" i="5"/>
  <c r="DB21" i="5" s="1"/>
  <c r="CY21" i="5"/>
  <c r="A21" i="5"/>
  <c r="DC20" i="5"/>
  <c r="DA20" i="5"/>
  <c r="CZ20" i="5"/>
  <c r="DB20" i="5" s="1"/>
  <c r="CY20" i="5"/>
  <c r="A20" i="5"/>
  <c r="DC19" i="5"/>
  <c r="DB19" i="5"/>
  <c r="DA19" i="5"/>
  <c r="CZ19" i="5"/>
  <c r="CY19" i="5"/>
  <c r="A19" i="5"/>
  <c r="DC18" i="5"/>
  <c r="DB18" i="5"/>
  <c r="DA18" i="5"/>
  <c r="CZ18" i="5"/>
  <c r="CY18" i="5"/>
  <c r="A18" i="5"/>
  <c r="DC17" i="5"/>
  <c r="DA17" i="5"/>
  <c r="CZ17" i="5"/>
  <c r="DB17" i="5" s="1"/>
  <c r="CY17" i="5"/>
  <c r="A17" i="5"/>
  <c r="DC16" i="5"/>
  <c r="DA16" i="5"/>
  <c r="CZ16" i="5"/>
  <c r="DB16" i="5" s="1"/>
  <c r="CY16" i="5"/>
  <c r="A16" i="5"/>
  <c r="DC15" i="5"/>
  <c r="DB15" i="5"/>
  <c r="DA15" i="5"/>
  <c r="CZ15" i="5"/>
  <c r="CY15" i="5"/>
  <c r="A15" i="5"/>
  <c r="DC14" i="5"/>
  <c r="DB14" i="5"/>
  <c r="DA14" i="5"/>
  <c r="CZ14" i="5"/>
  <c r="CY14" i="5"/>
  <c r="A14" i="5"/>
  <c r="DC13" i="5"/>
  <c r="DA13" i="5"/>
  <c r="CZ13" i="5"/>
  <c r="DB13" i="5" s="1"/>
  <c r="CY13" i="5"/>
  <c r="A13" i="5"/>
  <c r="DC12" i="5"/>
  <c r="DA12" i="5"/>
  <c r="CZ12" i="5"/>
  <c r="DB12" i="5" s="1"/>
  <c r="CY12" i="5"/>
  <c r="A12" i="5"/>
  <c r="DC11" i="5"/>
  <c r="DB11" i="5"/>
  <c r="DA11" i="5"/>
  <c r="CZ11" i="5"/>
  <c r="CY11" i="5"/>
  <c r="A11" i="5"/>
  <c r="DC10" i="5"/>
  <c r="DB10" i="5"/>
  <c r="DA10" i="5"/>
  <c r="CZ10" i="5"/>
  <c r="CY10" i="5"/>
  <c r="A10" i="5"/>
  <c r="DC9" i="5"/>
  <c r="DA9" i="5"/>
  <c r="CZ9" i="5"/>
  <c r="DB9" i="5" s="1"/>
  <c r="CY9" i="5"/>
  <c r="A9" i="5"/>
  <c r="DC8" i="5"/>
  <c r="DA8" i="5"/>
  <c r="CZ8" i="5"/>
  <c r="DB8" i="5" s="1"/>
  <c r="CY8" i="5"/>
  <c r="A8" i="5"/>
  <c r="DC7" i="5"/>
  <c r="DB7" i="5"/>
  <c r="DA7" i="5"/>
  <c r="CZ7" i="5"/>
  <c r="CY7" i="5"/>
  <c r="A7" i="5"/>
  <c r="DC6" i="5"/>
  <c r="DB6" i="5"/>
  <c r="DA6" i="5"/>
  <c r="CZ6" i="5"/>
  <c r="CY6" i="5"/>
  <c r="A6" i="5"/>
  <c r="DC5" i="5"/>
  <c r="DA5" i="5"/>
  <c r="CZ5" i="5"/>
  <c r="DB5" i="5" s="1"/>
  <c r="CY5" i="5"/>
  <c r="A5" i="5"/>
  <c r="DC4" i="5"/>
  <c r="DA4" i="5"/>
  <c r="CZ4" i="5"/>
  <c r="DB4" i="5" s="1"/>
  <c r="CY4" i="5"/>
  <c r="A4" i="5"/>
  <c r="DC3" i="5"/>
  <c r="DB3" i="5"/>
  <c r="DA3" i="5"/>
  <c r="CZ3" i="5"/>
  <c r="CY3" i="5"/>
  <c r="A3" i="5"/>
  <c r="DC2" i="5"/>
  <c r="DB2" i="5"/>
  <c r="DA2" i="5"/>
  <c r="CZ2" i="5"/>
  <c r="CY2" i="5"/>
  <c r="A2" i="5"/>
  <c r="DC1" i="5"/>
  <c r="DA1" i="5"/>
  <c r="CZ1" i="5"/>
  <c r="DB1" i="5" s="1"/>
  <c r="CY1" i="5"/>
  <c r="A1" i="5"/>
  <c r="G103" i="3"/>
  <c r="F103" i="3"/>
  <c r="D103" i="3"/>
  <c r="C103" i="3"/>
  <c r="B103" i="3"/>
  <c r="GD73" i="3"/>
  <c r="EU73" i="3" s="1"/>
  <c r="GC73" i="3"/>
  <c r="FP73" i="3"/>
  <c r="ET73" i="3"/>
  <c r="P86" i="3" s="1"/>
  <c r="EG73" i="3"/>
  <c r="P77" i="3" s="1"/>
  <c r="CL73" i="3"/>
  <c r="BC73" i="3" s="1"/>
  <c r="CK73" i="3"/>
  <c r="BX73" i="3"/>
  <c r="BB73" i="3"/>
  <c r="BB103" i="3" s="1"/>
  <c r="F116" i="3" s="1"/>
  <c r="AO73" i="3"/>
  <c r="F77" i="3" s="1"/>
  <c r="G73" i="3"/>
  <c r="F73" i="3"/>
  <c r="D73" i="3"/>
  <c r="C73" i="3"/>
  <c r="B73" i="3"/>
  <c r="HC71" i="3"/>
  <c r="GX71" i="3" s="1"/>
  <c r="GV71" i="3"/>
  <c r="GP71" i="3"/>
  <c r="GO71" i="3"/>
  <c r="GL71" i="3"/>
  <c r="FR71" i="3"/>
  <c r="CQ71" i="3"/>
  <c r="P71" i="3" s="1"/>
  <c r="AJ71" i="3"/>
  <c r="CX71" i="3" s="1"/>
  <c r="W71" i="3" s="1"/>
  <c r="AI71" i="3"/>
  <c r="CW71" i="3" s="1"/>
  <c r="V71" i="3" s="1"/>
  <c r="AH71" i="3"/>
  <c r="CV71" i="3" s="1"/>
  <c r="U71" i="3" s="1"/>
  <c r="AG71" i="3"/>
  <c r="CU71" i="3" s="1"/>
  <c r="T71" i="3" s="1"/>
  <c r="AF71" i="3"/>
  <c r="CT71" i="3" s="1"/>
  <c r="S71" i="3" s="1"/>
  <c r="AE71" i="3"/>
  <c r="CS71" i="3" s="1"/>
  <c r="R71" i="3" s="1"/>
  <c r="AD71" i="3"/>
  <c r="CR71" i="3" s="1"/>
  <c r="Q71" i="3" s="1"/>
  <c r="AC71" i="3"/>
  <c r="AB71" i="3" s="1"/>
  <c r="D71" i="3"/>
  <c r="C71" i="3"/>
  <c r="GV70" i="3"/>
  <c r="HC70" i="3" s="1"/>
  <c r="GX70" i="3" s="1"/>
  <c r="GP70" i="3"/>
  <c r="GO70" i="3"/>
  <c r="GL70" i="3"/>
  <c r="FR70" i="3"/>
  <c r="CW70" i="3"/>
  <c r="V70" i="3" s="1"/>
  <c r="CT70" i="3"/>
  <c r="S70" i="3" s="1"/>
  <c r="CS70" i="3"/>
  <c r="AJ70" i="3"/>
  <c r="CX70" i="3" s="1"/>
  <c r="W70" i="3" s="1"/>
  <c r="AI70" i="3"/>
  <c r="AH70" i="3"/>
  <c r="CV70" i="3" s="1"/>
  <c r="U70" i="3" s="1"/>
  <c r="AG70" i="3"/>
  <c r="CU70" i="3" s="1"/>
  <c r="T70" i="3" s="1"/>
  <c r="AF70" i="3"/>
  <c r="AE70" i="3"/>
  <c r="AD70" i="3"/>
  <c r="CR70" i="3" s="1"/>
  <c r="Q70" i="3" s="1"/>
  <c r="AC70" i="3"/>
  <c r="CQ70" i="3" s="1"/>
  <c r="P70" i="3" s="1"/>
  <c r="CP70" i="3" s="1"/>
  <c r="O70" i="3" s="1"/>
  <c r="AB70" i="3"/>
  <c r="R70" i="3"/>
  <c r="D70" i="3"/>
  <c r="C70" i="3"/>
  <c r="GV69" i="3"/>
  <c r="HC69" i="3" s="1"/>
  <c r="GX69" i="3" s="1"/>
  <c r="GP69" i="3"/>
  <c r="GO69" i="3"/>
  <c r="GL69" i="3"/>
  <c r="FR69" i="3"/>
  <c r="CW69" i="3"/>
  <c r="V69" i="3" s="1"/>
  <c r="CV69" i="3"/>
  <c r="CT69" i="3"/>
  <c r="CR69" i="3"/>
  <c r="Q69" i="3" s="1"/>
  <c r="AJ69" i="3"/>
  <c r="CX69" i="3" s="1"/>
  <c r="W69" i="3" s="1"/>
  <c r="AI69" i="3"/>
  <c r="AH69" i="3"/>
  <c r="AG69" i="3"/>
  <c r="CU69" i="3" s="1"/>
  <c r="T69" i="3" s="1"/>
  <c r="AF69" i="3"/>
  <c r="AE69" i="3"/>
  <c r="CS69" i="3" s="1"/>
  <c r="AD69" i="3"/>
  <c r="AC69" i="3"/>
  <c r="CQ69" i="3" s="1"/>
  <c r="P69" i="3" s="1"/>
  <c r="CP69" i="3" s="1"/>
  <c r="O69" i="3" s="1"/>
  <c r="AB69" i="3"/>
  <c r="U69" i="3"/>
  <c r="S69" i="3"/>
  <c r="R69" i="3"/>
  <c r="D69" i="3"/>
  <c r="C69" i="3"/>
  <c r="HC68" i="3"/>
  <c r="GX68" i="3"/>
  <c r="GV68" i="3"/>
  <c r="GP68" i="3"/>
  <c r="GO68" i="3"/>
  <c r="GL68" i="3"/>
  <c r="FR68" i="3"/>
  <c r="CW68" i="3"/>
  <c r="CU68" i="3"/>
  <c r="T68" i="3" s="1"/>
  <c r="CR68" i="3"/>
  <c r="Q68" i="3" s="1"/>
  <c r="CQ68" i="3"/>
  <c r="AJ68" i="3"/>
  <c r="CX68" i="3" s="1"/>
  <c r="W68" i="3" s="1"/>
  <c r="AI68" i="3"/>
  <c r="AH68" i="3"/>
  <c r="CV68" i="3" s="1"/>
  <c r="U68" i="3" s="1"/>
  <c r="AG68" i="3"/>
  <c r="AF68" i="3"/>
  <c r="AB68" i="3" s="1"/>
  <c r="AE68" i="3"/>
  <c r="CS68" i="3" s="1"/>
  <c r="R68" i="3" s="1"/>
  <c r="AD68" i="3"/>
  <c r="AC68" i="3"/>
  <c r="V68" i="3"/>
  <c r="P68" i="3"/>
  <c r="D68" i="3"/>
  <c r="C68" i="3"/>
  <c r="GV67" i="3"/>
  <c r="HC67" i="3" s="1"/>
  <c r="GX67" i="3" s="1"/>
  <c r="GP67" i="3"/>
  <c r="GO67" i="3"/>
  <c r="GL67" i="3"/>
  <c r="FR67" i="3"/>
  <c r="CW67" i="3"/>
  <c r="V67" i="3" s="1"/>
  <c r="CT67" i="3"/>
  <c r="S67" i="3" s="1"/>
  <c r="CS67" i="3"/>
  <c r="CQ67" i="3"/>
  <c r="AJ67" i="3"/>
  <c r="CX67" i="3" s="1"/>
  <c r="W67" i="3" s="1"/>
  <c r="AI67" i="3"/>
  <c r="AH67" i="3"/>
  <c r="CV67" i="3" s="1"/>
  <c r="U67" i="3" s="1"/>
  <c r="AG67" i="3"/>
  <c r="CU67" i="3" s="1"/>
  <c r="T67" i="3" s="1"/>
  <c r="AF67" i="3"/>
  <c r="AE67" i="3"/>
  <c r="AD67" i="3"/>
  <c r="CR67" i="3" s="1"/>
  <c r="Q67" i="3" s="1"/>
  <c r="AC67" i="3"/>
  <c r="AB67" i="3"/>
  <c r="R67" i="3"/>
  <c r="P67" i="3"/>
  <c r="GV66" i="3"/>
  <c r="HC66" i="3" s="1"/>
  <c r="GX66" i="3" s="1"/>
  <c r="GP66" i="3"/>
  <c r="GO66" i="3"/>
  <c r="GL66" i="3"/>
  <c r="FR66" i="3"/>
  <c r="CW66" i="3"/>
  <c r="V66" i="3" s="1"/>
  <c r="CT66" i="3"/>
  <c r="S66" i="3" s="1"/>
  <c r="CS66" i="3"/>
  <c r="CQ66" i="3"/>
  <c r="AJ66" i="3"/>
  <c r="CX66" i="3" s="1"/>
  <c r="AI66" i="3"/>
  <c r="AH66" i="3"/>
  <c r="CV66" i="3" s="1"/>
  <c r="U66" i="3" s="1"/>
  <c r="AG66" i="3"/>
  <c r="CU66" i="3" s="1"/>
  <c r="T66" i="3" s="1"/>
  <c r="AF66" i="3"/>
  <c r="AE66" i="3"/>
  <c r="AD66" i="3"/>
  <c r="CR66" i="3" s="1"/>
  <c r="Q66" i="3" s="1"/>
  <c r="AC66" i="3"/>
  <c r="AB66" i="3"/>
  <c r="W66" i="3"/>
  <c r="R66" i="3"/>
  <c r="P66" i="3"/>
  <c r="GV65" i="3"/>
  <c r="HC65" i="3" s="1"/>
  <c r="GP65" i="3"/>
  <c r="GO65" i="3"/>
  <c r="GL65" i="3"/>
  <c r="FR65" i="3"/>
  <c r="CW65" i="3"/>
  <c r="CT65" i="3"/>
  <c r="CS65" i="3"/>
  <c r="CQ65" i="3"/>
  <c r="AJ65" i="3"/>
  <c r="CX65" i="3" s="1"/>
  <c r="AI65" i="3"/>
  <c r="AH65" i="3"/>
  <c r="CV65" i="3" s="1"/>
  <c r="AG65" i="3"/>
  <c r="CU65" i="3" s="1"/>
  <c r="AF65" i="3"/>
  <c r="AE65" i="3"/>
  <c r="AD65" i="3"/>
  <c r="CR65" i="3" s="1"/>
  <c r="AC65" i="3"/>
  <c r="AB65" i="3"/>
  <c r="GV64" i="3"/>
  <c r="HC64" i="3" s="1"/>
  <c r="GP64" i="3"/>
  <c r="GO64" i="3"/>
  <c r="GL64" i="3"/>
  <c r="FR64" i="3"/>
  <c r="CX64" i="3"/>
  <c r="CU64" i="3"/>
  <c r="CT64" i="3"/>
  <c r="AJ64" i="3"/>
  <c r="AI64" i="3"/>
  <c r="CW64" i="3" s="1"/>
  <c r="AH64" i="3"/>
  <c r="CV64" i="3" s="1"/>
  <c r="AG64" i="3"/>
  <c r="AF64" i="3"/>
  <c r="AE64" i="3"/>
  <c r="CS64" i="3" s="1"/>
  <c r="AC64" i="3"/>
  <c r="CQ64" i="3" s="1"/>
  <c r="GV63" i="3"/>
  <c r="HC63" i="3" s="1"/>
  <c r="GX63" i="3" s="1"/>
  <c r="GP63" i="3"/>
  <c r="GO63" i="3"/>
  <c r="GL63" i="3"/>
  <c r="FR63" i="3"/>
  <c r="CV63" i="3"/>
  <c r="U63" i="3" s="1"/>
  <c r="CU63" i="3"/>
  <c r="CS63" i="3"/>
  <c r="CQ63" i="3"/>
  <c r="P63" i="3" s="1"/>
  <c r="AJ63" i="3"/>
  <c r="CX63" i="3" s="1"/>
  <c r="W63" i="3" s="1"/>
  <c r="AI63" i="3"/>
  <c r="CW63" i="3" s="1"/>
  <c r="V63" i="3" s="1"/>
  <c r="AH63" i="3"/>
  <c r="AG63" i="3"/>
  <c r="AF63" i="3"/>
  <c r="CT63" i="3" s="1"/>
  <c r="S63" i="3" s="1"/>
  <c r="AE63" i="3"/>
  <c r="AD63" i="3"/>
  <c r="CR63" i="3" s="1"/>
  <c r="Q63" i="3" s="1"/>
  <c r="AC63" i="3"/>
  <c r="T63" i="3"/>
  <c r="I63" i="3"/>
  <c r="R63" i="3" s="1"/>
  <c r="D63" i="3"/>
  <c r="C63" i="3"/>
  <c r="GV62" i="3"/>
  <c r="HC62" i="3" s="1"/>
  <c r="GX62" i="3" s="1"/>
  <c r="GP62" i="3"/>
  <c r="GO62" i="3"/>
  <c r="GL62" i="3"/>
  <c r="FR62" i="3"/>
  <c r="CX62" i="3"/>
  <c r="CV62" i="3"/>
  <c r="U62" i="3" s="1"/>
  <c r="CT62" i="3"/>
  <c r="S62" i="3" s="1"/>
  <c r="CQ62" i="3"/>
  <c r="P62" i="3" s="1"/>
  <c r="AJ62" i="3"/>
  <c r="AI62" i="3"/>
  <c r="CW62" i="3" s="1"/>
  <c r="V62" i="3" s="1"/>
  <c r="AH62" i="3"/>
  <c r="AG62" i="3"/>
  <c r="CU62" i="3" s="1"/>
  <c r="T62" i="3" s="1"/>
  <c r="AF62" i="3"/>
  <c r="AE62" i="3"/>
  <c r="CS62" i="3" s="1"/>
  <c r="R62" i="3" s="1"/>
  <c r="CY62" i="3" s="1"/>
  <c r="X62" i="3" s="1"/>
  <c r="AD62" i="3"/>
  <c r="CR62" i="3" s="1"/>
  <c r="Q62" i="3" s="1"/>
  <c r="AC62" i="3"/>
  <c r="W62" i="3"/>
  <c r="I62" i="3"/>
  <c r="D62" i="3"/>
  <c r="C62" i="3"/>
  <c r="GV61" i="3"/>
  <c r="HC61" i="3" s="1"/>
  <c r="GX61" i="3" s="1"/>
  <c r="GP61" i="3"/>
  <c r="GO61" i="3"/>
  <c r="GL61" i="3"/>
  <c r="FR61" i="3"/>
  <c r="CW61" i="3"/>
  <c r="V61" i="3" s="1"/>
  <c r="CT61" i="3"/>
  <c r="S61" i="3" s="1"/>
  <c r="CS61" i="3"/>
  <c r="CQ61" i="3"/>
  <c r="P61" i="3" s="1"/>
  <c r="CP61" i="3" s="1"/>
  <c r="O61" i="3" s="1"/>
  <c r="AJ61" i="3"/>
  <c r="CX61" i="3" s="1"/>
  <c r="W61" i="3" s="1"/>
  <c r="AI61" i="3"/>
  <c r="AH61" i="3"/>
  <c r="CV61" i="3" s="1"/>
  <c r="U61" i="3" s="1"/>
  <c r="AG61" i="3"/>
  <c r="CU61" i="3" s="1"/>
  <c r="T61" i="3" s="1"/>
  <c r="AF61" i="3"/>
  <c r="AE61" i="3"/>
  <c r="AD61" i="3"/>
  <c r="CR61" i="3" s="1"/>
  <c r="Q61" i="3" s="1"/>
  <c r="AC61" i="3"/>
  <c r="AB61" i="3"/>
  <c r="R61" i="3"/>
  <c r="I61" i="3"/>
  <c r="D61" i="3"/>
  <c r="C61" i="3"/>
  <c r="GV60" i="3"/>
  <c r="HC60" i="3" s="1"/>
  <c r="GX60" i="3" s="1"/>
  <c r="GP60" i="3"/>
  <c r="GO60" i="3"/>
  <c r="GL60" i="3"/>
  <c r="FR60" i="3"/>
  <c r="CW60" i="3"/>
  <c r="V60" i="3" s="1"/>
  <c r="CV60" i="3"/>
  <c r="CT60" i="3"/>
  <c r="S60" i="3" s="1"/>
  <c r="AJ60" i="3"/>
  <c r="CX60" i="3" s="1"/>
  <c r="W60" i="3" s="1"/>
  <c r="AI60" i="3"/>
  <c r="AH60" i="3"/>
  <c r="AG60" i="3"/>
  <c r="CU60" i="3" s="1"/>
  <c r="T60" i="3" s="1"/>
  <c r="AF60" i="3"/>
  <c r="AE60" i="3"/>
  <c r="CS60" i="3" s="1"/>
  <c r="AC60" i="3"/>
  <c r="CQ60" i="3" s="1"/>
  <c r="P60" i="3" s="1"/>
  <c r="U60" i="3"/>
  <c r="R60" i="3"/>
  <c r="I60" i="3"/>
  <c r="D60" i="3"/>
  <c r="C60" i="3"/>
  <c r="HC59" i="3"/>
  <c r="GX59" i="3"/>
  <c r="GV59" i="3"/>
  <c r="GP59" i="3"/>
  <c r="GO59" i="3"/>
  <c r="GL59" i="3"/>
  <c r="FR59" i="3"/>
  <c r="CW59" i="3"/>
  <c r="V59" i="3" s="1"/>
  <c r="CU59" i="3"/>
  <c r="T59" i="3" s="1"/>
  <c r="CQ59" i="3"/>
  <c r="AJ59" i="3"/>
  <c r="CX59" i="3" s="1"/>
  <c r="W59" i="3" s="1"/>
  <c r="AI59" i="3"/>
  <c r="AH59" i="3"/>
  <c r="CV59" i="3" s="1"/>
  <c r="AG59" i="3"/>
  <c r="AF59" i="3"/>
  <c r="CT59" i="3" s="1"/>
  <c r="S59" i="3" s="1"/>
  <c r="AE59" i="3"/>
  <c r="AC59" i="3"/>
  <c r="U59" i="3"/>
  <c r="P59" i="3"/>
  <c r="I59" i="3"/>
  <c r="HC58" i="3"/>
  <c r="GV58" i="3"/>
  <c r="GP58" i="3"/>
  <c r="GO58" i="3"/>
  <c r="GL58" i="3"/>
  <c r="FR58" i="3"/>
  <c r="CX58" i="3"/>
  <c r="W58" i="3" s="1"/>
  <c r="CV58" i="3"/>
  <c r="CS58" i="3"/>
  <c r="R58" i="3" s="1"/>
  <c r="AJ58" i="3"/>
  <c r="AI58" i="3"/>
  <c r="CW58" i="3" s="1"/>
  <c r="AH58" i="3"/>
  <c r="AG58" i="3"/>
  <c r="CU58" i="3" s="1"/>
  <c r="T58" i="3" s="1"/>
  <c r="AF58" i="3"/>
  <c r="CT58" i="3" s="1"/>
  <c r="S58" i="3" s="1"/>
  <c r="AE58" i="3"/>
  <c r="AD58" i="3" s="1"/>
  <c r="CR58" i="3" s="1"/>
  <c r="Q58" i="3" s="1"/>
  <c r="AC58" i="3"/>
  <c r="CQ58" i="3" s="1"/>
  <c r="P58" i="3" s="1"/>
  <c r="V58" i="3"/>
  <c r="I58" i="3"/>
  <c r="GV57" i="3"/>
  <c r="HC57" i="3" s="1"/>
  <c r="GX57" i="3" s="1"/>
  <c r="GP57" i="3"/>
  <c r="GO57" i="3"/>
  <c r="GL57" i="3"/>
  <c r="FR57" i="3"/>
  <c r="CW57" i="3"/>
  <c r="V57" i="3" s="1"/>
  <c r="CT57" i="3"/>
  <c r="S57" i="3" s="1"/>
  <c r="CS57" i="3"/>
  <c r="CQ57" i="3"/>
  <c r="P57" i="3" s="1"/>
  <c r="AJ57" i="3"/>
  <c r="CX57" i="3" s="1"/>
  <c r="AI57" i="3"/>
  <c r="AH57" i="3"/>
  <c r="CV57" i="3" s="1"/>
  <c r="U57" i="3" s="1"/>
  <c r="AG57" i="3"/>
  <c r="CU57" i="3" s="1"/>
  <c r="AF57" i="3"/>
  <c r="AE57" i="3"/>
  <c r="AD57" i="3"/>
  <c r="AC57" i="3"/>
  <c r="W57" i="3"/>
  <c r="T57" i="3"/>
  <c r="R57" i="3"/>
  <c r="I57" i="3"/>
  <c r="GX56" i="3"/>
  <c r="GV56" i="3"/>
  <c r="HC56" i="3" s="1"/>
  <c r="GP56" i="3"/>
  <c r="GO56" i="3"/>
  <c r="GL56" i="3"/>
  <c r="FR56" i="3"/>
  <c r="CX56" i="3"/>
  <c r="W56" i="3" s="1"/>
  <c r="CU56" i="3"/>
  <c r="T56" i="3" s="1"/>
  <c r="CT56" i="3"/>
  <c r="AJ56" i="3"/>
  <c r="AI56" i="3"/>
  <c r="CW56" i="3" s="1"/>
  <c r="V56" i="3" s="1"/>
  <c r="AH56" i="3"/>
  <c r="CV56" i="3" s="1"/>
  <c r="AG56" i="3"/>
  <c r="AF56" i="3"/>
  <c r="AE56" i="3"/>
  <c r="AC56" i="3"/>
  <c r="U56" i="3"/>
  <c r="S56" i="3"/>
  <c r="I56" i="3"/>
  <c r="HC55" i="3"/>
  <c r="GV55" i="3"/>
  <c r="GP55" i="3"/>
  <c r="GO55" i="3"/>
  <c r="GL55" i="3"/>
  <c r="FR55" i="3"/>
  <c r="CV55" i="3"/>
  <c r="CU55" i="3"/>
  <c r="CS55" i="3"/>
  <c r="CQ55" i="3"/>
  <c r="P55" i="3" s="1"/>
  <c r="AJ55" i="3"/>
  <c r="CX55" i="3" s="1"/>
  <c r="W55" i="3" s="1"/>
  <c r="AI55" i="3"/>
  <c r="CW55" i="3" s="1"/>
  <c r="AH55" i="3"/>
  <c r="AG55" i="3"/>
  <c r="AF55" i="3"/>
  <c r="CT55" i="3" s="1"/>
  <c r="AE55" i="3"/>
  <c r="AD55" i="3"/>
  <c r="AC55" i="3"/>
  <c r="V55" i="3"/>
  <c r="I55" i="3"/>
  <c r="T55" i="3" s="1"/>
  <c r="HC54" i="3"/>
  <c r="GX54" i="3"/>
  <c r="GV54" i="3"/>
  <c r="GP54" i="3"/>
  <c r="GO54" i="3"/>
  <c r="GL54" i="3"/>
  <c r="FR54" i="3"/>
  <c r="CW54" i="3"/>
  <c r="V54" i="3" s="1"/>
  <c r="CV54" i="3"/>
  <c r="CT54" i="3"/>
  <c r="S54" i="3" s="1"/>
  <c r="AJ54" i="3"/>
  <c r="CX54" i="3" s="1"/>
  <c r="W54" i="3" s="1"/>
  <c r="AI54" i="3"/>
  <c r="AH54" i="3"/>
  <c r="AG54" i="3"/>
  <c r="CU54" i="3" s="1"/>
  <c r="T54" i="3" s="1"/>
  <c r="AF54" i="3"/>
  <c r="AE54" i="3"/>
  <c r="AD54" i="3" s="1"/>
  <c r="CR54" i="3" s="1"/>
  <c r="Q54" i="3" s="1"/>
  <c r="AC54" i="3"/>
  <c r="CQ54" i="3" s="1"/>
  <c r="P54" i="3" s="1"/>
  <c r="U54" i="3"/>
  <c r="I54" i="3"/>
  <c r="GV53" i="3"/>
  <c r="HC53" i="3" s="1"/>
  <c r="GP53" i="3"/>
  <c r="GO53" i="3"/>
  <c r="GL53" i="3"/>
  <c r="FR53" i="3"/>
  <c r="CW53" i="3"/>
  <c r="V53" i="3" s="1"/>
  <c r="CU53" i="3"/>
  <c r="T53" i="3" s="1"/>
  <c r="CT53" i="3"/>
  <c r="S53" i="3" s="1"/>
  <c r="CS53" i="3"/>
  <c r="CQ53" i="3"/>
  <c r="AJ53" i="3"/>
  <c r="CX53" i="3" s="1"/>
  <c r="AI53" i="3"/>
  <c r="AH53" i="3"/>
  <c r="CV53" i="3" s="1"/>
  <c r="U53" i="3" s="1"/>
  <c r="AG53" i="3"/>
  <c r="AF53" i="3"/>
  <c r="AE53" i="3"/>
  <c r="AD53" i="3" s="1"/>
  <c r="AC53" i="3"/>
  <c r="W53" i="3"/>
  <c r="I53" i="3"/>
  <c r="P53" i="3" s="1"/>
  <c r="HC52" i="3"/>
  <c r="GX52" i="3" s="1"/>
  <c r="GV52" i="3"/>
  <c r="GP52" i="3"/>
  <c r="GO52" i="3"/>
  <c r="GL52" i="3"/>
  <c r="FR52" i="3"/>
  <c r="CX52" i="3"/>
  <c r="CS52" i="3"/>
  <c r="R52" i="3" s="1"/>
  <c r="CQ52" i="3"/>
  <c r="P52" i="3" s="1"/>
  <c r="AJ52" i="3"/>
  <c r="AI52" i="3"/>
  <c r="CW52" i="3" s="1"/>
  <c r="AH52" i="3"/>
  <c r="CV52" i="3" s="1"/>
  <c r="U52" i="3" s="1"/>
  <c r="AG52" i="3"/>
  <c r="CU52" i="3" s="1"/>
  <c r="T52" i="3" s="1"/>
  <c r="AF52" i="3"/>
  <c r="CT52" i="3" s="1"/>
  <c r="S52" i="3" s="1"/>
  <c r="AE52" i="3"/>
  <c r="AD52" i="3" s="1"/>
  <c r="CR52" i="3" s="1"/>
  <c r="Q52" i="3" s="1"/>
  <c r="AC52" i="3"/>
  <c r="V52" i="3"/>
  <c r="I52" i="3"/>
  <c r="W52" i="3" s="1"/>
  <c r="HC51" i="3"/>
  <c r="GX51" i="3"/>
  <c r="GV51" i="3"/>
  <c r="GP51" i="3"/>
  <c r="GO51" i="3"/>
  <c r="GL51" i="3"/>
  <c r="FR51" i="3"/>
  <c r="CW51" i="3"/>
  <c r="CV51" i="3"/>
  <c r="CU51" i="3"/>
  <c r="CQ51" i="3"/>
  <c r="P51" i="3" s="1"/>
  <c r="AJ51" i="3"/>
  <c r="CX51" i="3" s="1"/>
  <c r="W51" i="3" s="1"/>
  <c r="AI51" i="3"/>
  <c r="AH51" i="3"/>
  <c r="AG51" i="3"/>
  <c r="AF51" i="3"/>
  <c r="CT51" i="3" s="1"/>
  <c r="S51" i="3" s="1"/>
  <c r="AE51" i="3"/>
  <c r="CS51" i="3" s="1"/>
  <c r="R51" i="3" s="1"/>
  <c r="AD51" i="3"/>
  <c r="CR51" i="3" s="1"/>
  <c r="Q51" i="3" s="1"/>
  <c r="AC51" i="3"/>
  <c r="AB51" i="3" s="1"/>
  <c r="U51" i="3"/>
  <c r="T51" i="3"/>
  <c r="I51" i="3"/>
  <c r="V51" i="3" s="1"/>
  <c r="HC50" i="3"/>
  <c r="GX50" i="3"/>
  <c r="GV50" i="3"/>
  <c r="GP50" i="3"/>
  <c r="GO50" i="3"/>
  <c r="GL50" i="3"/>
  <c r="FR50" i="3"/>
  <c r="CX50" i="3"/>
  <c r="CV50" i="3"/>
  <c r="CQ50" i="3"/>
  <c r="P50" i="3" s="1"/>
  <c r="AJ50" i="3"/>
  <c r="AI50" i="3"/>
  <c r="CW50" i="3" s="1"/>
  <c r="V50" i="3" s="1"/>
  <c r="AH50" i="3"/>
  <c r="AG50" i="3"/>
  <c r="CU50" i="3" s="1"/>
  <c r="T50" i="3" s="1"/>
  <c r="AF50" i="3"/>
  <c r="CT50" i="3" s="1"/>
  <c r="S50" i="3" s="1"/>
  <c r="AE50" i="3"/>
  <c r="AC50" i="3"/>
  <c r="U50" i="3"/>
  <c r="I50" i="3"/>
  <c r="W50" i="3" s="1"/>
  <c r="HC49" i="3"/>
  <c r="GX49" i="3" s="1"/>
  <c r="GV49" i="3"/>
  <c r="GP49" i="3"/>
  <c r="GO49" i="3"/>
  <c r="GL49" i="3"/>
  <c r="FR49" i="3"/>
  <c r="CW49" i="3"/>
  <c r="CS49" i="3"/>
  <c r="R49" i="3" s="1"/>
  <c r="CQ49" i="3"/>
  <c r="AJ49" i="3"/>
  <c r="CX49" i="3" s="1"/>
  <c r="W49" i="3" s="1"/>
  <c r="AI49" i="3"/>
  <c r="AH49" i="3"/>
  <c r="CV49" i="3" s="1"/>
  <c r="U49" i="3" s="1"/>
  <c r="AG49" i="3"/>
  <c r="CU49" i="3" s="1"/>
  <c r="T49" i="3" s="1"/>
  <c r="AF49" i="3"/>
  <c r="CT49" i="3" s="1"/>
  <c r="S49" i="3" s="1"/>
  <c r="AE49" i="3"/>
  <c r="AD49" i="3" s="1"/>
  <c r="CR49" i="3" s="1"/>
  <c r="Q49" i="3" s="1"/>
  <c r="AC49" i="3"/>
  <c r="V49" i="3"/>
  <c r="P49" i="3"/>
  <c r="D49" i="3"/>
  <c r="C49" i="3"/>
  <c r="HC48" i="3"/>
  <c r="GX48" i="3" s="1"/>
  <c r="GV48" i="3"/>
  <c r="GP48" i="3"/>
  <c r="GO48" i="3"/>
  <c r="GL48" i="3"/>
  <c r="FR48" i="3"/>
  <c r="CU48" i="3"/>
  <c r="T48" i="3" s="1"/>
  <c r="CT48" i="3"/>
  <c r="S48" i="3" s="1"/>
  <c r="CS48" i="3"/>
  <c r="AJ48" i="3"/>
  <c r="CX48" i="3" s="1"/>
  <c r="W48" i="3" s="1"/>
  <c r="AI48" i="3"/>
  <c r="CW48" i="3" s="1"/>
  <c r="V48" i="3" s="1"/>
  <c r="AH48" i="3"/>
  <c r="CV48" i="3" s="1"/>
  <c r="U48" i="3" s="1"/>
  <c r="AG48" i="3"/>
  <c r="AF48" i="3"/>
  <c r="AE48" i="3"/>
  <c r="AD48" i="3" s="1"/>
  <c r="AC48" i="3"/>
  <c r="CQ48" i="3" s="1"/>
  <c r="P48" i="3" s="1"/>
  <c r="R48" i="3"/>
  <c r="D48" i="3"/>
  <c r="C48" i="3"/>
  <c r="GV47" i="3"/>
  <c r="HC47" i="3" s="1"/>
  <c r="GX47" i="3" s="1"/>
  <c r="GP47" i="3"/>
  <c r="GO47" i="3"/>
  <c r="GL47" i="3"/>
  <c r="FR47" i="3"/>
  <c r="CW47" i="3"/>
  <c r="V47" i="3" s="1"/>
  <c r="CV47" i="3"/>
  <c r="U47" i="3" s="1"/>
  <c r="CU47" i="3"/>
  <c r="AJ47" i="3"/>
  <c r="CX47" i="3" s="1"/>
  <c r="W47" i="3" s="1"/>
  <c r="AI47" i="3"/>
  <c r="AH47" i="3"/>
  <c r="AG47" i="3"/>
  <c r="AF47" i="3"/>
  <c r="CT47" i="3" s="1"/>
  <c r="S47" i="3" s="1"/>
  <c r="AE47" i="3"/>
  <c r="CS47" i="3" s="1"/>
  <c r="AD47" i="3"/>
  <c r="CR47" i="3" s="1"/>
  <c r="Q47" i="3" s="1"/>
  <c r="AC47" i="3"/>
  <c r="CQ47" i="3" s="1"/>
  <c r="P47" i="3" s="1"/>
  <c r="CP47" i="3" s="1"/>
  <c r="O47" i="3" s="1"/>
  <c r="AB47" i="3"/>
  <c r="T47" i="3"/>
  <c r="R47" i="3"/>
  <c r="D47" i="3"/>
  <c r="C47" i="3"/>
  <c r="GV46" i="3"/>
  <c r="HC46" i="3" s="1"/>
  <c r="GX46" i="3" s="1"/>
  <c r="GP46" i="3"/>
  <c r="GO46" i="3"/>
  <c r="GL46" i="3"/>
  <c r="FR46" i="3"/>
  <c r="CX46" i="3"/>
  <c r="W46" i="3" s="1"/>
  <c r="CW46" i="3"/>
  <c r="CQ46" i="3"/>
  <c r="P46" i="3" s="1"/>
  <c r="AJ46" i="3"/>
  <c r="AI46" i="3"/>
  <c r="AH46" i="3"/>
  <c r="CV46" i="3" s="1"/>
  <c r="U46" i="3" s="1"/>
  <c r="AG46" i="3"/>
  <c r="CU46" i="3" s="1"/>
  <c r="T46" i="3" s="1"/>
  <c r="AF46" i="3"/>
  <c r="CT46" i="3" s="1"/>
  <c r="S46" i="3" s="1"/>
  <c r="AE46" i="3"/>
  <c r="CS46" i="3" s="1"/>
  <c r="R46" i="3" s="1"/>
  <c r="AD46" i="3"/>
  <c r="CR46" i="3" s="1"/>
  <c r="Q46" i="3" s="1"/>
  <c r="AC46" i="3"/>
  <c r="AB46" i="3" s="1"/>
  <c r="V46" i="3"/>
  <c r="D46" i="3"/>
  <c r="C46" i="3"/>
  <c r="HC45" i="3"/>
  <c r="GV45" i="3"/>
  <c r="GP45" i="3"/>
  <c r="GO45" i="3"/>
  <c r="GL45" i="3"/>
  <c r="FR45" i="3"/>
  <c r="CS45" i="3"/>
  <c r="CQ45" i="3"/>
  <c r="AJ45" i="3"/>
  <c r="CX45" i="3" s="1"/>
  <c r="AI45" i="3"/>
  <c r="CW45" i="3" s="1"/>
  <c r="V45" i="3" s="1"/>
  <c r="AH45" i="3"/>
  <c r="CV45" i="3" s="1"/>
  <c r="AG45" i="3"/>
  <c r="CU45" i="3" s="1"/>
  <c r="AF45" i="3"/>
  <c r="CT45" i="3" s="1"/>
  <c r="AE45" i="3"/>
  <c r="AD45" i="3" s="1"/>
  <c r="CR45" i="3" s="1"/>
  <c r="AC45" i="3"/>
  <c r="I45" i="3"/>
  <c r="D45" i="3"/>
  <c r="C45" i="3"/>
  <c r="GV44" i="3"/>
  <c r="HC44" i="3" s="1"/>
  <c r="GX44" i="3" s="1"/>
  <c r="GP44" i="3"/>
  <c r="GO44" i="3"/>
  <c r="GL44" i="3"/>
  <c r="FR44" i="3"/>
  <c r="CV44" i="3"/>
  <c r="U44" i="3" s="1"/>
  <c r="CU44" i="3"/>
  <c r="T44" i="3" s="1"/>
  <c r="CT44" i="3"/>
  <c r="CS44" i="3"/>
  <c r="AJ44" i="3"/>
  <c r="CX44" i="3" s="1"/>
  <c r="W44" i="3" s="1"/>
  <c r="AI44" i="3"/>
  <c r="CW44" i="3" s="1"/>
  <c r="V44" i="3" s="1"/>
  <c r="AH44" i="3"/>
  <c r="AG44" i="3"/>
  <c r="AF44" i="3"/>
  <c r="AE44" i="3"/>
  <c r="AD44" i="3"/>
  <c r="CR44" i="3" s="1"/>
  <c r="AC44" i="3"/>
  <c r="CQ44" i="3" s="1"/>
  <c r="P44" i="3" s="1"/>
  <c r="AB44" i="3"/>
  <c r="Y44" i="3"/>
  <c r="S44" i="3"/>
  <c r="CZ44" i="3" s="1"/>
  <c r="R44" i="3"/>
  <c r="Q44" i="3"/>
  <c r="I44" i="3"/>
  <c r="D44" i="3"/>
  <c r="C44" i="3"/>
  <c r="GV43" i="3"/>
  <c r="HC43" i="3" s="1"/>
  <c r="GP43" i="3"/>
  <c r="GO43" i="3"/>
  <c r="GL43" i="3"/>
  <c r="FR43" i="3"/>
  <c r="CX43" i="3"/>
  <c r="CW43" i="3"/>
  <c r="CV43" i="3"/>
  <c r="CQ43" i="3"/>
  <c r="AJ43" i="3"/>
  <c r="AI43" i="3"/>
  <c r="AH43" i="3"/>
  <c r="AG43" i="3"/>
  <c r="CU43" i="3" s="1"/>
  <c r="AF43" i="3"/>
  <c r="CT43" i="3" s="1"/>
  <c r="AE43" i="3"/>
  <c r="AD43" i="3"/>
  <c r="CR43" i="3" s="1"/>
  <c r="AC43" i="3"/>
  <c r="HC42" i="3"/>
  <c r="GX42" i="3"/>
  <c r="GV42" i="3"/>
  <c r="GP42" i="3"/>
  <c r="GO42" i="3"/>
  <c r="GL42" i="3"/>
  <c r="FR42" i="3"/>
  <c r="CX42" i="3"/>
  <c r="CQ42" i="3"/>
  <c r="AJ42" i="3"/>
  <c r="AI42" i="3"/>
  <c r="CW42" i="3" s="1"/>
  <c r="V42" i="3" s="1"/>
  <c r="AH42" i="3"/>
  <c r="CV42" i="3" s="1"/>
  <c r="U42" i="3" s="1"/>
  <c r="AG42" i="3"/>
  <c r="CU42" i="3" s="1"/>
  <c r="T42" i="3" s="1"/>
  <c r="AF42" i="3"/>
  <c r="CT42" i="3" s="1"/>
  <c r="S42" i="3" s="1"/>
  <c r="AE42" i="3"/>
  <c r="AC42" i="3"/>
  <c r="HC41" i="3"/>
  <c r="GV41" i="3"/>
  <c r="GP41" i="3"/>
  <c r="GO41" i="3"/>
  <c r="GL41" i="3"/>
  <c r="FR41" i="3"/>
  <c r="CS41" i="3"/>
  <c r="CQ41" i="3"/>
  <c r="AJ41" i="3"/>
  <c r="CX41" i="3" s="1"/>
  <c r="AI41" i="3"/>
  <c r="CW41" i="3" s="1"/>
  <c r="V41" i="3" s="1"/>
  <c r="AH41" i="3"/>
  <c r="CV41" i="3" s="1"/>
  <c r="AG41" i="3"/>
  <c r="CU41" i="3" s="1"/>
  <c r="AF41" i="3"/>
  <c r="CT41" i="3" s="1"/>
  <c r="AE41" i="3"/>
  <c r="AD41" i="3" s="1"/>
  <c r="CR41" i="3" s="1"/>
  <c r="Q41" i="3" s="1"/>
  <c r="AC41" i="3"/>
  <c r="AB41" i="3" s="1"/>
  <c r="I41" i="3"/>
  <c r="P41" i="3" s="1"/>
  <c r="HC40" i="3"/>
  <c r="GV40" i="3"/>
  <c r="GP40" i="3"/>
  <c r="GO40" i="3"/>
  <c r="GL40" i="3"/>
  <c r="FR40" i="3"/>
  <c r="CT40" i="3"/>
  <c r="CS40" i="3"/>
  <c r="AJ40" i="3"/>
  <c r="CX40" i="3" s="1"/>
  <c r="AI40" i="3"/>
  <c r="CW40" i="3" s="1"/>
  <c r="AH40" i="3"/>
  <c r="CV40" i="3" s="1"/>
  <c r="AG40" i="3"/>
  <c r="CU40" i="3" s="1"/>
  <c r="AF40" i="3"/>
  <c r="AE40" i="3"/>
  <c r="AD40" i="3" s="1"/>
  <c r="AC40" i="3"/>
  <c r="CQ40" i="3" s="1"/>
  <c r="GV39" i="3"/>
  <c r="HC39" i="3" s="1"/>
  <c r="GX39" i="3" s="1"/>
  <c r="GP39" i="3"/>
  <c r="GO39" i="3"/>
  <c r="GL39" i="3"/>
  <c r="FR39" i="3"/>
  <c r="CU39" i="3"/>
  <c r="T39" i="3" s="1"/>
  <c r="AJ39" i="3"/>
  <c r="CX39" i="3" s="1"/>
  <c r="W39" i="3" s="1"/>
  <c r="AI39" i="3"/>
  <c r="CW39" i="3" s="1"/>
  <c r="V39" i="3" s="1"/>
  <c r="AH39" i="3"/>
  <c r="CV39" i="3" s="1"/>
  <c r="U39" i="3" s="1"/>
  <c r="AG39" i="3"/>
  <c r="AF39" i="3"/>
  <c r="CT39" i="3" s="1"/>
  <c r="S39" i="3" s="1"/>
  <c r="AE39" i="3"/>
  <c r="CS39" i="3" s="1"/>
  <c r="AC39" i="3"/>
  <c r="CQ39" i="3" s="1"/>
  <c r="P39" i="3"/>
  <c r="I39" i="3"/>
  <c r="I43" i="3" s="1"/>
  <c r="T43" i="3" s="1"/>
  <c r="D39" i="3"/>
  <c r="C39" i="3"/>
  <c r="GV38" i="3"/>
  <c r="HC38" i="3" s="1"/>
  <c r="GX38" i="3" s="1"/>
  <c r="GP38" i="3"/>
  <c r="GO38" i="3"/>
  <c r="GL38" i="3"/>
  <c r="FR38" i="3"/>
  <c r="CX38" i="3"/>
  <c r="W38" i="3" s="1"/>
  <c r="CV38" i="3"/>
  <c r="AJ38" i="3"/>
  <c r="AI38" i="3"/>
  <c r="CW38" i="3" s="1"/>
  <c r="V38" i="3" s="1"/>
  <c r="AH38" i="3"/>
  <c r="AG38" i="3"/>
  <c r="CU38" i="3" s="1"/>
  <c r="T38" i="3" s="1"/>
  <c r="AF38" i="3"/>
  <c r="CT38" i="3" s="1"/>
  <c r="AE38" i="3"/>
  <c r="CS38" i="3" s="1"/>
  <c r="R38" i="3" s="1"/>
  <c r="AD38" i="3"/>
  <c r="CR38" i="3" s="1"/>
  <c r="Q38" i="3" s="1"/>
  <c r="AC38" i="3"/>
  <c r="U38" i="3"/>
  <c r="S38" i="3"/>
  <c r="I38" i="3"/>
  <c r="I42" i="3" s="1"/>
  <c r="W42" i="3" s="1"/>
  <c r="D38" i="3"/>
  <c r="C38" i="3"/>
  <c r="HC37" i="3"/>
  <c r="GX37" i="3" s="1"/>
  <c r="GV37" i="3"/>
  <c r="GP37" i="3"/>
  <c r="GO37" i="3"/>
  <c r="GL37" i="3"/>
  <c r="FR37" i="3"/>
  <c r="CS37" i="3"/>
  <c r="R37" i="3" s="1"/>
  <c r="CQ37" i="3"/>
  <c r="AJ37" i="3"/>
  <c r="CX37" i="3" s="1"/>
  <c r="W37" i="3" s="1"/>
  <c r="AI37" i="3"/>
  <c r="CW37" i="3" s="1"/>
  <c r="AH37" i="3"/>
  <c r="CV37" i="3" s="1"/>
  <c r="AG37" i="3"/>
  <c r="CU37" i="3" s="1"/>
  <c r="T37" i="3" s="1"/>
  <c r="AF37" i="3"/>
  <c r="AE37" i="3"/>
  <c r="AD37" i="3"/>
  <c r="CR37" i="3" s="1"/>
  <c r="Q37" i="3" s="1"/>
  <c r="AC37" i="3"/>
  <c r="V37" i="3"/>
  <c r="I37" i="3"/>
  <c r="D37" i="3"/>
  <c r="C37" i="3"/>
  <c r="GV36" i="3"/>
  <c r="HC36" i="3" s="1"/>
  <c r="GX36" i="3" s="1"/>
  <c r="GP36" i="3"/>
  <c r="GO36" i="3"/>
  <c r="GL36" i="3"/>
  <c r="FR36" i="3"/>
  <c r="CV36" i="3"/>
  <c r="U36" i="3" s="1"/>
  <c r="CT36" i="3"/>
  <c r="S36" i="3" s="1"/>
  <c r="AJ36" i="3"/>
  <c r="CX36" i="3" s="1"/>
  <c r="W36" i="3" s="1"/>
  <c r="AI36" i="3"/>
  <c r="CW36" i="3" s="1"/>
  <c r="V36" i="3" s="1"/>
  <c r="AH36" i="3"/>
  <c r="AG36" i="3"/>
  <c r="CU36" i="3" s="1"/>
  <c r="T36" i="3" s="1"/>
  <c r="AF36" i="3"/>
  <c r="AE36" i="3"/>
  <c r="CS36" i="3" s="1"/>
  <c r="R36" i="3" s="1"/>
  <c r="AD36" i="3"/>
  <c r="CR36" i="3" s="1"/>
  <c r="AC36" i="3"/>
  <c r="CQ36" i="3" s="1"/>
  <c r="P36" i="3" s="1"/>
  <c r="CP36" i="3" s="1"/>
  <c r="O36" i="3" s="1"/>
  <c r="AB36" i="3"/>
  <c r="Q36" i="3"/>
  <c r="I36" i="3"/>
  <c r="D36" i="3"/>
  <c r="C36" i="3"/>
  <c r="GV35" i="3"/>
  <c r="HC35" i="3" s="1"/>
  <c r="GP35" i="3"/>
  <c r="GO35" i="3"/>
  <c r="GL35" i="3"/>
  <c r="FR35" i="3"/>
  <c r="CW35" i="3"/>
  <c r="CQ35" i="3"/>
  <c r="AJ35" i="3"/>
  <c r="CX35" i="3" s="1"/>
  <c r="AI35" i="3"/>
  <c r="AH35" i="3"/>
  <c r="CV35" i="3" s="1"/>
  <c r="AG35" i="3"/>
  <c r="CU35" i="3" s="1"/>
  <c r="AF35" i="3"/>
  <c r="CT35" i="3" s="1"/>
  <c r="AE35" i="3"/>
  <c r="CS35" i="3" s="1"/>
  <c r="AD35" i="3"/>
  <c r="AC35" i="3"/>
  <c r="HC34" i="3"/>
  <c r="GV34" i="3"/>
  <c r="GP34" i="3"/>
  <c r="GO34" i="3"/>
  <c r="GL34" i="3"/>
  <c r="FR34" i="3"/>
  <c r="CX34" i="3"/>
  <c r="CS34" i="3"/>
  <c r="AJ34" i="3"/>
  <c r="AI34" i="3"/>
  <c r="CW34" i="3" s="1"/>
  <c r="AH34" i="3"/>
  <c r="CV34" i="3" s="1"/>
  <c r="AG34" i="3"/>
  <c r="CU34" i="3" s="1"/>
  <c r="AF34" i="3"/>
  <c r="CT34" i="3" s="1"/>
  <c r="AE34" i="3"/>
  <c r="AD34" i="3" s="1"/>
  <c r="CR34" i="3" s="1"/>
  <c r="AC34" i="3"/>
  <c r="CQ34" i="3" s="1"/>
  <c r="HC33" i="3"/>
  <c r="GV33" i="3"/>
  <c r="GP33" i="3"/>
  <c r="GO33" i="3"/>
  <c r="GL33" i="3"/>
  <c r="FR33" i="3"/>
  <c r="CT33" i="3"/>
  <c r="CS33" i="3"/>
  <c r="CQ33" i="3"/>
  <c r="AJ33" i="3"/>
  <c r="CX33" i="3" s="1"/>
  <c r="AI33" i="3"/>
  <c r="CW33" i="3" s="1"/>
  <c r="AH33" i="3"/>
  <c r="CV33" i="3" s="1"/>
  <c r="U33" i="3" s="1"/>
  <c r="AG33" i="3"/>
  <c r="CU33" i="3" s="1"/>
  <c r="T33" i="3" s="1"/>
  <c r="AF33" i="3"/>
  <c r="AE33" i="3"/>
  <c r="AD33" i="3"/>
  <c r="CR33" i="3" s="1"/>
  <c r="AC33" i="3"/>
  <c r="AB33" i="3" s="1"/>
  <c r="P33" i="3"/>
  <c r="I33" i="3"/>
  <c r="W33" i="3" s="1"/>
  <c r="D33" i="3"/>
  <c r="C33" i="3"/>
  <c r="GV32" i="3"/>
  <c r="HC32" i="3" s="1"/>
  <c r="GP32" i="3"/>
  <c r="GO32" i="3"/>
  <c r="GL32" i="3"/>
  <c r="FR32" i="3"/>
  <c r="CW32" i="3"/>
  <c r="V32" i="3" s="1"/>
  <c r="CU32" i="3"/>
  <c r="T32" i="3" s="1"/>
  <c r="CS32" i="3"/>
  <c r="AJ32" i="3"/>
  <c r="CX32" i="3" s="1"/>
  <c r="W32" i="3" s="1"/>
  <c r="AI32" i="3"/>
  <c r="AH32" i="3"/>
  <c r="CV32" i="3" s="1"/>
  <c r="U32" i="3" s="1"/>
  <c r="AG32" i="3"/>
  <c r="AF32" i="3"/>
  <c r="CT32" i="3" s="1"/>
  <c r="S32" i="3" s="1"/>
  <c r="AE32" i="3"/>
  <c r="AD32" i="3" s="1"/>
  <c r="CR32" i="3" s="1"/>
  <c r="Q32" i="3" s="1"/>
  <c r="AC32" i="3"/>
  <c r="CQ32" i="3" s="1"/>
  <c r="P32" i="3" s="1"/>
  <c r="CP32" i="3" s="1"/>
  <c r="O32" i="3" s="1"/>
  <c r="AB32" i="3"/>
  <c r="R32" i="3"/>
  <c r="I32" i="3"/>
  <c r="GX32" i="3" s="1"/>
  <c r="D32" i="3"/>
  <c r="C32" i="3"/>
  <c r="HC31" i="3"/>
  <c r="GX31" i="3"/>
  <c r="GV31" i="3"/>
  <c r="GP31" i="3"/>
  <c r="GO31" i="3"/>
  <c r="GL31" i="3"/>
  <c r="FR31" i="3"/>
  <c r="CX31" i="3"/>
  <c r="W31" i="3" s="1"/>
  <c r="CV31" i="3"/>
  <c r="AJ31" i="3"/>
  <c r="AI31" i="3"/>
  <c r="CW31" i="3" s="1"/>
  <c r="V31" i="3" s="1"/>
  <c r="AH31" i="3"/>
  <c r="AG31" i="3"/>
  <c r="CU31" i="3" s="1"/>
  <c r="T31" i="3" s="1"/>
  <c r="AF31" i="3"/>
  <c r="CT31" i="3" s="1"/>
  <c r="S31" i="3" s="1"/>
  <c r="AE31" i="3"/>
  <c r="AC31" i="3"/>
  <c r="CQ31" i="3" s="1"/>
  <c r="P31" i="3" s="1"/>
  <c r="U31" i="3"/>
  <c r="I31" i="3"/>
  <c r="HC30" i="3"/>
  <c r="GX30" i="3" s="1"/>
  <c r="GV30" i="3"/>
  <c r="GP30" i="3"/>
  <c r="GO30" i="3"/>
  <c r="GL30" i="3"/>
  <c r="FR30" i="3"/>
  <c r="CW30" i="3"/>
  <c r="CS30" i="3"/>
  <c r="R30" i="3" s="1"/>
  <c r="CQ30" i="3"/>
  <c r="P30" i="3" s="1"/>
  <c r="AJ30" i="3"/>
  <c r="CX30" i="3" s="1"/>
  <c r="AI30" i="3"/>
  <c r="AH30" i="3"/>
  <c r="CV30" i="3" s="1"/>
  <c r="AG30" i="3"/>
  <c r="CU30" i="3" s="1"/>
  <c r="AF30" i="3"/>
  <c r="AE30" i="3"/>
  <c r="AD30" i="3"/>
  <c r="CR30" i="3" s="1"/>
  <c r="Q30" i="3" s="1"/>
  <c r="AC30" i="3"/>
  <c r="I30" i="3"/>
  <c r="V30" i="3" s="1"/>
  <c r="GV29" i="3"/>
  <c r="HC29" i="3" s="1"/>
  <c r="GX29" i="3" s="1"/>
  <c r="GP29" i="3"/>
  <c r="GO29" i="3"/>
  <c r="GL29" i="3"/>
  <c r="FR29" i="3"/>
  <c r="CX29" i="3"/>
  <c r="CT29" i="3"/>
  <c r="S29" i="3" s="1"/>
  <c r="AJ29" i="3"/>
  <c r="AI29" i="3"/>
  <c r="CW29" i="3" s="1"/>
  <c r="V29" i="3" s="1"/>
  <c r="AH29" i="3"/>
  <c r="CV29" i="3" s="1"/>
  <c r="U29" i="3" s="1"/>
  <c r="I44" i="2" s="1"/>
  <c r="AG29" i="3"/>
  <c r="CU29" i="3" s="1"/>
  <c r="T29" i="3" s="1"/>
  <c r="AF29" i="3"/>
  <c r="AE29" i="3"/>
  <c r="CS29" i="3" s="1"/>
  <c r="AC29" i="3"/>
  <c r="CQ29" i="3" s="1"/>
  <c r="P29" i="3" s="1"/>
  <c r="W29" i="3"/>
  <c r="I29" i="3"/>
  <c r="D29" i="3"/>
  <c r="C29" i="3"/>
  <c r="HC28" i="3"/>
  <c r="GX28" i="3" s="1"/>
  <c r="GV28" i="3"/>
  <c r="GP28" i="3"/>
  <c r="GO28" i="3"/>
  <c r="GL28" i="3"/>
  <c r="FR28" i="3"/>
  <c r="CW28" i="3"/>
  <c r="V28" i="3" s="1"/>
  <c r="CU28" i="3"/>
  <c r="T28" i="3" s="1"/>
  <c r="CS28" i="3"/>
  <c r="AJ28" i="3"/>
  <c r="CX28" i="3" s="1"/>
  <c r="W28" i="3" s="1"/>
  <c r="AI28" i="3"/>
  <c r="AH28" i="3"/>
  <c r="CV28" i="3" s="1"/>
  <c r="U28" i="3" s="1"/>
  <c r="AG28" i="3"/>
  <c r="AF28" i="3"/>
  <c r="CT28" i="3" s="1"/>
  <c r="S28" i="3" s="1"/>
  <c r="AE28" i="3"/>
  <c r="AD28" i="3"/>
  <c r="CR28" i="3" s="1"/>
  <c r="Q28" i="3" s="1"/>
  <c r="AC28" i="3"/>
  <c r="CQ28" i="3" s="1"/>
  <c r="P28" i="3" s="1"/>
  <c r="CP28" i="3" s="1"/>
  <c r="O28" i="3" s="1"/>
  <c r="AB28" i="3"/>
  <c r="R28" i="3"/>
  <c r="I28" i="3"/>
  <c r="D28" i="3"/>
  <c r="C28" i="3"/>
  <c r="HC27" i="3"/>
  <c r="GV27" i="3"/>
  <c r="GP27" i="3"/>
  <c r="GO27" i="3"/>
  <c r="GL27" i="3"/>
  <c r="FR27" i="3"/>
  <c r="CX27" i="3"/>
  <c r="CV27" i="3"/>
  <c r="AJ27" i="3"/>
  <c r="AI27" i="3"/>
  <c r="CW27" i="3" s="1"/>
  <c r="V27" i="3" s="1"/>
  <c r="AH27" i="3"/>
  <c r="AG27" i="3"/>
  <c r="CU27" i="3" s="1"/>
  <c r="AF27" i="3"/>
  <c r="CT27" i="3" s="1"/>
  <c r="AE27" i="3"/>
  <c r="AC27" i="3"/>
  <c r="CQ27" i="3" s="1"/>
  <c r="HC26" i="3"/>
  <c r="GX26" i="3" s="1"/>
  <c r="GV26" i="3"/>
  <c r="GP26" i="3"/>
  <c r="GO26" i="3"/>
  <c r="GL26" i="3"/>
  <c r="FR26" i="3"/>
  <c r="CW26" i="3"/>
  <c r="CS26" i="3"/>
  <c r="R26" i="3" s="1"/>
  <c r="CQ26" i="3"/>
  <c r="AJ26" i="3"/>
  <c r="CX26" i="3" s="1"/>
  <c r="W26" i="3" s="1"/>
  <c r="AI26" i="3"/>
  <c r="AH26" i="3"/>
  <c r="CV26" i="3" s="1"/>
  <c r="AG26" i="3"/>
  <c r="CU26" i="3" s="1"/>
  <c r="AF26" i="3"/>
  <c r="AE26" i="3"/>
  <c r="AD26" i="3"/>
  <c r="CR26" i="3" s="1"/>
  <c r="Q26" i="3" s="1"/>
  <c r="AC26" i="3"/>
  <c r="V26" i="3"/>
  <c r="I26" i="3"/>
  <c r="P26" i="3" s="1"/>
  <c r="GV25" i="3"/>
  <c r="HC25" i="3" s="1"/>
  <c r="GX25" i="3" s="1"/>
  <c r="GP25" i="3"/>
  <c r="FV73" i="3" s="1"/>
  <c r="EM73" i="3" s="1"/>
  <c r="EM22" i="3" s="1"/>
  <c r="GO25" i="3"/>
  <c r="FU73" i="3" s="1"/>
  <c r="EL73" i="3" s="1"/>
  <c r="GL25" i="3"/>
  <c r="FR73" i="3" s="1"/>
  <c r="FR25" i="3"/>
  <c r="CX25" i="3"/>
  <c r="CW25" i="3"/>
  <c r="V25" i="3" s="1"/>
  <c r="CT25" i="3"/>
  <c r="S25" i="3" s="1"/>
  <c r="CS25" i="3"/>
  <c r="AJ25" i="3"/>
  <c r="AI25" i="3"/>
  <c r="AH25" i="3"/>
  <c r="CV25" i="3" s="1"/>
  <c r="U25" i="3" s="1"/>
  <c r="AG25" i="3"/>
  <c r="CU25" i="3" s="1"/>
  <c r="T25" i="3" s="1"/>
  <c r="AF25" i="3"/>
  <c r="AE25" i="3"/>
  <c r="AD25" i="3" s="1"/>
  <c r="CR25" i="3" s="1"/>
  <c r="Q25" i="3" s="1"/>
  <c r="AC25" i="3"/>
  <c r="CQ25" i="3" s="1"/>
  <c r="P25" i="3" s="1"/>
  <c r="W25" i="3"/>
  <c r="R25" i="3"/>
  <c r="I25" i="3"/>
  <c r="I27" i="3" s="1"/>
  <c r="W27" i="3" s="1"/>
  <c r="D25" i="3"/>
  <c r="C25" i="3"/>
  <c r="HC24" i="3"/>
  <c r="GX24" i="3" s="1"/>
  <c r="GV24" i="3"/>
  <c r="GP24" i="3"/>
  <c r="GO24" i="3"/>
  <c r="CC73" i="3" s="1"/>
  <c r="GL24" i="3"/>
  <c r="FR24" i="3"/>
  <c r="CW24" i="3"/>
  <c r="V24" i="3" s="1"/>
  <c r="CV24" i="3"/>
  <c r="CS24" i="3"/>
  <c r="AJ24" i="3"/>
  <c r="CX24" i="3" s="1"/>
  <c r="W24" i="3" s="1"/>
  <c r="AI24" i="3"/>
  <c r="AH24" i="3"/>
  <c r="AG24" i="3"/>
  <c r="CU24" i="3" s="1"/>
  <c r="T24" i="3" s="1"/>
  <c r="AF24" i="3"/>
  <c r="CT24" i="3" s="1"/>
  <c r="S24" i="3" s="1"/>
  <c r="AE24" i="3"/>
  <c r="AD24" i="3" s="1"/>
  <c r="CR24" i="3" s="1"/>
  <c r="Q24" i="3" s="1"/>
  <c r="AC24" i="3"/>
  <c r="CQ24" i="3" s="1"/>
  <c r="P24" i="3" s="1"/>
  <c r="AB24" i="3"/>
  <c r="R24" i="3"/>
  <c r="I24" i="3"/>
  <c r="U24" i="3" s="1"/>
  <c r="D24" i="3"/>
  <c r="C24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D22" i="3"/>
  <c r="GC22" i="3"/>
  <c r="FV22" i="3"/>
  <c r="FU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U22" i="3"/>
  <c r="ET22" i="3"/>
  <c r="EL22" i="3"/>
  <c r="EG22" i="3"/>
  <c r="EF22" i="3"/>
  <c r="EE22" i="3"/>
  <c r="DS22" i="3"/>
  <c r="DR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L22" i="3"/>
  <c r="CK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C22" i="3"/>
  <c r="BB22" i="3"/>
  <c r="AO22" i="3"/>
  <c r="AN22" i="3"/>
  <c r="AM22" i="3"/>
  <c r="AA22" i="3"/>
  <c r="Z22" i="3"/>
  <c r="G22" i="3"/>
  <c r="F22" i="3"/>
  <c r="E22" i="3"/>
  <c r="D22" i="3"/>
  <c r="C22" i="3"/>
  <c r="B22" i="3"/>
  <c r="D20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B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G18" i="3"/>
  <c r="F18" i="3"/>
  <c r="E18" i="3"/>
  <c r="D18" i="3"/>
  <c r="C18" i="3"/>
  <c r="B18" i="3"/>
  <c r="D12" i="3"/>
  <c r="H136" i="2"/>
  <c r="C136" i="2"/>
  <c r="C129" i="2"/>
  <c r="C128" i="2"/>
  <c r="J127" i="2"/>
  <c r="H127" i="2"/>
  <c r="J126" i="2"/>
  <c r="H126" i="2"/>
  <c r="A125" i="2"/>
  <c r="J123" i="2"/>
  <c r="H123" i="2"/>
  <c r="J122" i="2"/>
  <c r="H122" i="2"/>
  <c r="A121" i="2"/>
  <c r="AA118" i="2"/>
  <c r="Z118" i="2"/>
  <c r="Y118" i="2"/>
  <c r="H118" i="2"/>
  <c r="O118" i="2" s="1"/>
  <c r="K117" i="2"/>
  <c r="J118" i="2" s="1"/>
  <c r="P118" i="2" s="1"/>
  <c r="J117" i="2"/>
  <c r="I117" i="2"/>
  <c r="X118" i="2" s="1"/>
  <c r="H117" i="2"/>
  <c r="G117" i="2"/>
  <c r="F117" i="2"/>
  <c r="V116" i="2"/>
  <c r="U116" i="2"/>
  <c r="S116" i="2"/>
  <c r="Q116" i="2"/>
  <c r="J116" i="2"/>
  <c r="E116" i="2"/>
  <c r="D116" i="2"/>
  <c r="B116" i="2"/>
  <c r="A116" i="2"/>
  <c r="AA114" i="2"/>
  <c r="Z114" i="2"/>
  <c r="Y114" i="2"/>
  <c r="AB113" i="2"/>
  <c r="I113" i="2"/>
  <c r="H113" i="2"/>
  <c r="G113" i="2"/>
  <c r="E113" i="2"/>
  <c r="K112" i="2"/>
  <c r="J112" i="2"/>
  <c r="I112" i="2"/>
  <c r="H114" i="2" s="1"/>
  <c r="O114" i="2" s="1"/>
  <c r="H112" i="2"/>
  <c r="G112" i="2"/>
  <c r="F112" i="2"/>
  <c r="K111" i="2"/>
  <c r="J114" i="2" s="1"/>
  <c r="P114" i="2" s="1"/>
  <c r="J111" i="2"/>
  <c r="I111" i="2"/>
  <c r="H111" i="2"/>
  <c r="G111" i="2"/>
  <c r="F111" i="2"/>
  <c r="V110" i="2"/>
  <c r="U110" i="2"/>
  <c r="S110" i="2"/>
  <c r="Q110" i="2"/>
  <c r="J110" i="2"/>
  <c r="E110" i="2"/>
  <c r="D110" i="2"/>
  <c r="B110" i="2"/>
  <c r="A110" i="2"/>
  <c r="AA108" i="2"/>
  <c r="Z108" i="2"/>
  <c r="Y108" i="2"/>
  <c r="X108" i="2"/>
  <c r="H108" i="2"/>
  <c r="O108" i="2" s="1"/>
  <c r="V107" i="2"/>
  <c r="U107" i="2"/>
  <c r="S107" i="2"/>
  <c r="Q107" i="2"/>
  <c r="K107" i="2"/>
  <c r="J108" i="2" s="1"/>
  <c r="P108" i="2" s="1"/>
  <c r="J107" i="2"/>
  <c r="I107" i="2"/>
  <c r="H107" i="2"/>
  <c r="G107" i="2"/>
  <c r="F107" i="2"/>
  <c r="E107" i="2"/>
  <c r="D107" i="2"/>
  <c r="B107" i="2"/>
  <c r="A107" i="2"/>
  <c r="AA105" i="2"/>
  <c r="Z105" i="2"/>
  <c r="Y105" i="2"/>
  <c r="I104" i="2"/>
  <c r="AB104" i="2" s="1"/>
  <c r="H104" i="2"/>
  <c r="G104" i="2"/>
  <c r="E104" i="2"/>
  <c r="J103" i="2"/>
  <c r="I103" i="2"/>
  <c r="E103" i="2"/>
  <c r="J102" i="2"/>
  <c r="I102" i="2"/>
  <c r="E102" i="2"/>
  <c r="K101" i="2"/>
  <c r="J101" i="2"/>
  <c r="I101" i="2"/>
  <c r="X105" i="2" s="1"/>
  <c r="H101" i="2"/>
  <c r="G101" i="2"/>
  <c r="F101" i="2"/>
  <c r="K100" i="2"/>
  <c r="J100" i="2"/>
  <c r="I100" i="2"/>
  <c r="H100" i="2"/>
  <c r="G100" i="2"/>
  <c r="F100" i="2"/>
  <c r="W99" i="2"/>
  <c r="K99" i="2"/>
  <c r="J99" i="2"/>
  <c r="I99" i="2"/>
  <c r="H99" i="2"/>
  <c r="G99" i="2"/>
  <c r="F99" i="2"/>
  <c r="V98" i="2"/>
  <c r="U98" i="2"/>
  <c r="S98" i="2"/>
  <c r="Q98" i="2"/>
  <c r="J98" i="2"/>
  <c r="E98" i="2"/>
  <c r="D98" i="2"/>
  <c r="B98" i="2"/>
  <c r="A98" i="2"/>
  <c r="AA96" i="2"/>
  <c r="Z96" i="2"/>
  <c r="Y96" i="2"/>
  <c r="AB95" i="2"/>
  <c r="I95" i="2"/>
  <c r="H95" i="2"/>
  <c r="G95" i="2"/>
  <c r="E95" i="2"/>
  <c r="J94" i="2"/>
  <c r="I94" i="2"/>
  <c r="E94" i="2"/>
  <c r="J93" i="2"/>
  <c r="E93" i="2"/>
  <c r="K92" i="2"/>
  <c r="J92" i="2"/>
  <c r="I92" i="2"/>
  <c r="H92" i="2"/>
  <c r="G92" i="2"/>
  <c r="F92" i="2"/>
  <c r="K91" i="2"/>
  <c r="J91" i="2"/>
  <c r="I91" i="2"/>
  <c r="W91" i="2" s="1"/>
  <c r="H91" i="2"/>
  <c r="G91" i="2"/>
  <c r="F91" i="2"/>
  <c r="K90" i="2"/>
  <c r="J90" i="2"/>
  <c r="I90" i="2"/>
  <c r="H90" i="2"/>
  <c r="G90" i="2"/>
  <c r="F90" i="2"/>
  <c r="K89" i="2"/>
  <c r="J89" i="2"/>
  <c r="I89" i="2"/>
  <c r="W89" i="2" s="1"/>
  <c r="H89" i="2"/>
  <c r="G89" i="2"/>
  <c r="F89" i="2"/>
  <c r="V88" i="2"/>
  <c r="U88" i="2"/>
  <c r="S88" i="2"/>
  <c r="Q88" i="2"/>
  <c r="I93" i="2" s="1"/>
  <c r="H96" i="2" s="1"/>
  <c r="O96" i="2" s="1"/>
  <c r="J88" i="2"/>
  <c r="E88" i="2"/>
  <c r="D88" i="2"/>
  <c r="B88" i="2"/>
  <c r="A88" i="2"/>
  <c r="AA86" i="2"/>
  <c r="Z86" i="2"/>
  <c r="Y86" i="2"/>
  <c r="H85" i="2"/>
  <c r="G85" i="2"/>
  <c r="E85" i="2"/>
  <c r="J84" i="2"/>
  <c r="E84" i="2"/>
  <c r="J83" i="2"/>
  <c r="E83" i="2"/>
  <c r="J82" i="2"/>
  <c r="I82" i="2"/>
  <c r="H82" i="2"/>
  <c r="G82" i="2"/>
  <c r="F82" i="2"/>
  <c r="J81" i="2"/>
  <c r="I81" i="2"/>
  <c r="W81" i="2" s="1"/>
  <c r="H81" i="2"/>
  <c r="G81" i="2"/>
  <c r="F81" i="2"/>
  <c r="J80" i="2"/>
  <c r="I80" i="2"/>
  <c r="H80" i="2"/>
  <c r="G80" i="2"/>
  <c r="F80" i="2"/>
  <c r="W79" i="2"/>
  <c r="J79" i="2"/>
  <c r="I79" i="2"/>
  <c r="H79" i="2"/>
  <c r="G79" i="2"/>
  <c r="F79" i="2"/>
  <c r="V78" i="2"/>
  <c r="U78" i="2"/>
  <c r="S78" i="2"/>
  <c r="I84" i="2" s="1"/>
  <c r="Q78" i="2"/>
  <c r="I83" i="2" s="1"/>
  <c r="J78" i="2"/>
  <c r="E78" i="2"/>
  <c r="D78" i="2"/>
  <c r="B78" i="2"/>
  <c r="A78" i="2"/>
  <c r="AA76" i="2"/>
  <c r="Z76" i="2"/>
  <c r="Y76" i="2"/>
  <c r="AB75" i="2"/>
  <c r="I75" i="2"/>
  <c r="H75" i="2"/>
  <c r="G75" i="2"/>
  <c r="E75" i="2"/>
  <c r="J74" i="2"/>
  <c r="E74" i="2"/>
  <c r="J73" i="2"/>
  <c r="I73" i="2"/>
  <c r="E73" i="2"/>
  <c r="AA72" i="2"/>
  <c r="Z72" i="2"/>
  <c r="Y72" i="2"/>
  <c r="X72" i="2"/>
  <c r="U72" i="2"/>
  <c r="S72" i="2"/>
  <c r="Q72" i="2"/>
  <c r="J72" i="2"/>
  <c r="I72" i="2"/>
  <c r="H72" i="2"/>
  <c r="F72" i="2"/>
  <c r="E72" i="2"/>
  <c r="D72" i="2"/>
  <c r="B72" i="2"/>
  <c r="A72" i="2"/>
  <c r="AA71" i="2"/>
  <c r="Z71" i="2"/>
  <c r="Y71" i="2"/>
  <c r="X71" i="2"/>
  <c r="U71" i="2"/>
  <c r="S71" i="2"/>
  <c r="Q71" i="2"/>
  <c r="J71" i="2"/>
  <c r="I71" i="2"/>
  <c r="H71" i="2"/>
  <c r="F71" i="2"/>
  <c r="E71" i="2"/>
  <c r="D71" i="2"/>
  <c r="B71" i="2"/>
  <c r="A71" i="2"/>
  <c r="K70" i="2"/>
  <c r="J70" i="2"/>
  <c r="I70" i="2"/>
  <c r="H70" i="2"/>
  <c r="G70" i="2"/>
  <c r="F70" i="2"/>
  <c r="J69" i="2"/>
  <c r="I69" i="2"/>
  <c r="W69" i="2" s="1"/>
  <c r="H69" i="2"/>
  <c r="G69" i="2"/>
  <c r="F69" i="2"/>
  <c r="J68" i="2"/>
  <c r="H68" i="2"/>
  <c r="G68" i="2"/>
  <c r="F68" i="2"/>
  <c r="W67" i="2"/>
  <c r="K67" i="2"/>
  <c r="J67" i="2"/>
  <c r="I67" i="2"/>
  <c r="H67" i="2"/>
  <c r="G67" i="2"/>
  <c r="F67" i="2"/>
  <c r="U66" i="2"/>
  <c r="S66" i="2"/>
  <c r="I74" i="2" s="1"/>
  <c r="Q66" i="2"/>
  <c r="J66" i="2"/>
  <c r="E66" i="2"/>
  <c r="D66" i="2"/>
  <c r="B66" i="2"/>
  <c r="A66" i="2"/>
  <c r="AA64" i="2"/>
  <c r="Z64" i="2"/>
  <c r="Y64" i="2"/>
  <c r="H63" i="2"/>
  <c r="G63" i="2"/>
  <c r="E63" i="2"/>
  <c r="J62" i="2"/>
  <c r="E62" i="2"/>
  <c r="J61" i="2"/>
  <c r="E61" i="2"/>
  <c r="K60" i="2"/>
  <c r="J60" i="2"/>
  <c r="I60" i="2"/>
  <c r="W60" i="2" s="1"/>
  <c r="H60" i="2"/>
  <c r="G60" i="2"/>
  <c r="F60" i="2"/>
  <c r="K59" i="2"/>
  <c r="J59" i="2"/>
  <c r="I59" i="2"/>
  <c r="H59" i="2"/>
  <c r="G59" i="2"/>
  <c r="F59" i="2"/>
  <c r="J58" i="2"/>
  <c r="H58" i="2"/>
  <c r="G58" i="2"/>
  <c r="F58" i="2"/>
  <c r="V57" i="2"/>
  <c r="U57" i="2"/>
  <c r="J57" i="2"/>
  <c r="E57" i="2"/>
  <c r="D57" i="2"/>
  <c r="B57" i="2"/>
  <c r="A57" i="2"/>
  <c r="AA55" i="2"/>
  <c r="Z55" i="2"/>
  <c r="Y55" i="2"/>
  <c r="AB54" i="2"/>
  <c r="I54" i="2"/>
  <c r="H54" i="2"/>
  <c r="G54" i="2"/>
  <c r="E54" i="2"/>
  <c r="J53" i="2"/>
  <c r="E53" i="2"/>
  <c r="J52" i="2"/>
  <c r="E52" i="2"/>
  <c r="AA51" i="2"/>
  <c r="Z51" i="2"/>
  <c r="Y51" i="2"/>
  <c r="J51" i="2"/>
  <c r="H51" i="2"/>
  <c r="F51" i="2"/>
  <c r="D51" i="2"/>
  <c r="B51" i="2"/>
  <c r="A51" i="2"/>
  <c r="J50" i="2"/>
  <c r="I50" i="2"/>
  <c r="W50" i="2" s="1"/>
  <c r="H50" i="2"/>
  <c r="G50" i="2"/>
  <c r="F50" i="2"/>
  <c r="J49" i="2"/>
  <c r="I49" i="2"/>
  <c r="H49" i="2"/>
  <c r="G49" i="2"/>
  <c r="F49" i="2"/>
  <c r="J48" i="2"/>
  <c r="I48" i="2"/>
  <c r="W48" i="2" s="1"/>
  <c r="H48" i="2"/>
  <c r="G48" i="2"/>
  <c r="F48" i="2"/>
  <c r="V47" i="2"/>
  <c r="U47" i="2"/>
  <c r="S47" i="2"/>
  <c r="Q47" i="2"/>
  <c r="J47" i="2"/>
  <c r="E47" i="2"/>
  <c r="D47" i="2"/>
  <c r="B47" i="2"/>
  <c r="A47" i="2"/>
  <c r="AA45" i="2"/>
  <c r="Z45" i="2"/>
  <c r="Y45" i="2"/>
  <c r="AB44" i="2"/>
  <c r="H44" i="2"/>
  <c r="G44" i="2"/>
  <c r="E44" i="2"/>
  <c r="J43" i="2"/>
  <c r="I43" i="2"/>
  <c r="E43" i="2"/>
  <c r="J42" i="2"/>
  <c r="E42" i="2"/>
  <c r="AA41" i="2"/>
  <c r="Z41" i="2"/>
  <c r="Y41" i="2"/>
  <c r="S41" i="2"/>
  <c r="Q41" i="2"/>
  <c r="J41" i="2"/>
  <c r="H41" i="2"/>
  <c r="F41" i="2"/>
  <c r="E41" i="2"/>
  <c r="D41" i="2"/>
  <c r="B41" i="2"/>
  <c r="A41" i="2"/>
  <c r="W40" i="2"/>
  <c r="J40" i="2"/>
  <c r="I40" i="2"/>
  <c r="H40" i="2"/>
  <c r="G40" i="2"/>
  <c r="F40" i="2"/>
  <c r="J39" i="2"/>
  <c r="H39" i="2"/>
  <c r="G39" i="2"/>
  <c r="F39" i="2"/>
  <c r="J38" i="2"/>
  <c r="I38" i="2"/>
  <c r="H38" i="2"/>
  <c r="G38" i="2"/>
  <c r="F38" i="2"/>
  <c r="U37" i="2"/>
  <c r="S37" i="2"/>
  <c r="Q37" i="2"/>
  <c r="I42" i="2" s="1"/>
  <c r="J37" i="2"/>
  <c r="E37" i="2"/>
  <c r="D37" i="2"/>
  <c r="B37" i="2"/>
  <c r="A37" i="2"/>
  <c r="AA35" i="2"/>
  <c r="Z35" i="2"/>
  <c r="Y35" i="2"/>
  <c r="I34" i="2"/>
  <c r="AB34" i="2" s="1"/>
  <c r="H34" i="2"/>
  <c r="G34" i="2"/>
  <c r="E34" i="2"/>
  <c r="J33" i="2"/>
  <c r="I33" i="2"/>
  <c r="E33" i="2"/>
  <c r="J32" i="2"/>
  <c r="E32" i="2"/>
  <c r="K31" i="2"/>
  <c r="J31" i="2"/>
  <c r="I31" i="2"/>
  <c r="W31" i="2" s="1"/>
  <c r="H31" i="2"/>
  <c r="G31" i="2"/>
  <c r="F31" i="2"/>
  <c r="J30" i="2"/>
  <c r="H30" i="2"/>
  <c r="G30" i="2"/>
  <c r="F30" i="2"/>
  <c r="W29" i="2"/>
  <c r="J29" i="2"/>
  <c r="I29" i="2"/>
  <c r="H29" i="2"/>
  <c r="G29" i="2"/>
  <c r="F29" i="2"/>
  <c r="V28" i="2"/>
  <c r="U28" i="2"/>
  <c r="S28" i="2"/>
  <c r="Q28" i="2"/>
  <c r="I32" i="2" s="1"/>
  <c r="J28" i="2"/>
  <c r="E28" i="2"/>
  <c r="D28" i="2"/>
  <c r="B28" i="2"/>
  <c r="A28" i="2"/>
  <c r="A27" i="2"/>
  <c r="I18" i="2"/>
  <c r="I17" i="2"/>
  <c r="I16" i="2"/>
  <c r="A11" i="2"/>
  <c r="A3" i="2"/>
  <c r="A1" i="2"/>
  <c r="D18" i="1"/>
  <c r="E17" i="1"/>
  <c r="E16" i="1"/>
  <c r="E14" i="1"/>
  <c r="E13" i="1"/>
  <c r="E12" i="1"/>
  <c r="E11" i="1"/>
  <c r="E10" i="1"/>
  <c r="A8" i="1"/>
  <c r="A3" i="1"/>
  <c r="CZ38" i="3" l="1"/>
  <c r="Y38" i="3" s="1"/>
  <c r="CY38" i="3"/>
  <c r="X38" i="3" s="1"/>
  <c r="X86" i="2"/>
  <c r="CP24" i="3"/>
  <c r="O24" i="3" s="1"/>
  <c r="R29" i="3"/>
  <c r="K40" i="2" s="1"/>
  <c r="V37" i="2"/>
  <c r="X114" i="2"/>
  <c r="W111" i="2"/>
  <c r="U27" i="3"/>
  <c r="GM28" i="3"/>
  <c r="R41" i="3"/>
  <c r="V71" i="2"/>
  <c r="CZ24" i="3"/>
  <c r="Y24" i="3" s="1"/>
  <c r="CY24" i="3"/>
  <c r="X24" i="3" s="1"/>
  <c r="EI73" i="3"/>
  <c r="FR22" i="3"/>
  <c r="P27" i="3"/>
  <c r="CP27" i="3" s="1"/>
  <c r="O27" i="3" s="1"/>
  <c r="GX27" i="3"/>
  <c r="AB30" i="3"/>
  <c r="CT30" i="3"/>
  <c r="S30" i="3" s="1"/>
  <c r="CP30" i="3" s="1"/>
  <c r="O30" i="3" s="1"/>
  <c r="CR40" i="3"/>
  <c r="AB40" i="3"/>
  <c r="CT37" i="3"/>
  <c r="S37" i="3" s="1"/>
  <c r="S57" i="2"/>
  <c r="I62" i="2" s="1"/>
  <c r="I58" i="2"/>
  <c r="Q57" i="2"/>
  <c r="I61" i="2" s="1"/>
  <c r="CZ49" i="3"/>
  <c r="Y49" i="3" s="1"/>
  <c r="CY49" i="3"/>
  <c r="X49" i="3" s="1"/>
  <c r="W38" i="2"/>
  <c r="H105" i="2"/>
  <c r="O105" i="2" s="1"/>
  <c r="AB26" i="3"/>
  <c r="CT26" i="3"/>
  <c r="S26" i="3" s="1"/>
  <c r="AD27" i="3"/>
  <c r="CR27" i="3" s="1"/>
  <c r="Q27" i="3" s="1"/>
  <c r="CS27" i="3"/>
  <c r="R27" i="3" s="1"/>
  <c r="T30" i="3"/>
  <c r="AD31" i="3"/>
  <c r="U41" i="2"/>
  <c r="CS31" i="3"/>
  <c r="CZ32" i="3"/>
  <c r="Y32" i="3" s="1"/>
  <c r="CY32" i="3"/>
  <c r="X32" i="3" s="1"/>
  <c r="GM32" i="3" s="1"/>
  <c r="I30" i="2"/>
  <c r="AT73" i="3"/>
  <c r="CC22" i="3"/>
  <c r="T26" i="3"/>
  <c r="S27" i="3"/>
  <c r="CZ28" i="3"/>
  <c r="Y28" i="3" s="1"/>
  <c r="CY28" i="3"/>
  <c r="X28" i="3" s="1"/>
  <c r="GN28" i="3" s="1"/>
  <c r="U30" i="3"/>
  <c r="CR53" i="3"/>
  <c r="Q53" i="3" s="1"/>
  <c r="AB53" i="3"/>
  <c r="U26" i="3"/>
  <c r="T27" i="3"/>
  <c r="R39" i="3"/>
  <c r="K69" i="2" s="1"/>
  <c r="V66" i="2"/>
  <c r="H35" i="2"/>
  <c r="O35" i="2" s="1"/>
  <c r="X35" i="2"/>
  <c r="K30" i="2"/>
  <c r="CP25" i="3"/>
  <c r="O25" i="3" s="1"/>
  <c r="CZ25" i="3"/>
  <c r="Y25" i="3" s="1"/>
  <c r="CY25" i="3"/>
  <c r="X25" i="3" s="1"/>
  <c r="K29" i="2"/>
  <c r="CP26" i="3"/>
  <c r="O26" i="3" s="1"/>
  <c r="K38" i="2"/>
  <c r="CZ29" i="3"/>
  <c r="Y29" i="3" s="1"/>
  <c r="T37" i="2" s="1"/>
  <c r="CY29" i="3"/>
  <c r="X29" i="3" s="1"/>
  <c r="R37" i="2" s="1"/>
  <c r="W30" i="3"/>
  <c r="X96" i="2"/>
  <c r="CD73" i="3"/>
  <c r="GM36" i="3"/>
  <c r="CZ36" i="3"/>
  <c r="Y36" i="3" s="1"/>
  <c r="CY36" i="3"/>
  <c r="X36" i="3" s="1"/>
  <c r="CZ39" i="3"/>
  <c r="Y39" i="3" s="1"/>
  <c r="T66" i="2" s="1"/>
  <c r="CY39" i="3"/>
  <c r="X39" i="3" s="1"/>
  <c r="R66" i="2" s="1"/>
  <c r="AD42" i="3"/>
  <c r="CR42" i="3" s="1"/>
  <c r="Q42" i="3" s="1"/>
  <c r="CS42" i="3"/>
  <c r="R42" i="3" s="1"/>
  <c r="I10" i="7"/>
  <c r="D12" i="1" s="1"/>
  <c r="CX77" i="5"/>
  <c r="CX78" i="5"/>
  <c r="I9" i="7"/>
  <c r="CX79" i="5"/>
  <c r="CX80" i="5"/>
  <c r="CX74" i="5"/>
  <c r="CX75" i="5"/>
  <c r="CX76" i="5"/>
  <c r="P45" i="3"/>
  <c r="W45" i="3"/>
  <c r="GX45" i="3"/>
  <c r="CZ46" i="3"/>
  <c r="Y46" i="3" s="1"/>
  <c r="CY46" i="3"/>
  <c r="X46" i="3" s="1"/>
  <c r="CZ48" i="3"/>
  <c r="Y48" i="3" s="1"/>
  <c r="CY48" i="3"/>
  <c r="X48" i="3" s="1"/>
  <c r="AD50" i="3"/>
  <c r="CR50" i="3" s="1"/>
  <c r="Q50" i="3" s="1"/>
  <c r="CS50" i="3"/>
  <c r="R50" i="3" s="1"/>
  <c r="CY51" i="3"/>
  <c r="X51" i="3" s="1"/>
  <c r="GM61" i="3"/>
  <c r="V33" i="3"/>
  <c r="S34" i="3"/>
  <c r="U37" i="3"/>
  <c r="I63" i="2" s="1"/>
  <c r="AB63" i="2" s="1"/>
  <c r="I20" i="2" s="1"/>
  <c r="AB38" i="3"/>
  <c r="CQ38" i="3"/>
  <c r="P38" i="3" s="1"/>
  <c r="CP38" i="3" s="1"/>
  <c r="O38" i="3" s="1"/>
  <c r="S41" i="3"/>
  <c r="CY42" i="3"/>
  <c r="X42" i="3" s="1"/>
  <c r="CZ42" i="3"/>
  <c r="Y42" i="3" s="1"/>
  <c r="CR48" i="3"/>
  <c r="Q48" i="3" s="1"/>
  <c r="CP48" i="3" s="1"/>
  <c r="O48" i="3" s="1"/>
  <c r="AB48" i="3"/>
  <c r="CY50" i="3"/>
  <c r="X50" i="3" s="1"/>
  <c r="CZ51" i="3"/>
  <c r="Y51" i="3" s="1"/>
  <c r="H86" i="2"/>
  <c r="O86" i="2" s="1"/>
  <c r="AB25" i="3"/>
  <c r="P91" i="3"/>
  <c r="U16" i="4" s="1"/>
  <c r="U18" i="4" s="1"/>
  <c r="EL103" i="3"/>
  <c r="CX49" i="5"/>
  <c r="CX50" i="5"/>
  <c r="CX51" i="5"/>
  <c r="CX52" i="5"/>
  <c r="P37" i="3"/>
  <c r="CP37" i="3" s="1"/>
  <c r="O37" i="3" s="1"/>
  <c r="T41" i="3"/>
  <c r="AB43" i="3"/>
  <c r="P43" i="3"/>
  <c r="AB45" i="3"/>
  <c r="R45" i="3"/>
  <c r="K81" i="2" s="1"/>
  <c r="CZ50" i="3"/>
  <c r="Y50" i="3" s="1"/>
  <c r="CP54" i="3"/>
  <c r="O54" i="3" s="1"/>
  <c r="CX5" i="5"/>
  <c r="CX6" i="5"/>
  <c r="CX7" i="5"/>
  <c r="CX8" i="5"/>
  <c r="CX9" i="5"/>
  <c r="CX1" i="5"/>
  <c r="CX10" i="5"/>
  <c r="CX2" i="5"/>
  <c r="CX11" i="5"/>
  <c r="CX3" i="5"/>
  <c r="CX12" i="5"/>
  <c r="CX4" i="5"/>
  <c r="BY73" i="3"/>
  <c r="EM103" i="3"/>
  <c r="P92" i="3"/>
  <c r="CX25" i="5"/>
  <c r="CX26" i="5"/>
  <c r="CX27" i="5"/>
  <c r="CX28" i="5"/>
  <c r="CX37" i="5"/>
  <c r="CX38" i="5"/>
  <c r="CX33" i="5"/>
  <c r="CX34" i="5"/>
  <c r="CX35" i="5"/>
  <c r="CX36" i="5"/>
  <c r="GX33" i="3"/>
  <c r="AB35" i="3"/>
  <c r="CR35" i="3"/>
  <c r="I8" i="7"/>
  <c r="D15" i="1" s="1"/>
  <c r="W43" i="3"/>
  <c r="V43" i="3"/>
  <c r="U43" i="3"/>
  <c r="U41" i="3"/>
  <c r="Q43" i="3"/>
  <c r="GX43" i="3"/>
  <c r="Q45" i="3"/>
  <c r="K80" i="2" s="1"/>
  <c r="GM47" i="3"/>
  <c r="CP49" i="3"/>
  <c r="O49" i="3" s="1"/>
  <c r="CP52" i="3"/>
  <c r="O52" i="3" s="1"/>
  <c r="BZ73" i="3"/>
  <c r="AB27" i="3"/>
  <c r="AD29" i="3"/>
  <c r="AB29" i="3" s="1"/>
  <c r="AB31" i="3"/>
  <c r="Q33" i="3"/>
  <c r="K49" i="2" s="1"/>
  <c r="R33" i="3"/>
  <c r="K50" i="2" s="1"/>
  <c r="I34" i="3"/>
  <c r="P34" i="3" s="1"/>
  <c r="GN36" i="3"/>
  <c r="AB37" i="3"/>
  <c r="CP44" i="3"/>
  <c r="O44" i="3" s="1"/>
  <c r="S45" i="3"/>
  <c r="CP53" i="3"/>
  <c r="O53" i="3" s="1"/>
  <c r="CX39" i="5"/>
  <c r="CX40" i="5"/>
  <c r="CX41" i="5"/>
  <c r="CX42" i="5"/>
  <c r="CX43" i="5"/>
  <c r="CX44" i="5"/>
  <c r="I35" i="3"/>
  <c r="S33" i="3"/>
  <c r="CP41" i="3"/>
  <c r="O41" i="3" s="1"/>
  <c r="W41" i="3"/>
  <c r="GX41" i="3"/>
  <c r="S43" i="3"/>
  <c r="T45" i="3"/>
  <c r="CP46" i="3"/>
  <c r="O46" i="3" s="1"/>
  <c r="AB49" i="3"/>
  <c r="CP51" i="3"/>
  <c r="O51" i="3" s="1"/>
  <c r="CY58" i="3"/>
  <c r="X58" i="3" s="1"/>
  <c r="CZ58" i="3"/>
  <c r="Y58" i="3" s="1"/>
  <c r="CX21" i="5"/>
  <c r="CX13" i="5"/>
  <c r="CX22" i="5"/>
  <c r="CX14" i="5"/>
  <c r="CX23" i="5"/>
  <c r="CX15" i="5"/>
  <c r="CX24" i="5"/>
  <c r="CX16" i="5"/>
  <c r="CX17" i="5"/>
  <c r="CX18" i="5"/>
  <c r="CX19" i="5"/>
  <c r="CX20" i="5"/>
  <c r="FQ73" i="3"/>
  <c r="CX29" i="5"/>
  <c r="CX30" i="5"/>
  <c r="CX31" i="5"/>
  <c r="CX32" i="5"/>
  <c r="S40" i="3"/>
  <c r="P42" i="3"/>
  <c r="CP42" i="3" s="1"/>
  <c r="O42" i="3" s="1"/>
  <c r="U45" i="3"/>
  <c r="I85" i="2" s="1"/>
  <c r="AB85" i="2" s="1"/>
  <c r="CZ47" i="3"/>
  <c r="Y47" i="3" s="1"/>
  <c r="CY47" i="3"/>
  <c r="X47" i="3" s="1"/>
  <c r="GN47" i="3" s="1"/>
  <c r="CP50" i="3"/>
  <c r="O50" i="3" s="1"/>
  <c r="CZ52" i="3"/>
  <c r="Y52" i="3" s="1"/>
  <c r="CY52" i="3"/>
  <c r="X52" i="3" s="1"/>
  <c r="R53" i="3"/>
  <c r="CZ53" i="3" s="1"/>
  <c r="Y53" i="3" s="1"/>
  <c r="GX53" i="3"/>
  <c r="S8" i="7"/>
  <c r="T8" i="7" s="1"/>
  <c r="P8" i="7"/>
  <c r="CP55" i="3"/>
  <c r="O55" i="3" s="1"/>
  <c r="CZ60" i="3"/>
  <c r="Y60" i="3" s="1"/>
  <c r="CY60" i="3"/>
  <c r="X60" i="3" s="1"/>
  <c r="CZ63" i="3"/>
  <c r="Y63" i="3" s="1"/>
  <c r="T98" i="2" s="1"/>
  <c r="K103" i="2" s="1"/>
  <c r="CY63" i="3"/>
  <c r="X63" i="3" s="1"/>
  <c r="R98" i="2" s="1"/>
  <c r="K102" i="2" s="1"/>
  <c r="J105" i="2" s="1"/>
  <c r="P105" i="2" s="1"/>
  <c r="CZ70" i="3"/>
  <c r="Y70" i="3" s="1"/>
  <c r="CY70" i="3"/>
  <c r="X70" i="3" s="1"/>
  <c r="GM70" i="3" s="1"/>
  <c r="HD70" i="3" s="1"/>
  <c r="EU103" i="3"/>
  <c r="P89" i="3"/>
  <c r="CS43" i="3"/>
  <c r="CR55" i="3"/>
  <c r="Q55" i="3" s="1"/>
  <c r="AB55" i="3"/>
  <c r="R55" i="3"/>
  <c r="CQ56" i="3"/>
  <c r="P56" i="3" s="1"/>
  <c r="AB56" i="3"/>
  <c r="CS59" i="3"/>
  <c r="R59" i="3" s="1"/>
  <c r="CZ59" i="3" s="1"/>
  <c r="Y59" i="3" s="1"/>
  <c r="AD59" i="3"/>
  <c r="CZ61" i="3"/>
  <c r="Y61" i="3" s="1"/>
  <c r="T88" i="2" s="1"/>
  <c r="K94" i="2" s="1"/>
  <c r="CY61" i="3"/>
  <c r="X61" i="3" s="1"/>
  <c r="R88" i="2" s="1"/>
  <c r="K93" i="2" s="1"/>
  <c r="CX53" i="5"/>
  <c r="CX54" i="5"/>
  <c r="CX55" i="5"/>
  <c r="CX56" i="5"/>
  <c r="CX57" i="5"/>
  <c r="CX58" i="5"/>
  <c r="CX59" i="5"/>
  <c r="CY44" i="3"/>
  <c r="X44" i="3" s="1"/>
  <c r="CS56" i="3"/>
  <c r="R56" i="3" s="1"/>
  <c r="CZ56" i="3" s="1"/>
  <c r="Y56" i="3" s="1"/>
  <c r="AD56" i="3"/>
  <c r="CR56" i="3" s="1"/>
  <c r="Q56" i="3" s="1"/>
  <c r="CP57" i="3"/>
  <c r="O57" i="3" s="1"/>
  <c r="CY59" i="3"/>
  <c r="X59" i="3" s="1"/>
  <c r="CZ67" i="3"/>
  <c r="Y67" i="3" s="1"/>
  <c r="T107" i="2" s="1"/>
  <c r="CY67" i="3"/>
  <c r="X67" i="3" s="1"/>
  <c r="R107" i="2" s="1"/>
  <c r="AD39" i="3"/>
  <c r="S55" i="3"/>
  <c r="U55" i="3"/>
  <c r="GX55" i="3"/>
  <c r="CR57" i="3"/>
  <c r="Q57" i="3" s="1"/>
  <c r="AB57" i="3"/>
  <c r="CP68" i="3"/>
  <c r="O68" i="3" s="1"/>
  <c r="CP71" i="3"/>
  <c r="O71" i="3" s="1"/>
  <c r="BC103" i="3"/>
  <c r="F89" i="3"/>
  <c r="AB34" i="3"/>
  <c r="CX45" i="5"/>
  <c r="CX46" i="5"/>
  <c r="CX47" i="5"/>
  <c r="CX48" i="5"/>
  <c r="CX69" i="5"/>
  <c r="CX70" i="5"/>
  <c r="CX71" i="5"/>
  <c r="CX72" i="5"/>
  <c r="CX73" i="5"/>
  <c r="CX67" i="5"/>
  <c r="CX68" i="5"/>
  <c r="AB52" i="3"/>
  <c r="AB54" i="3"/>
  <c r="CZ57" i="3"/>
  <c r="Y57" i="3" s="1"/>
  <c r="CY57" i="3"/>
  <c r="X57" i="3" s="1"/>
  <c r="GX58" i="3"/>
  <c r="CZ66" i="3"/>
  <c r="Y66" i="3" s="1"/>
  <c r="CY66" i="3"/>
  <c r="X66" i="3" s="1"/>
  <c r="CP67" i="3"/>
  <c r="O67" i="3" s="1"/>
  <c r="CX61" i="5"/>
  <c r="CX62" i="5"/>
  <c r="CX63" i="5"/>
  <c r="CX64" i="5"/>
  <c r="I7" i="7"/>
  <c r="D17" i="1" s="1"/>
  <c r="CX65" i="5"/>
  <c r="CX66" i="5"/>
  <c r="CX60" i="5"/>
  <c r="CP58" i="3"/>
  <c r="O58" i="3" s="1"/>
  <c r="U58" i="3"/>
  <c r="AB62" i="3"/>
  <c r="CP62" i="3"/>
  <c r="O62" i="3" s="1"/>
  <c r="CP63" i="3"/>
  <c r="O63" i="3" s="1"/>
  <c r="CZ69" i="3"/>
  <c r="Y69" i="3" s="1"/>
  <c r="T110" i="2" s="1"/>
  <c r="I40" i="3"/>
  <c r="GX40" i="3" s="1"/>
  <c r="K8" i="7"/>
  <c r="N8" i="7"/>
  <c r="O8" i="7" s="1"/>
  <c r="CS54" i="3"/>
  <c r="R54" i="3" s="1"/>
  <c r="CY54" i="3" s="1"/>
  <c r="X54" i="3" s="1"/>
  <c r="CY56" i="3"/>
  <c r="X56" i="3" s="1"/>
  <c r="CZ62" i="3"/>
  <c r="Y62" i="3" s="1"/>
  <c r="CP66" i="3"/>
  <c r="O66" i="3" s="1"/>
  <c r="CZ71" i="3"/>
  <c r="Y71" i="3" s="1"/>
  <c r="T116" i="2" s="1"/>
  <c r="CY71" i="3"/>
  <c r="X71" i="3" s="1"/>
  <c r="R116" i="2" s="1"/>
  <c r="I14" i="7"/>
  <c r="D10" i="1" s="1"/>
  <c r="CX125" i="5"/>
  <c r="CX126" i="5"/>
  <c r="I13" i="7"/>
  <c r="D11" i="1" s="1"/>
  <c r="CX127" i="5"/>
  <c r="CX128" i="5"/>
  <c r="I12" i="7"/>
  <c r="D16" i="1" s="1"/>
  <c r="CX129" i="5"/>
  <c r="CX130" i="5"/>
  <c r="CX122" i="5"/>
  <c r="I11" i="7"/>
  <c r="CX123" i="5"/>
  <c r="CX124" i="5"/>
  <c r="I65" i="3"/>
  <c r="GX65" i="3" s="1"/>
  <c r="AO103" i="3"/>
  <c r="M7" i="7"/>
  <c r="F17" i="1" s="1"/>
  <c r="O7" i="7"/>
  <c r="O11" i="7"/>
  <c r="M11" i="7"/>
  <c r="T16" i="7"/>
  <c r="R16" i="7"/>
  <c r="T7" i="7"/>
  <c r="R7" i="7"/>
  <c r="T10" i="7"/>
  <c r="R10" i="7"/>
  <c r="T14" i="7"/>
  <c r="R14" i="7"/>
  <c r="M12" i="7"/>
  <c r="F16" i="1" s="1"/>
  <c r="O12" i="7"/>
  <c r="T11" i="7"/>
  <c r="R11" i="7"/>
  <c r="AB63" i="3"/>
  <c r="T15" i="7"/>
  <c r="AD60" i="3"/>
  <c r="CX133" i="5"/>
  <c r="CX134" i="5"/>
  <c r="CX135" i="5"/>
  <c r="CX136" i="5"/>
  <c r="CX131" i="5"/>
  <c r="CX132" i="5"/>
  <c r="CT68" i="3"/>
  <c r="S68" i="3" s="1"/>
  <c r="CY69" i="3"/>
  <c r="X69" i="3" s="1"/>
  <c r="R110" i="2" s="1"/>
  <c r="T12" i="7"/>
  <c r="R12" i="7"/>
  <c r="O15" i="7"/>
  <c r="M15" i="7"/>
  <c r="F14" i="1" s="1"/>
  <c r="CG73" i="3"/>
  <c r="O9" i="7"/>
  <c r="M9" i="7"/>
  <c r="O13" i="7"/>
  <c r="M13" i="7"/>
  <c r="F11" i="1" s="1"/>
  <c r="O14" i="7"/>
  <c r="AB58" i="3"/>
  <c r="CX117" i="5"/>
  <c r="CX118" i="5"/>
  <c r="CX119" i="5"/>
  <c r="CX120" i="5"/>
  <c r="CX121" i="5"/>
  <c r="CX113" i="5"/>
  <c r="CX114" i="5"/>
  <c r="CX115" i="5"/>
  <c r="CX116" i="5"/>
  <c r="AD64" i="3"/>
  <c r="CR64" i="3" s="1"/>
  <c r="Q64" i="3" s="1"/>
  <c r="K17" i="7"/>
  <c r="N17" i="7"/>
  <c r="O17" i="7" s="1"/>
  <c r="ET103" i="3"/>
  <c r="CX141" i="5"/>
  <c r="CX142" i="5"/>
  <c r="I16" i="7"/>
  <c r="D13" i="1" s="1"/>
  <c r="CX137" i="5"/>
  <c r="R15" i="7"/>
  <c r="CX138" i="5"/>
  <c r="I15" i="7"/>
  <c r="D14" i="1" s="1"/>
  <c r="CX139" i="5"/>
  <c r="CX140" i="5"/>
  <c r="F86" i="3"/>
  <c r="R9" i="7"/>
  <c r="T9" i="7"/>
  <c r="R13" i="7"/>
  <c r="T13" i="7"/>
  <c r="M16" i="7"/>
  <c r="F13" i="1" s="1"/>
  <c r="O16" i="7"/>
  <c r="I64" i="3"/>
  <c r="GX64" i="3" s="1"/>
  <c r="S17" i="7"/>
  <c r="T17" i="7" s="1"/>
  <c r="P17" i="7"/>
  <c r="R17" i="7" s="1"/>
  <c r="FY73" i="3"/>
  <c r="O10" i="7"/>
  <c r="EG103" i="3"/>
  <c r="M10" i="7"/>
  <c r="F12" i="1" s="1"/>
  <c r="M14" i="7"/>
  <c r="F10" i="1" s="1"/>
  <c r="GN48" i="3" l="1"/>
  <c r="GM48" i="3"/>
  <c r="P107" i="3"/>
  <c r="EG18" i="3"/>
  <c r="M17" i="7"/>
  <c r="F18" i="1" s="1"/>
  <c r="E18" i="1"/>
  <c r="AB64" i="3"/>
  <c r="GM63" i="3"/>
  <c r="GN63" i="3"/>
  <c r="R43" i="3"/>
  <c r="CZ43" i="3" s="1"/>
  <c r="Y43" i="3" s="1"/>
  <c r="T72" i="2" s="1"/>
  <c r="K74" i="2" s="1"/>
  <c r="V72" i="2"/>
  <c r="GN42" i="3"/>
  <c r="GM42" i="3"/>
  <c r="GN46" i="3"/>
  <c r="GM46" i="3"/>
  <c r="V35" i="3"/>
  <c r="EA73" i="3" s="1"/>
  <c r="V51" i="2"/>
  <c r="I51" i="2"/>
  <c r="X51" i="2" s="1"/>
  <c r="T35" i="3"/>
  <c r="DY73" i="3" s="1"/>
  <c r="U51" i="2"/>
  <c r="E51" i="2"/>
  <c r="S51" i="2"/>
  <c r="I53" i="2" s="1"/>
  <c r="Q51" i="2"/>
  <c r="I52" i="2" s="1"/>
  <c r="CZ45" i="3"/>
  <c r="Y45" i="3" s="1"/>
  <c r="T78" i="2" s="1"/>
  <c r="K84" i="2" s="1"/>
  <c r="CY45" i="3"/>
  <c r="X45" i="3" s="1"/>
  <c r="R78" i="2" s="1"/>
  <c r="K83" i="2" s="1"/>
  <c r="K79" i="2"/>
  <c r="J86" i="2" s="1"/>
  <c r="P86" i="2" s="1"/>
  <c r="GN49" i="3"/>
  <c r="GM49" i="3"/>
  <c r="U40" i="3"/>
  <c r="GN38" i="3"/>
  <c r="GM38" i="3"/>
  <c r="GN70" i="3"/>
  <c r="Q34" i="3"/>
  <c r="AD73" i="3" s="1"/>
  <c r="T28" i="2"/>
  <c r="K33" i="2" s="1"/>
  <c r="R34" i="3"/>
  <c r="R31" i="3"/>
  <c r="V41" i="2"/>
  <c r="CZ37" i="3"/>
  <c r="Y37" i="3" s="1"/>
  <c r="T57" i="2" s="1"/>
  <c r="K62" i="2" s="1"/>
  <c r="CY37" i="3"/>
  <c r="X37" i="3" s="1"/>
  <c r="R57" i="2" s="1"/>
  <c r="K61" i="2" s="1"/>
  <c r="K58" i="2"/>
  <c r="GN32" i="3"/>
  <c r="GM44" i="3"/>
  <c r="GN44" i="3"/>
  <c r="F107" i="3"/>
  <c r="AO18" i="3"/>
  <c r="CZ55" i="3"/>
  <c r="Y55" i="3" s="1"/>
  <c r="CY55" i="3"/>
  <c r="X55" i="3" s="1"/>
  <c r="P119" i="3"/>
  <c r="EU18" i="3"/>
  <c r="P40" i="3"/>
  <c r="P122" i="3"/>
  <c r="EM18" i="3"/>
  <c r="GN61" i="3"/>
  <c r="GN25" i="3"/>
  <c r="GM25" i="3"/>
  <c r="I41" i="2"/>
  <c r="X41" i="2" s="1"/>
  <c r="CR31" i="3"/>
  <c r="Q31" i="3" s="1"/>
  <c r="CP31" i="3" s="1"/>
  <c r="O31" i="3" s="1"/>
  <c r="Q40" i="3"/>
  <c r="AB50" i="3"/>
  <c r="P121" i="3"/>
  <c r="J16" i="2" s="1"/>
  <c r="EL18" i="3"/>
  <c r="F91" i="3"/>
  <c r="F16" i="4" s="1"/>
  <c r="F18" i="4" s="1"/>
  <c r="AT103" i="3"/>
  <c r="AT22" i="3"/>
  <c r="R65" i="3"/>
  <c r="P65" i="3"/>
  <c r="GN66" i="3"/>
  <c r="GM66" i="3"/>
  <c r="M8" i="7"/>
  <c r="F15" i="1" s="1"/>
  <c r="E19" i="1" s="1"/>
  <c r="E15" i="1"/>
  <c r="F119" i="3"/>
  <c r="BC18" i="3"/>
  <c r="CR39" i="3"/>
  <c r="Q39" i="3" s="1"/>
  <c r="AB39" i="3"/>
  <c r="I68" i="2"/>
  <c r="CR29" i="3"/>
  <c r="Q29" i="3" s="1"/>
  <c r="I39" i="2"/>
  <c r="AP73" i="3"/>
  <c r="CI73" i="3"/>
  <c r="BY22" i="3"/>
  <c r="GX35" i="3"/>
  <c r="GB73" i="3" s="1"/>
  <c r="U35" i="3"/>
  <c r="DZ73" i="3" s="1"/>
  <c r="EI103" i="3"/>
  <c r="P83" i="3"/>
  <c r="EI22" i="3"/>
  <c r="V65" i="3"/>
  <c r="GN62" i="3"/>
  <c r="GM62" i="3"/>
  <c r="AB59" i="3"/>
  <c r="CR59" i="3"/>
  <c r="Q59" i="3" s="1"/>
  <c r="CP59" i="3" s="1"/>
  <c r="O59" i="3" s="1"/>
  <c r="EP73" i="3"/>
  <c r="FY22" i="3"/>
  <c r="S65" i="3"/>
  <c r="R40" i="3"/>
  <c r="W40" i="3"/>
  <c r="GN58" i="3"/>
  <c r="GM58" i="3"/>
  <c r="GN71" i="3"/>
  <c r="GM71" i="3"/>
  <c r="HD71" i="3" s="1"/>
  <c r="U65" i="3"/>
  <c r="CP56" i="3"/>
  <c r="O56" i="3" s="1"/>
  <c r="GN50" i="3"/>
  <c r="GM50" i="3"/>
  <c r="Q35" i="3"/>
  <c r="W35" i="3"/>
  <c r="EB73" i="3" s="1"/>
  <c r="CP45" i="3"/>
  <c r="O45" i="3" s="1"/>
  <c r="K82" i="2"/>
  <c r="CY53" i="3"/>
  <c r="X53" i="3" s="1"/>
  <c r="V34" i="3"/>
  <c r="AB42" i="3"/>
  <c r="S64" i="3"/>
  <c r="AF73" i="3" s="1"/>
  <c r="P64" i="3"/>
  <c r="CP64" i="3" s="1"/>
  <c r="O64" i="3" s="1"/>
  <c r="GN67" i="3"/>
  <c r="GM67" i="3"/>
  <c r="T64" i="3"/>
  <c r="GN69" i="3"/>
  <c r="GM55" i="3"/>
  <c r="GN55" i="3"/>
  <c r="K71" i="2"/>
  <c r="AQ73" i="3"/>
  <c r="BZ22" i="3"/>
  <c r="CP43" i="3"/>
  <c r="O43" i="3" s="1"/>
  <c r="CY34" i="3"/>
  <c r="X34" i="3" s="1"/>
  <c r="CZ34" i="3"/>
  <c r="Y34" i="3" s="1"/>
  <c r="AU73" i="3"/>
  <c r="CD22" i="3"/>
  <c r="CP33" i="3"/>
  <c r="O33" i="3" s="1"/>
  <c r="GN57" i="3"/>
  <c r="GM57" i="3"/>
  <c r="V64" i="3"/>
  <c r="P116" i="3"/>
  <c r="ET18" i="3"/>
  <c r="Q65" i="3"/>
  <c r="W64" i="3"/>
  <c r="J96" i="2"/>
  <c r="P96" i="2" s="1"/>
  <c r="GM69" i="3"/>
  <c r="HD69" i="3" s="1"/>
  <c r="GE73" i="3" s="1"/>
  <c r="R8" i="7"/>
  <c r="GN51" i="3"/>
  <c r="GM51" i="3"/>
  <c r="S35" i="3"/>
  <c r="R35" i="3"/>
  <c r="W65" i="3"/>
  <c r="P35" i="3"/>
  <c r="CP35" i="3" s="1"/>
  <c r="O35" i="3" s="1"/>
  <c r="CZ54" i="3"/>
  <c r="Y54" i="3" s="1"/>
  <c r="GM54" i="3" s="1"/>
  <c r="CZ41" i="3"/>
  <c r="Y41" i="3" s="1"/>
  <c r="T71" i="2" s="1"/>
  <c r="CY41" i="3"/>
  <c r="X41" i="3" s="1"/>
  <c r="R71" i="2" s="1"/>
  <c r="CY27" i="3"/>
  <c r="X27" i="3" s="1"/>
  <c r="GM27" i="3" s="1"/>
  <c r="CZ27" i="3"/>
  <c r="Y27" i="3" s="1"/>
  <c r="CZ26" i="3"/>
  <c r="Y26" i="3" s="1"/>
  <c r="CY26" i="3"/>
  <c r="X26" i="3" s="1"/>
  <c r="GN26" i="3" s="1"/>
  <c r="H64" i="2"/>
  <c r="O64" i="2" s="1"/>
  <c r="W58" i="2"/>
  <c r="I19" i="2" s="1"/>
  <c r="X64" i="2"/>
  <c r="CZ30" i="3"/>
  <c r="Y30" i="3" s="1"/>
  <c r="CY30" i="3"/>
  <c r="X30" i="3" s="1"/>
  <c r="GM30" i="3" s="1"/>
  <c r="AX73" i="3"/>
  <c r="CG22" i="3"/>
  <c r="CZ40" i="3"/>
  <c r="Y40" i="3" s="1"/>
  <c r="CY40" i="3"/>
  <c r="X40" i="3" s="1"/>
  <c r="CY68" i="3"/>
  <c r="X68" i="3" s="1"/>
  <c r="GN68" i="3" s="1"/>
  <c r="CZ68" i="3"/>
  <c r="Y68" i="3" s="1"/>
  <c r="GM68" i="3" s="1"/>
  <c r="HD68" i="3" s="1"/>
  <c r="CM73" i="3" s="1"/>
  <c r="CR60" i="3"/>
  <c r="Q60" i="3" s="1"/>
  <c r="CP60" i="3" s="1"/>
  <c r="O60" i="3" s="1"/>
  <c r="AB60" i="3"/>
  <c r="U64" i="3"/>
  <c r="R64" i="3"/>
  <c r="T65" i="3"/>
  <c r="GA73" i="3"/>
  <c r="EH73" i="3"/>
  <c r="FQ22" i="3"/>
  <c r="CZ33" i="3"/>
  <c r="Y33" i="3" s="1"/>
  <c r="T47" i="2" s="1"/>
  <c r="CY33" i="3"/>
  <c r="X33" i="3" s="1"/>
  <c r="R47" i="2" s="1"/>
  <c r="K48" i="2"/>
  <c r="GN53" i="3"/>
  <c r="GM53" i="3"/>
  <c r="W34" i="3"/>
  <c r="AJ73" i="3" s="1"/>
  <c r="U34" i="3"/>
  <c r="AH73" i="3" s="1"/>
  <c r="GX34" i="3"/>
  <c r="CJ73" i="3" s="1"/>
  <c r="GN52" i="3"/>
  <c r="GM52" i="3"/>
  <c r="V40" i="3"/>
  <c r="T34" i="3"/>
  <c r="AG73" i="3" s="1"/>
  <c r="T40" i="3"/>
  <c r="R28" i="2"/>
  <c r="K32" i="2" s="1"/>
  <c r="J35" i="2" s="1"/>
  <c r="P35" i="2" s="1"/>
  <c r="GN24" i="3"/>
  <c r="GM24" i="3"/>
  <c r="DN73" i="3" l="1"/>
  <c r="EA22" i="3"/>
  <c r="U73" i="3"/>
  <c r="AH22" i="3"/>
  <c r="S73" i="3"/>
  <c r="AF22" i="3"/>
  <c r="T73" i="3"/>
  <c r="AG22" i="3"/>
  <c r="DL73" i="3"/>
  <c r="DY22" i="3"/>
  <c r="W73" i="3"/>
  <c r="AJ22" i="3"/>
  <c r="BD73" i="3"/>
  <c r="CM22" i="3"/>
  <c r="ES73" i="3"/>
  <c r="GB22" i="3"/>
  <c r="GN59" i="3"/>
  <c r="GM59" i="3"/>
  <c r="AU103" i="3"/>
  <c r="F92" i="3"/>
  <c r="AU22" i="3"/>
  <c r="GN41" i="3"/>
  <c r="GN45" i="3"/>
  <c r="GM45" i="3"/>
  <c r="GN54" i="3"/>
  <c r="AP103" i="3"/>
  <c r="F82" i="3"/>
  <c r="G16" i="4" s="1"/>
  <c r="G18" i="4" s="1"/>
  <c r="AP22" i="3"/>
  <c r="CP40" i="3"/>
  <c r="O40" i="3" s="1"/>
  <c r="GN27" i="3"/>
  <c r="GN30" i="3"/>
  <c r="DO73" i="3"/>
  <c r="EB22" i="3"/>
  <c r="H45" i="2"/>
  <c r="O45" i="2" s="1"/>
  <c r="X45" i="2"/>
  <c r="DM73" i="3"/>
  <c r="DZ22" i="3"/>
  <c r="AX103" i="3"/>
  <c r="F80" i="3"/>
  <c r="AX22" i="3"/>
  <c r="GN43" i="3"/>
  <c r="GM43" i="3"/>
  <c r="K72" i="2"/>
  <c r="DU73" i="3"/>
  <c r="X76" i="2"/>
  <c r="H76" i="2"/>
  <c r="O76" i="2" s="1"/>
  <c r="GN37" i="3"/>
  <c r="DW73" i="3"/>
  <c r="CZ31" i="3"/>
  <c r="Y31" i="3" s="1"/>
  <c r="CY31" i="3"/>
  <c r="X31" i="3" s="1"/>
  <c r="R41" i="2" s="1"/>
  <c r="K42" i="2" s="1"/>
  <c r="AC73" i="3"/>
  <c r="EV73" i="3"/>
  <c r="GE22" i="3"/>
  <c r="P113" i="3"/>
  <c r="EI18" i="3"/>
  <c r="GN35" i="3"/>
  <c r="GM35" i="3"/>
  <c r="K51" i="2"/>
  <c r="K52" i="2"/>
  <c r="GM60" i="3"/>
  <c r="GN60" i="3"/>
  <c r="GN33" i="3"/>
  <c r="GM33" i="3"/>
  <c r="AI73" i="3"/>
  <c r="CP65" i="3"/>
  <c r="O65" i="3" s="1"/>
  <c r="AE73" i="3"/>
  <c r="CP34" i="3"/>
  <c r="O34" i="3" s="1"/>
  <c r="Q73" i="3"/>
  <c r="AD22" i="3"/>
  <c r="GM26" i="3"/>
  <c r="CZ65" i="3"/>
  <c r="Y65" i="3" s="1"/>
  <c r="CY65" i="3"/>
  <c r="X65" i="3" s="1"/>
  <c r="K68" i="2"/>
  <c r="CP39" i="3"/>
  <c r="O39" i="3" s="1"/>
  <c r="K41" i="2"/>
  <c r="H55" i="2"/>
  <c r="O55" i="2" s="1"/>
  <c r="X55" i="2"/>
  <c r="BA73" i="3"/>
  <c r="CJ22" i="3"/>
  <c r="AQ103" i="3"/>
  <c r="F83" i="3"/>
  <c r="AQ22" i="3"/>
  <c r="P82" i="3"/>
  <c r="V16" i="4" s="1"/>
  <c r="V18" i="4" s="1"/>
  <c r="EH103" i="3"/>
  <c r="EH22" i="3"/>
  <c r="CY43" i="3"/>
  <c r="X43" i="3" s="1"/>
  <c r="R72" i="2" s="1"/>
  <c r="K73" i="2" s="1"/>
  <c r="CZ64" i="3"/>
  <c r="Y64" i="3" s="1"/>
  <c r="AL73" i="3" s="1"/>
  <c r="CY64" i="3"/>
  <c r="X64" i="3" s="1"/>
  <c r="GN64" i="3" s="1"/>
  <c r="K39" i="2"/>
  <c r="CP29" i="3"/>
  <c r="O29" i="3" s="1"/>
  <c r="GM37" i="3"/>
  <c r="DV73" i="3"/>
  <c r="CZ35" i="3"/>
  <c r="Y35" i="3" s="1"/>
  <c r="T51" i="2" s="1"/>
  <c r="K53" i="2" s="1"/>
  <c r="CY35" i="3"/>
  <c r="X35" i="3" s="1"/>
  <c r="R51" i="2" s="1"/>
  <c r="DX73" i="3"/>
  <c r="GN56" i="3"/>
  <c r="GM56" i="3"/>
  <c r="EC73" i="3"/>
  <c r="ER73" i="3"/>
  <c r="GA22" i="3"/>
  <c r="GM41" i="3"/>
  <c r="P80" i="3"/>
  <c r="EP103" i="3"/>
  <c r="EP22" i="3"/>
  <c r="AZ73" i="3"/>
  <c r="CI22" i="3"/>
  <c r="F121" i="3"/>
  <c r="AT18" i="3"/>
  <c r="J64" i="2"/>
  <c r="P64" i="2" s="1"/>
  <c r="Y73" i="3" l="1"/>
  <c r="AL22" i="3"/>
  <c r="J55" i="2"/>
  <c r="P55" i="2" s="1"/>
  <c r="R73" i="3"/>
  <c r="AE22" i="3"/>
  <c r="I15" i="2"/>
  <c r="V73" i="3"/>
  <c r="AI22" i="3"/>
  <c r="DJ73" i="3"/>
  <c r="DW22" i="3"/>
  <c r="AK73" i="3"/>
  <c r="F112" i="3"/>
  <c r="AP18" i="3"/>
  <c r="F97" i="3"/>
  <c r="W103" i="3"/>
  <c r="W22" i="3"/>
  <c r="F84" i="3"/>
  <c r="AZ103" i="3"/>
  <c r="AZ22" i="3"/>
  <c r="DK73" i="3"/>
  <c r="DX22" i="3"/>
  <c r="F113" i="3"/>
  <c r="AQ18" i="3"/>
  <c r="P97" i="3"/>
  <c r="DO103" i="3"/>
  <c r="DO22" i="3"/>
  <c r="S103" i="3"/>
  <c r="F88" i="3"/>
  <c r="J16" i="4" s="1"/>
  <c r="J18" i="4" s="1"/>
  <c r="S22" i="3"/>
  <c r="GN65" i="3"/>
  <c r="GM65" i="3"/>
  <c r="T41" i="2"/>
  <c r="K43" i="2" s="1"/>
  <c r="J45" i="2" s="1"/>
  <c r="P45" i="2" s="1"/>
  <c r="ED73" i="3"/>
  <c r="H121" i="2"/>
  <c r="H125" i="2"/>
  <c r="I14" i="2"/>
  <c r="F122" i="3"/>
  <c r="AU18" i="3"/>
  <c r="T103" i="3"/>
  <c r="F94" i="3"/>
  <c r="T22" i="3"/>
  <c r="P110" i="3"/>
  <c r="EP18" i="3"/>
  <c r="F93" i="3"/>
  <c r="H16" i="4" s="1"/>
  <c r="H18" i="4" s="1"/>
  <c r="BA103" i="3"/>
  <c r="BA22" i="3"/>
  <c r="GM31" i="3"/>
  <c r="P94" i="3"/>
  <c r="DL103" i="3"/>
  <c r="DL22" i="3"/>
  <c r="DI73" i="3"/>
  <c r="DV22" i="3"/>
  <c r="GN31" i="3"/>
  <c r="Q103" i="3"/>
  <c r="F85" i="3"/>
  <c r="Q22" i="3"/>
  <c r="F110" i="3"/>
  <c r="AX18" i="3"/>
  <c r="ES103" i="3"/>
  <c r="P93" i="3"/>
  <c r="W16" i="4" s="1"/>
  <c r="W18" i="4" s="1"/>
  <c r="ES22" i="3"/>
  <c r="F95" i="3"/>
  <c r="U103" i="3"/>
  <c r="U22" i="3"/>
  <c r="ER103" i="3"/>
  <c r="P84" i="3"/>
  <c r="ER22" i="3"/>
  <c r="P112" i="3"/>
  <c r="J17" i="2" s="1"/>
  <c r="EH18" i="3"/>
  <c r="GM64" i="3"/>
  <c r="GN39" i="3"/>
  <c r="GM39" i="3"/>
  <c r="EV103" i="3"/>
  <c r="P98" i="3"/>
  <c r="EV22" i="3"/>
  <c r="FX73" i="3"/>
  <c r="FW73" i="3"/>
  <c r="DH73" i="3"/>
  <c r="FZ73" i="3"/>
  <c r="DU22" i="3"/>
  <c r="GN40" i="3"/>
  <c r="GM40" i="3"/>
  <c r="DP73" i="3"/>
  <c r="EC22" i="3"/>
  <c r="GN29" i="3"/>
  <c r="FT73" i="3" s="1"/>
  <c r="GM29" i="3"/>
  <c r="FS73" i="3" s="1"/>
  <c r="DT73" i="3"/>
  <c r="J76" i="2"/>
  <c r="P76" i="2" s="1"/>
  <c r="GN34" i="3"/>
  <c r="CB73" i="3" s="1"/>
  <c r="GM34" i="3"/>
  <c r="CA73" i="3" s="1"/>
  <c r="AB73" i="3"/>
  <c r="CH73" i="3"/>
  <c r="CF73" i="3"/>
  <c r="P73" i="3"/>
  <c r="CE73" i="3"/>
  <c r="AC22" i="3"/>
  <c r="DM103" i="3"/>
  <c r="P95" i="3"/>
  <c r="DM22" i="3"/>
  <c r="BD103" i="3"/>
  <c r="F98" i="3"/>
  <c r="BD22" i="3"/>
  <c r="DN103" i="3"/>
  <c r="P96" i="3"/>
  <c r="DN22" i="3"/>
  <c r="J125" i="2" l="1"/>
  <c r="J121" i="2"/>
  <c r="AR73" i="3"/>
  <c r="CA22" i="3"/>
  <c r="F128" i="3"/>
  <c r="BD18" i="3"/>
  <c r="AW73" i="3"/>
  <c r="CF22" i="3"/>
  <c r="EK73" i="3"/>
  <c r="FT22" i="3"/>
  <c r="EN73" i="3"/>
  <c r="FW22" i="3"/>
  <c r="F123" i="3"/>
  <c r="BA18" i="3"/>
  <c r="X73" i="3"/>
  <c r="AK22" i="3"/>
  <c r="F114" i="3"/>
  <c r="AZ18" i="3"/>
  <c r="F87" i="3"/>
  <c r="R103" i="3"/>
  <c r="R22" i="3"/>
  <c r="AS73" i="3"/>
  <c r="CB22" i="3"/>
  <c r="DQ73" i="3"/>
  <c r="ED22" i="3"/>
  <c r="P127" i="3"/>
  <c r="DO18" i="3"/>
  <c r="DJ103" i="3"/>
  <c r="P87" i="3"/>
  <c r="DJ22" i="3"/>
  <c r="P88" i="3"/>
  <c r="Y16" i="4" s="1"/>
  <c r="Y18" i="4" s="1"/>
  <c r="DK103" i="3"/>
  <c r="DK22" i="3"/>
  <c r="DP103" i="3"/>
  <c r="P99" i="3"/>
  <c r="DP22" i="3"/>
  <c r="DI103" i="3"/>
  <c r="P85" i="3"/>
  <c r="DI22" i="3"/>
  <c r="F118" i="3"/>
  <c r="S18" i="3"/>
  <c r="P125" i="3"/>
  <c r="DM18" i="3"/>
  <c r="P128" i="3"/>
  <c r="EV18" i="3"/>
  <c r="P114" i="3"/>
  <c r="ER18" i="3"/>
  <c r="P124" i="3"/>
  <c r="DL18" i="3"/>
  <c r="AY73" i="3"/>
  <c r="CH22" i="3"/>
  <c r="EO73" i="3"/>
  <c r="FX22" i="3"/>
  <c r="P126" i="3"/>
  <c r="DN18" i="3"/>
  <c r="AV73" i="3"/>
  <c r="CE22" i="3"/>
  <c r="DG73" i="3"/>
  <c r="DT22" i="3"/>
  <c r="EQ73" i="3"/>
  <c r="FZ22" i="3"/>
  <c r="F125" i="3"/>
  <c r="U18" i="3"/>
  <c r="F124" i="3"/>
  <c r="T18" i="3"/>
  <c r="F127" i="3"/>
  <c r="W18" i="3"/>
  <c r="V103" i="3"/>
  <c r="F96" i="3"/>
  <c r="V22" i="3"/>
  <c r="Y103" i="3"/>
  <c r="F100" i="3"/>
  <c r="Y22" i="3"/>
  <c r="O73" i="3"/>
  <c r="AB22" i="3"/>
  <c r="P123" i="3"/>
  <c r="J18" i="2" s="1"/>
  <c r="ES18" i="3"/>
  <c r="P103" i="3"/>
  <c r="F76" i="3"/>
  <c r="P22" i="3"/>
  <c r="EJ73" i="3"/>
  <c r="FS22" i="3"/>
  <c r="DH103" i="3"/>
  <c r="P76" i="3"/>
  <c r="DH22" i="3"/>
  <c r="F115" i="3"/>
  <c r="Q18" i="3"/>
  <c r="AV103" i="3" l="1"/>
  <c r="F78" i="3"/>
  <c r="AV22" i="3"/>
  <c r="P118" i="3"/>
  <c r="DK18" i="3"/>
  <c r="DQ103" i="3"/>
  <c r="P100" i="3"/>
  <c r="DQ22" i="3"/>
  <c r="F130" i="3"/>
  <c r="Y18" i="3"/>
  <c r="F106" i="3"/>
  <c r="P18" i="3"/>
  <c r="F99" i="3"/>
  <c r="X103" i="3"/>
  <c r="X22" i="3"/>
  <c r="EO103" i="3"/>
  <c r="P79" i="3"/>
  <c r="EO22" i="3"/>
  <c r="P117" i="3"/>
  <c r="J19" i="2" s="1"/>
  <c r="DJ18" i="3"/>
  <c r="F117" i="3"/>
  <c r="R18" i="3"/>
  <c r="AS103" i="3"/>
  <c r="F90" i="3"/>
  <c r="E16" i="4" s="1"/>
  <c r="AS22" i="3"/>
  <c r="P115" i="3"/>
  <c r="DI18" i="3"/>
  <c r="P81" i="3"/>
  <c r="EQ103" i="3"/>
  <c r="EQ22" i="3"/>
  <c r="EN103" i="3"/>
  <c r="P78" i="3"/>
  <c r="EN22" i="3"/>
  <c r="F101" i="3"/>
  <c r="AR103" i="3"/>
  <c r="AR22" i="3"/>
  <c r="F126" i="3"/>
  <c r="V18" i="3"/>
  <c r="P106" i="3"/>
  <c r="DH18" i="3"/>
  <c r="F75" i="3"/>
  <c r="O103" i="3"/>
  <c r="O22" i="3"/>
  <c r="P75" i="3"/>
  <c r="DG103" i="3"/>
  <c r="DG22" i="3"/>
  <c r="AY103" i="3"/>
  <c r="F81" i="3"/>
  <c r="AY22" i="3"/>
  <c r="P129" i="3"/>
  <c r="DP18" i="3"/>
  <c r="F79" i="3"/>
  <c r="AW103" i="3"/>
  <c r="AW22" i="3"/>
  <c r="P101" i="3"/>
  <c r="EJ103" i="3"/>
  <c r="EJ22" i="3"/>
  <c r="P90" i="3"/>
  <c r="T16" i="4" s="1"/>
  <c r="EK103" i="3"/>
  <c r="EK22" i="3"/>
  <c r="P131" i="3" l="1"/>
  <c r="EJ18" i="3"/>
  <c r="E18" i="4"/>
  <c r="I16" i="4"/>
  <c r="I18" i="4" s="1"/>
  <c r="P109" i="3"/>
  <c r="EO18" i="3"/>
  <c r="P108" i="3"/>
  <c r="EN18" i="3"/>
  <c r="F129" i="3"/>
  <c r="X18" i="3"/>
  <c r="P130" i="3"/>
  <c r="DQ18" i="3"/>
  <c r="P111" i="3"/>
  <c r="EQ18" i="3"/>
  <c r="P105" i="3"/>
  <c r="DG18" i="3"/>
  <c r="P120" i="3"/>
  <c r="J15" i="2" s="1"/>
  <c r="EK18" i="3"/>
  <c r="F131" i="3"/>
  <c r="AR18" i="3"/>
  <c r="F120" i="3"/>
  <c r="AS18" i="3"/>
  <c r="T18" i="4"/>
  <c r="X16" i="4"/>
  <c r="X18" i="4" s="1"/>
  <c r="F105" i="3"/>
  <c r="O18" i="3"/>
  <c r="F111" i="3"/>
  <c r="AY18" i="3"/>
  <c r="F109" i="3"/>
  <c r="AW18" i="3"/>
  <c r="F108" i="3"/>
  <c r="AV18" i="3"/>
  <c r="F132" i="3" l="1"/>
  <c r="F133" i="3" s="1"/>
  <c r="P132" i="3"/>
  <c r="J128" i="2" s="1"/>
  <c r="J14" i="2"/>
  <c r="P133" i="3" l="1"/>
  <c r="J129" i="2" s="1"/>
</calcChain>
</file>

<file path=xl/sharedStrings.xml><?xml version="1.0" encoding="utf-8"?>
<sst xmlns="http://schemas.openxmlformats.org/spreadsheetml/2006/main" count="2591" uniqueCount="490">
  <si>
    <t>Ресурсная ведомость на</t>
  </si>
  <si>
    <t>Обоснование</t>
  </si>
  <si>
    <t>Наименование</t>
  </si>
  <si>
    <t>Единица измерения</t>
  </si>
  <si>
    <t>Объем</t>
  </si>
  <si>
    <t>Базовая</t>
  </si>
  <si>
    <t>цена</t>
  </si>
  <si>
    <t>стоимость</t>
  </si>
  <si>
    <t>1</t>
  </si>
  <si>
    <t>2</t>
  </si>
  <si>
    <t>3</t>
  </si>
  <si>
    <t>4</t>
  </si>
  <si>
    <t>5</t>
  </si>
  <si>
    <t>6</t>
  </si>
  <si>
    <t xml:space="preserve">Материальные ресурсы </t>
  </si>
  <si>
    <t>101-0287</t>
  </si>
  <si>
    <t>Плитки керамические для полов гладкие неглазурованные одноцветные с красителем квадратные и прямоугольные</t>
  </si>
  <si>
    <t>м2</t>
  </si>
  <si>
    <t>101-0631</t>
  </si>
  <si>
    <t>Опилки древесные</t>
  </si>
  <si>
    <t>м3</t>
  </si>
  <si>
    <t>101-1757</t>
  </si>
  <si>
    <t>Ветошь</t>
  </si>
  <si>
    <t>кг</t>
  </si>
  <si>
    <t>101-2181</t>
  </si>
  <si>
    <t>Шурупы с полукруглой головкой 5х35 мм</t>
  </si>
  <si>
    <t>т</t>
  </si>
  <si>
    <t>201-0822</t>
  </si>
  <si>
    <t>Планка из стального листа толщиной 1 мм</t>
  </si>
  <si>
    <t>401-0091</t>
  </si>
  <si>
    <t>Бетон тяжелый, крупность заполнителя 10 мм, класс В30 (М400)</t>
  </si>
  <si>
    <t>402-0006</t>
  </si>
  <si>
    <t>Раствор готовый кладочный цементный марки 200</t>
  </si>
  <si>
    <t>411-0001</t>
  </si>
  <si>
    <t>Вода</t>
  </si>
  <si>
    <t>Прайс лист СТД "Петрович"</t>
  </si>
  <si>
    <t>Противоскользящий алюминиевый уголок для кромок ступеней (37,5х23х1800)мм. Ц: 429/1,2</t>
  </si>
  <si>
    <t>м</t>
  </si>
  <si>
    <t xml:space="preserve">Итого материальные ресурсы </t>
  </si>
  <si>
    <t>Форма № 4б</t>
  </si>
  <si>
    <t>(наименование стройки и/или объекта)</t>
  </si>
  <si>
    <t>(наименование работ и затрат)</t>
  </si>
  <si>
    <t>В базисном уровне цен</t>
  </si>
  <si>
    <t>В текущем уровне цен</t>
  </si>
  <si>
    <t>Сметная стоимость</t>
  </si>
  <si>
    <t>тыс. руб.</t>
  </si>
  <si>
    <t>Строительные работы</t>
  </si>
  <si>
    <t>Работы по монтажу оборудования</t>
  </si>
  <si>
    <t>Оборудование</t>
  </si>
  <si>
    <t>Прочие работы и затраты</t>
  </si>
  <si>
    <t>Средства на оплату труда</t>
  </si>
  <si>
    <t>Затраты труда</t>
  </si>
  <si>
    <t>чел.-ч.</t>
  </si>
  <si>
    <t>Составлен(а) по ТСН-2001 с учетом Дополнения №: 1</t>
  </si>
  <si>
    <t xml:space="preserve">№ и период сборника коэффициентов (индексов) пересчета: ТСНБ-2001 Московской области (редакция 2014 г) май 2021 года 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</si>
  <si>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</si>
  <si>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</si>
  <si>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</si>
  <si>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</si>
  <si>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</si>
  <si>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изм., руб.</t>
  </si>
  <si>
    <t>Попра-вочные коэффи-
циенты</t>
  </si>
  <si>
    <t>Коэффи-циенты зимних удорожа-ний</t>
  </si>
  <si>
    <t>Всего затрат в базисном уровне цен, руб.</t>
  </si>
  <si>
    <t>Коэффици-енты (индексы) пересчета, нормы НР и СП</t>
  </si>
  <si>
    <t>ВСЕГО затрат в текущем уровне цен, руб.</t>
  </si>
  <si>
    <t>Облицовка ступеней керамогранитными плитками толщиной до 15 мм</t>
  </si>
  <si>
    <t>ЗП</t>
  </si>
  <si>
    <t>ЭМ</t>
  </si>
  <si>
    <t>в т.ч. ЗПМ</t>
  </si>
  <si>
    <t>НР от ЗП</t>
  </si>
  <si>
    <t>%</t>
  </si>
  <si>
    <t>СП от ЗП</t>
  </si>
  <si>
    <t>ЗТР</t>
  </si>
  <si>
    <t>чел-ч</t>
  </si>
  <si>
    <t>Всего по позиции:</t>
  </si>
  <si>
    <t>Разборка покрытий полов из керамических плиток</t>
  </si>
  <si>
    <t>Строительный мусор</t>
  </si>
  <si>
    <t>Разборка покрытий полов цементных</t>
  </si>
  <si>
    <t>Разборка ступеней на сплошном основании</t>
  </si>
  <si>
    <t>Устройство стяжек бетонных толщиной 20 мм</t>
  </si>
  <si>
    <t>МР</t>
  </si>
  <si>
    <t>Бетон тяжелый, крупность заполнителя 10 мм, класс В12,5 (М150)</t>
  </si>
  <si>
    <t>Грунтование водно-дисперсионной грунтовкой "Нортекс-Грунт" поверхностей пористых (камень, кирпич, бетон и т д)</t>
  </si>
  <si>
    <t>Устройство покрытий на цементном растворе из плиток керамических для полов одноцветных с красителем</t>
  </si>
  <si>
    <t>Монтаж стальных плинтусов из гнутого профиля</t>
  </si>
  <si>
    <t>Погрузка при автомобильных перевозках мусора строительного с погрузкой вручную</t>
  </si>
  <si>
    <t>Перевозка грузов I класса автомобилями бортовыми грузоподъемностью до 15 т на расстояние до 26 км</t>
  </si>
  <si>
    <t xml:space="preserve">   Итого по ТСН-2001.16</t>
  </si>
  <si>
    <t xml:space="preserve">   Итого возвратных сумм</t>
  </si>
  <si>
    <t xml:space="preserve">Составил   </t>
  </si>
  <si>
    <t>(должность, подпись, инициалы, фамилия)</t>
  </si>
  <si>
    <t xml:space="preserve">Проверил   </t>
  </si>
  <si>
    <t>Smeta.Cloud  (495) 974-1589</t>
  </si>
  <si>
    <t>_PS_</t>
  </si>
  <si>
    <t>Smeta.Cloud</t>
  </si>
  <si>
    <t>Новый объект</t>
  </si>
  <si>
    <t>7-цветик на ремонт ступеней в здании МАДОУ д-с №7 "Семицветик" г.о. Пущино Московской обл.</t>
  </si>
  <si>
    <t>Сметные нормы списания</t>
  </si>
  <si>
    <t>Коды ценников</t>
  </si>
  <si>
    <t>Московская область ТСНБ-2001 (редакция 2014 г)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</si>
  <si>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</si>
  <si>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</si>
  <si>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</si>
  <si>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Ремонт ступеней</t>
  </si>
  <si>
    <t>15-01-045-1</t>
  </si>
  <si>
    <t>100 м2 поверхности облицовки</t>
  </si>
  <si>
    <t>ТЕР Московской обл., 15-01-045-1, приказ Минстроя России №675/пр от 28.02.2017 № 260/пр</t>
  </si>
  <si>
    <t>Поправка: МДС 81-36.2004, п.3.3.1.а  Наименование: При демонтаже (разборке) сборных бетонных и железобетонных конструкций</t>
  </si>
  <si>
    <t>)*0</t>
  </si>
  <si>
    <t>)*0,8</t>
  </si>
  <si>
    <t>Общестроительные работы</t>
  </si>
  <si>
    <t>Отделочные работы</t>
  </si>
  <si>
    <t>ФЕР-15</t>
  </si>
  <si>
    <t>Поправка: МДС 81-36.2004, п.3.3.1.а</t>
  </si>
  <si>
    <t>1,1</t>
  </si>
  <si>
    <t>203-9007</t>
  </si>
  <si>
    <t>Рейки деревянные</t>
  </si>
  <si>
    <t>ТССЦ Московской обл., 203-9007, приказ Минстроя России №675/пр от 28.02.2017 № 255/пр</t>
  </si>
  <si>
    <t>57-2-3</t>
  </si>
  <si>
    <t>100 м2 покрытия</t>
  </si>
  <si>
    <t>ТЕРр Московской обл., 57-2-3, приказ Минстроя России №675/пр от 28.02.2017 № 263/пр</t>
  </si>
  <si>
    <t>Ремонтно-строительные работы</t>
  </si>
  <si>
    <t>Полы</t>
  </si>
  <si>
    <t>рФЕР-57</t>
  </si>
  <si>
    <t>2,1</t>
  </si>
  <si>
    <t>509-9900</t>
  </si>
  <si>
    <t>ТССЦ Московской обл., 509-9900, приказ Минстроя России №675/пр от 28.02.2017 № 258/пр</t>
  </si>
  <si>
    <t>57-2-4</t>
  </si>
  <si>
    <t>ТЕРр Московской обл., 57-2-4, приказ Минстроя России №675/пр от 28.02.2017 № 263/пр</t>
  </si>
  <si>
    <t>3,1</t>
  </si>
  <si>
    <t>46-04-014-2</t>
  </si>
  <si>
    <t>100 м ступеней</t>
  </si>
  <si>
    <t>ТЕР Московской обл., 46-04-014-2, приказ Минстроя России №675/пр от 28.02.2017 № 260/пр</t>
  </si>
  <si>
    <t>Реконструкция зданий и сооружений</t>
  </si>
  <si>
    <t>ФЕР-46</t>
  </si>
  <si>
    <t>11-01-011-3</t>
  </si>
  <si>
    <t>100 м2 стяжки</t>
  </si>
  <si>
    <t>ТЕР Московской обл., 11-01-011-3, приказ Минстроя России №675/пр от 28.02.2017 № 260/пр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</si>
  <si>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</si>
  <si>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)*1,25</t>
  </si>
  <si>
    <t>)*1,15</t>
  </si>
  <si>
    <t>ФЕР-11</t>
  </si>
  <si>
    <t>Поправка: МДС 81-35.2004, п.4.7</t>
  </si>
  <si>
    <t>6,1</t>
  </si>
  <si>
    <t>401-0085</t>
  </si>
  <si>
    <t>ТССЦ Московской обл., 401-0085, приказ Минстроя России №675/пр от 28.02.2017 № 257/пр</t>
  </si>
  <si>
    <t>6,2</t>
  </si>
  <si>
    <t>ТССЦ Московской обл., 401-0091, приказ Минстроя России №675/пр от 28.02.2017 № 257/пр</t>
  </si>
  <si>
    <t>7</t>
  </si>
  <si>
    <t>15-07-003-2</t>
  </si>
  <si>
    <t>100 м2 обрабатываемой поверхности</t>
  </si>
  <si>
    <t>ТЕР Московской обл., 15-07-003-2, приказ Минстроя России №675/пр от 28.02.2017 № 260/пр</t>
  </si>
  <si>
    <t>8</t>
  </si>
  <si>
    <t>27-07-005-4</t>
  </si>
  <si>
    <t>Резка тротуарной плитки толщиной 70 мм на отрезном станке</t>
  </si>
  <si>
    <t>1 м реза</t>
  </si>
  <si>
    <t>ТЕР Московской обл., 27-07-005-4, приказ Минстроя России №675/пр от 28.02.2017 № 260/пр</t>
  </si>
  <si>
    <t>Автомобильные дороги</t>
  </si>
  <si>
    <t>ФЕР-27</t>
  </si>
  <si>
    <t>9</t>
  </si>
  <si>
    <t>11-01-027-1</t>
  </si>
  <si>
    <t>Устройство покрытий на цементном растворе из плиток бетонных, цементных или мозаичных</t>
  </si>
  <si>
    <t>ТЕР Московской обл., 11-01-027-1, приказ Минстроя России №675/пр от 28.02.2017 № 260/пр</t>
  </si>
  <si>
    <t>9,1</t>
  </si>
  <si>
    <t>403-0104</t>
  </si>
  <si>
    <t>Плиты бетонные и цементно-песчаные для тротуаров, полов и облицовки, марки 300, толщина 35 мм</t>
  </si>
  <si>
    <t>ТССЦ Московской обл., 403-0104, приказ Минстроя России №675/пр от 28.02.2017 № 257/пр</t>
  </si>
  <si>
    <t>9,2</t>
  </si>
  <si>
    <t>ТССЦ Московской обл., 402-0006, приказ Минстроя России №675/пр от 28.02.2017 № 257/пр</t>
  </si>
  <si>
    <t>9,3</t>
  </si>
  <si>
    <t>101-4246</t>
  </si>
  <si>
    <t>Клей для плитки "Атлас Плюс" (сухая смесь)</t>
  </si>
  <si>
    <t>ТССЦ Московской обл., 101-4246, приказ Минстроя России №675/пр от 28.02.2017 № 254/пр</t>
  </si>
  <si>
    <t>9,4</t>
  </si>
  <si>
    <t>403-8809</t>
  </si>
  <si>
    <t>Плитка фигурная тротуарная, серая толщина 30 мм</t>
  </si>
  <si>
    <t>ТССЦ Московской обл., 403-8809, приказ Минстроя России №675/пр от 28.02.2017 № 257/пр</t>
  </si>
  <si>
    <t>9,5</t>
  </si>
  <si>
    <t>101-6446</t>
  </si>
  <si>
    <t>Состав цветной для затирки швов "БИРСС 33"</t>
  </si>
  <si>
    <t>ТССЦ Московской обл., 101-6446, приказ Минстроя России №675/пр от 28.02.2017 № 254/пр</t>
  </si>
  <si>
    <t>10</t>
  </si>
  <si>
    <t>11-01-027-3</t>
  </si>
  <si>
    <t>ТЕР Московской обл., 11-01-027-3, приказ Минстроя России №675/пр от 28.02.2017 № 260/пр</t>
  </si>
  <si>
    <t>12</t>
  </si>
  <si>
    <t>09-03-050-1</t>
  </si>
  <si>
    <t>100 м плинтуса</t>
  </si>
  <si>
    <t>ТЕР Московской обл., 09-03-050-1, приказ Минстроя России №675/пр от 28.02.2017 № 260/пр</t>
  </si>
  <si>
    <t>Металлические конструкции</t>
  </si>
  <si>
    <t>ФЕР-09</t>
  </si>
  <si>
    <t>12,1</t>
  </si>
  <si>
    <t>201-9002</t>
  </si>
  <si>
    <t>Конструкции стальные</t>
  </si>
  <si>
    <t>ТССЦ Московской обл., 201-9002, приказ Минстроя России №675/пр от 28.02.2017 № 255/пр</t>
  </si>
  <si>
    <t>13</t>
  </si>
  <si>
    <t>Материалы строительные</t>
  </si>
  <si>
    <t>Материалы, изделия и конструкции</t>
  </si>
  <si>
    <t>материалы (03)</t>
  </si>
  <si>
    <t>[429 / 1,2]</t>
  </si>
  <si>
    <t>0</t>
  </si>
  <si>
    <t>15</t>
  </si>
  <si>
    <t>т01-01-01-041</t>
  </si>
  <si>
    <t>1 Т ГРУЗА</t>
  </si>
  <si>
    <t>ТССЦпг Московской обл., т01-01-01-041, приказ Минстроя России №675/пр от 28.02.2017 № 261/пр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</si>
  <si>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</si>
  <si>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</si>
  <si>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</si>
  <si>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16</t>
  </si>
  <si>
    <t>т03-01-01-026</t>
  </si>
  <si>
    <t>ТССЦпг Московской обл., т03-01-01-026, приказ Минстроя России №675/пр от 28.02.2017 № 261/пр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</si>
  <si>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</si>
  <si>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</si>
  <si>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</si>
  <si>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</si>
  <si>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</si>
  <si>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</si>
  <si>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</si>
  <si>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</si>
  <si>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</si>
  <si>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</si>
  <si>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</si>
  <si>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</si>
  <si>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</si>
  <si>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</si>
  <si>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</si>
  <si>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</si>
  <si>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</si>
  <si>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</si>
  <si>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</si>
  <si>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</si>
  <si>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</si>
  <si>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</si>
  <si>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</si>
  <si>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</si>
  <si>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</si>
  <si>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</si>
  <si>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</si>
  <si>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</si>
  <si>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</si>
  <si>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</si>
  <si>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</si>
  <si>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</si>
  <si>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</si>
  <si>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</si>
  <si>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</si>
  <si>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</si>
  <si>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</si>
  <si>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</si>
  <si>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</si>
  <si>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</si>
  <si>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</si>
  <si>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</si>
  <si>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</si>
  <si>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</si>
  <si>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</si>
  <si>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</si>
  <si>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</si>
  <si>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</si>
  <si>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</si>
  <si>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</si>
  <si>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</si>
  <si>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</si>
  <si>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</si>
  <si>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</si>
  <si>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</si>
  <si>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</si>
  <si>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</si>
  <si>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</si>
  <si>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</si>
  <si>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Итого с НДС</t>
  </si>
  <si>
    <t>Итого с НДС 20%</t>
  </si>
  <si>
    <t>01</t>
  </si>
  <si>
    <t>Новая переменная</t>
  </si>
  <si>
    <t>02</t>
  </si>
  <si>
    <t>5t5t5t54t</t>
  </si>
  <si>
    <t>Hпотолка</t>
  </si>
  <si>
    <t>Sжил</t>
  </si>
  <si>
    <t>Sкухня</t>
  </si>
  <si>
    <t>Sобщ</t>
  </si>
  <si>
    <t>ОбработкаПотолокКладовка</t>
  </si>
  <si>
    <t>ОбработкаПотолокКоридор</t>
  </si>
  <si>
    <t>ОбработкаСтеныКоридор</t>
  </si>
  <si>
    <t>ОбработкСтеныКладовка</t>
  </si>
  <si>
    <t>Переменная</t>
  </si>
  <si>
    <t>Переменная1</t>
  </si>
  <si>
    <t>Переменная_1</t>
  </si>
  <si>
    <t>Переменная_2</t>
  </si>
  <si>
    <t>ПлощадьПотолокКладовка</t>
  </si>
  <si>
    <t>ПлощадьПотолокКоридор</t>
  </si>
  <si>
    <t>ПлощадьПотолокКоридор1</t>
  </si>
  <si>
    <t>ПлощадьСтеныКладовка</t>
  </si>
  <si>
    <t>ПлощадьСтеныКоридор</t>
  </si>
  <si>
    <t>Сетка_50х50х4</t>
  </si>
  <si>
    <t>Вес 1м2 в кг</t>
  </si>
  <si>
    <t>уголок_50х50х5</t>
  </si>
  <si>
    <t>Вес 1м.пог. в кг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</si>
  <si>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</si>
  <si>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</si>
  <si>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</si>
  <si>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</si>
  <si>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</si>
  <si>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</si>
  <si>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</si>
  <si>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</si>
  <si>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</si>
  <si>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</si>
  <si>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</si>
  <si>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</si>
  <si>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</si>
  <si>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</si>
  <si>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</si>
  <si>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</si>
  <si>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</si>
  <si>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</si>
  <si>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</si>
  <si>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</si>
  <si>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</si>
  <si>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</si>
  <si>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</si>
  <si>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</si>
  <si>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</si>
  <si>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</si>
  <si>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</si>
  <si>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</si>
  <si>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</si>
  <si>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</si>
  <si>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</si>
  <si>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</si>
  <si>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</si>
  <si>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</si>
  <si>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</si>
  <si>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</si>
  <si>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</si>
  <si>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</si>
  <si>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</si>
  <si>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</si>
  <si>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</si>
  <si>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</si>
  <si>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</si>
  <si>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</si>
  <si>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</si>
  <si>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</si>
  <si>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</si>
  <si>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</si>
  <si>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</si>
  <si>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</si>
  <si>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</si>
  <si>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</si>
  <si>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</si>
  <si>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</si>
  <si>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</si>
  <si>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</si>
  <si>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</si>
  <si>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</si>
  <si>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</si>
  <si>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</si>
  <si>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</si>
  <si>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</si>
  <si>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</si>
  <si>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Сборник индексов</t>
  </si>
  <si>
    <t>ТСНБ-2001 Московской области (редакция 2014 г)</t>
  </si>
  <si>
    <t>_OBSM_</t>
  </si>
  <si>
    <t>1-1036-90</t>
  </si>
  <si>
    <t>Рабочий строитель среднего разряда 3,6</t>
  </si>
  <si>
    <t>чел.-ч</t>
  </si>
  <si>
    <t>Затраты труда машинистов</t>
  </si>
  <si>
    <t>чел.час</t>
  </si>
  <si>
    <t>020128</t>
  </si>
  <si>
    <t>ТСЭМ Московской обл., 020128, приказ Минстроя России №675/пр от 28.02.2017 № 264/пр</t>
  </si>
  <si>
    <t>Краны башенные при работе на других видах строительства 5 т</t>
  </si>
  <si>
    <t>маш.-ч</t>
  </si>
  <si>
    <t>021140</t>
  </si>
  <si>
    <t>ТСЭМ Московской обл., 021140, приказ Минстроя России №675/пр от 28.02.2017 № 264/пр</t>
  </si>
  <si>
    <t>Краны на автомобильном ходу при работе на других видах строительства 6,3 т</t>
  </si>
  <si>
    <t>110901</t>
  </si>
  <si>
    <t>ТСЭМ Московской обл., 110901, приказ Минстроя России №675/пр от 28.02.2017 № 264/пр</t>
  </si>
  <si>
    <t>Растворосмесители передвижные 65 л</t>
  </si>
  <si>
    <t>339904</t>
  </si>
  <si>
    <t>ТСЭМ Московской обл., 339904, приказ Минстроя России №675/пр от 28.02.2017 № 264/пр</t>
  </si>
  <si>
    <t>Плиткорез MAKITA RH 4101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</si>
  <si>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</si>
  <si>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</si>
  <si>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</si>
  <si>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101-1971</t>
  </si>
  <si>
    <t>ТССЦ Московской обл., 101-1971, приказ Минстроя России №675/пр от 28.02.2017 № 254/пр</t>
  </si>
  <si>
    <t>Затирка «Старатели» (разной цветности)</t>
  </si>
  <si>
    <t>101-4368</t>
  </si>
  <si>
    <t>ТССЦ Московской обл., 101-4368, приказ Минстроя России №675/пр от 28.02.2017 № 254/пр</t>
  </si>
  <si>
    <t>Клей плиточный «Юнис Гранит»</t>
  </si>
  <si>
    <t>101-4484</t>
  </si>
  <si>
    <t>ТССЦ Московской обл., 101-4484, приказ Минстроя России №675/пр от 28.02.2017 № 254/пр</t>
  </si>
  <si>
    <t>Гранит керамический многоцветный неполированный, размером 300х300х8 мм</t>
  </si>
  <si>
    <t>ТССЦ Московской обл., 411-0001, приказ Минстроя России №675/пр от 28.02.2017 № 257/пр</t>
  </si>
  <si>
    <t>1-1030-90</t>
  </si>
  <si>
    <t>Рабочий строитель среднего разряда 3</t>
  </si>
  <si>
    <t>030954</t>
  </si>
  <si>
    <t>ТСЭМ Московской обл., 030954, приказ Минстроя России №675/пр от 28.02.2017 № 264/пр</t>
  </si>
  <si>
    <t>Подъемники грузоподъемностью до 500 кг одномачтовые, высота подъема 45 м</t>
  </si>
  <si>
    <t>050101</t>
  </si>
  <si>
    <t>ТСЭМ Московской обл., 050101, приказ Минстроя России №675/пр от 28.02.2017 № 264/пр</t>
  </si>
  <si>
    <t>Компрессоры передвижные с двигателем внутреннего сгорания давлением до 686 кПа (7 ат), производительность  до 5 м3/мин</t>
  </si>
  <si>
    <t>330804</t>
  </si>
  <si>
    <t>ТСЭМ Московской обл., 330804, приказ Минстроя России №675/пр от 28.02.2017 № 264/пр</t>
  </si>
  <si>
    <t>Молотки при работе от передвижных компрессорных станций отбойные пневматические</t>
  </si>
  <si>
    <t>1-1020-90</t>
  </si>
  <si>
    <t>Рабочий строитель среднего разряда 2</t>
  </si>
  <si>
    <t>111301</t>
  </si>
  <si>
    <t>ТСЭМ Московской обл., 111301, приказ Минстроя России №675/пр от 28.02.2017 № 264/пр</t>
  </si>
  <si>
    <t>Вибратор поверхностный</t>
  </si>
  <si>
    <t>030952</t>
  </si>
  <si>
    <t>ТСЭМ Московской обл., 030952, приказ Минстроя России №675/пр от 28.02.2017 № 264/пр</t>
  </si>
  <si>
    <t>Подъемники грузоподъемностью до 500 кг одномачтовые, высота подъема 25 м</t>
  </si>
  <si>
    <t>340101</t>
  </si>
  <si>
    <t>ТСЭМ Московской обл., 340101, приказ Минстроя России №675/пр от 28.02.2017 № 264/пр</t>
  </si>
  <si>
    <t>Агрегаты окрасочные высокого давления для окраски поверхностей конструкций мощностью 1 кВт</t>
  </si>
  <si>
    <t>ТССЦ Московской обл., 101-1757, приказ Минстроя России №675/пр от 28.02.2017 № 254/пр</t>
  </si>
  <si>
    <t>1-1050-90</t>
  </si>
  <si>
    <t>Рабочий строитель среднего разряда 5</t>
  </si>
  <si>
    <t>331007</t>
  </si>
  <si>
    <t>ТСЭМ Московской обл., 331007, приказ Минстроя России №675/пр от 28.02.2017 № 264/пр</t>
  </si>
  <si>
    <t>Станок плоско-шлифовальный с крестовым столом и горизонтальным шпинделем высокой точности</t>
  </si>
  <si>
    <t>101-1659</t>
  </si>
  <si>
    <t>ТССЦ Московской обл., 101-1659, приказ Минстроя России №675/пр от 28.02.2017 № 254/пр</t>
  </si>
  <si>
    <t>Диск алмазный для твердых материалов, диаметр 350 мм</t>
  </si>
  <si>
    <t>шт.</t>
  </si>
  <si>
    <t>1-1027-90</t>
  </si>
  <si>
    <t>Рабочий строитель среднего разряда 2,7</t>
  </si>
  <si>
    <t>030101</t>
  </si>
  <si>
    <t>ТСЭМ Московской обл., 030101, приказ Минстроя России №675/пр от 28.02.2017 № 264/пр</t>
  </si>
  <si>
    <t>Автопогрузчики 5 т</t>
  </si>
  <si>
    <t>ТССЦ Московской обл., 101-0631, приказ Минстроя России №675/пр от 28.02.2017 № 254/пр</t>
  </si>
  <si>
    <t>1-1032-90</t>
  </si>
  <si>
    <t>Рабочий строитель среднего разряда 3,2</t>
  </si>
  <si>
    <t>ТССЦ Московской обл., 101-0287, приказ Минстроя России №675/пр от 28.02.2017 № 254/пр</t>
  </si>
  <si>
    <t>1-1037-90</t>
  </si>
  <si>
    <t>Рабочий строитель среднего разряда 3,7</t>
  </si>
  <si>
    <t>330206</t>
  </si>
  <si>
    <t>ТСЭМ Московской обл., 330206, приказ Минстроя России №675/пр от 28.02.2017 № 264/пр</t>
  </si>
  <si>
    <t>Дрели электрические</t>
  </si>
  <si>
    <t>ТССЦ Московской обл., 101-2181, приказ Минстроя России №675/пр от 28.02.2017 № 254/пр</t>
  </si>
  <si>
    <t>ТССЦ Московской обл., 201-0822, приказ Минстроя России №675/пр от 28.02.2017 № 255/пр</t>
  </si>
  <si>
    <t>1-1010-90</t>
  </si>
  <si>
    <t>Рабочий строитель среднего разряда 1</t>
  </si>
  <si>
    <t>400051</t>
  </si>
  <si>
    <t>ТСЭМ Московской обл., 400051, приказ Минстроя России №675/пр от 28.02.2017 № 264/пр</t>
  </si>
  <si>
    <t>Автомобиль-самосвал, грузоподъемность до 7 т</t>
  </si>
  <si>
    <t>400004</t>
  </si>
  <si>
    <t>ТСЭМ Московской обл., 400004, приказ Минстроя России №675/пр от 28.02.2017 № 264/пр</t>
  </si>
  <si>
    <t>Автомобили бортовые, грузоподъемность до 15т</t>
  </si>
  <si>
    <t>101-4163</t>
  </si>
  <si>
    <t>ТССЦ Московской обл., 101-4163, приказ Минстроя России №675/пр от 28.02.2017 № 254/пр</t>
  </si>
  <si>
    <t>Грунтовка акриловая НОРТЕКС-ГРУНТ</t>
  </si>
  <si>
    <t>BuildingFinished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</si>
  <si>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</si>
  <si>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</si>
  <si>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</si>
  <si>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</si>
  <si>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</si>
  <si>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</si>
  <si>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</si>
  <si>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</si>
  <si>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</si>
  <si>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TYPE</t>
  </si>
  <si>
    <t>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</si>
  <si>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</si>
  <si>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</si>
  <si>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</si>
  <si>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</si>
  <si>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</si>
  <si>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</si>
  <si>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</si>
  <si>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</si>
  <si>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</si>
  <si>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</si>
  <si>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</si>
  <si>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</si>
  <si>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</si>
  <si>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</si>
  <si>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</si>
  <si>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</si>
  <si>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</si>
  <si>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</si>
  <si>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</si>
  <si>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</si>
  <si>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</si>
  <si>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МАДОУ д-с №7 "Семицветик" г.о. Пущино Московской обл.</t>
  </si>
  <si>
    <t>Ю.А. Тюрюканов</t>
  </si>
  <si>
    <t>Генеральный директор ООО "ЭТиС"</t>
  </si>
  <si>
    <t>на ремонт ступеней здания МАДОУ д-с №7  "Семицветик"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</si>
</sst>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 &quot;#,##0.00"/>
    <numFmt numFmtId="165" formatCode="#,##0.00####;[Red]&quot;- &quot;#,##0.00####"/>
  </numFmts>
  <fonts count="11" x14ac:knownFonts="1">
    <font>
      <sz val="10"/>
      <name val="Arial"/>
      <charset val="204"/>
    </font>
    <font>
      <b/>
      <sz val="11"/>
      <name val="Arial"/>
      <charset val="204"/>
    </font>
    <font>
      <sz val="11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charset val="204"/>
    </font>
    <font>
      <i/>
      <sz val="11"/>
      <name val="Arial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164" fontId="7" fillId="0" borderId="0" xfId="0" applyNumberFormat="1" applyFont="1"/>
    <xf numFmtId="0" fontId="7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wrapText="1"/>
    </xf>
    <xf numFmtId="165" fontId="2" fillId="0" borderId="6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right" vertical="top" shrinkToFit="1"/>
    </xf>
    <xf numFmtId="0" fontId="2" fillId="0" borderId="0" xfId="0" applyFont="1"/>
    <xf numFmtId="0" fontId="4" fillId="0" borderId="2" xfId="0" applyFont="1" applyBorder="1"/>
    <xf numFmtId="0" fontId="1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top" shrinkToFit="1"/>
    </xf>
    <xf numFmtId="0" fontId="1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I19"/>
  <sheetViews>
    <sheetView zoomScaleNormal="100" workbookViewId="0">
      <selection activeCell="A19" sqref="A19:C19"/>
    </sheetView>
  </sheetViews>
  <sheetFormatPr defaultRowHeight="12.75" x14ac:dyDescent="0.2"/>
  <cols>
    <col min="1" max="1" width="17.85546875" customWidth="1"/>
    <col min="2" max="2" width="45.85546875" customWidth="1"/>
    <col min="3" max="6" width="12.7109375" customWidth="1"/>
    <col min="7" max="59" width="11.42578125"/>
    <col min="60" max="61" width="11.42578125" hidden="1"/>
    <col min="62" max="1025" width="11.42578125"/>
  </cols>
  <sheetData>
    <row r="2" spans="1:60" ht="15.75" customHeight="1" x14ac:dyDescent="0.25">
      <c r="A2" s="35" t="s">
        <v>0</v>
      </c>
      <c r="B2" s="35"/>
      <c r="C2" s="35"/>
      <c r="D2" s="35"/>
      <c r="E2" s="35"/>
      <c r="F2" s="35"/>
    </row>
    <row r="3" spans="1:60" ht="15.75" customHeight="1" x14ac:dyDescent="0.25">
      <c r="A3" s="35" t="str">
        <f>CONCATENATE("Объект: ",IF(Source!G103&lt;&gt;"Новый объект",Source!G103,""))</f>
        <v>Объект: МАДОУ д-с №7 "Семицветик" г.о. Пущино Московской обл.</v>
      </c>
      <c r="B3" s="35"/>
      <c r="C3" s="35"/>
      <c r="D3" s="35"/>
      <c r="E3" s="35"/>
      <c r="F3" s="35"/>
    </row>
    <row r="4" spans="1:60" ht="14.65" customHeight="1" x14ac:dyDescent="0.2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/>
    </row>
    <row r="5" spans="1:60" x14ac:dyDescent="0.2">
      <c r="A5" s="39"/>
      <c r="B5" s="39"/>
      <c r="C5" s="39"/>
      <c r="D5" s="39"/>
      <c r="E5" s="39"/>
      <c r="F5" s="39"/>
    </row>
    <row r="6" spans="1:60" ht="14.25" x14ac:dyDescent="0.2">
      <c r="A6" s="39"/>
      <c r="B6" s="39"/>
      <c r="C6" s="39"/>
      <c r="D6" s="39"/>
      <c r="E6" s="1" t="s">
        <v>6</v>
      </c>
      <c r="F6" s="1" t="s">
        <v>7</v>
      </c>
    </row>
    <row r="7" spans="1:60" x14ac:dyDescent="0.2">
      <c r="A7" s="2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</row>
    <row r="8" spans="1:60" ht="15.75" customHeight="1" x14ac:dyDescent="0.25">
      <c r="A8" s="35" t="str">
        <f>CONCATENATE("Локальная смета: ",IF(Source!G22&lt;&gt;"Новая локальная смета",Source!G22,""))</f>
        <v>Локальная смета: Ремонт ступеней</v>
      </c>
      <c r="B8" s="35"/>
      <c r="C8" s="35"/>
      <c r="D8" s="35"/>
      <c r="E8" s="35"/>
      <c r="F8" s="35"/>
    </row>
    <row r="9" spans="1:60" ht="15" x14ac:dyDescent="0.25">
      <c r="A9" s="36" t="s">
        <v>14</v>
      </c>
      <c r="B9" s="36"/>
      <c r="C9" s="36"/>
      <c r="D9" s="36"/>
      <c r="E9" s="36"/>
      <c r="F9" s="36"/>
    </row>
    <row r="10" spans="1:60" ht="42.75" x14ac:dyDescent="0.2">
      <c r="A10" s="3" t="s">
        <v>15</v>
      </c>
      <c r="B10" s="3" t="s">
        <v>16</v>
      </c>
      <c r="C10" s="4" t="s">
        <v>17</v>
      </c>
      <c r="D10" s="4">
        <f>ROUND(SUMIF(RV_DATA!V7:V17,2044264839,RV_DATA!I7:I17),6)</f>
        <v>54.366</v>
      </c>
      <c r="E10" s="5">
        <f>ROUND(RV_DATA!K14,6)</f>
        <v>67.8</v>
      </c>
      <c r="F10" s="5">
        <f>ROUND(SUMIF(RV_DATA!V7:V17,2044264839,RV_DATA!M7:M17),6)</f>
        <v>3686.01</v>
      </c>
      <c r="BH10">
        <v>3</v>
      </c>
    </row>
    <row r="11" spans="1:60" ht="14.25" x14ac:dyDescent="0.2">
      <c r="A11" s="3" t="s">
        <v>18</v>
      </c>
      <c r="B11" s="3" t="s">
        <v>19</v>
      </c>
      <c r="C11" s="4" t="s">
        <v>20</v>
      </c>
      <c r="D11" s="4">
        <f>ROUND(SUMIF(RV_DATA!V7:V17,-1204782694,RV_DATA!I7:I17),6)</f>
        <v>1.6309800000000001</v>
      </c>
      <c r="E11" s="5">
        <f>ROUND(RV_DATA!K13,6)</f>
        <v>34.92</v>
      </c>
      <c r="F11" s="5">
        <f>ROUND(SUMIF(RV_DATA!V7:V17,-1204782694,RV_DATA!M7:M17),6)</f>
        <v>56.96</v>
      </c>
      <c r="BH11">
        <v>3</v>
      </c>
    </row>
    <row r="12" spans="1:60" ht="14.25" x14ac:dyDescent="0.2">
      <c r="A12" s="3" t="s">
        <v>21</v>
      </c>
      <c r="B12" s="3" t="s">
        <v>22</v>
      </c>
      <c r="C12" s="4" t="s">
        <v>23</v>
      </c>
      <c r="D12" s="4">
        <f>ROUND(SUMIF(RV_DATA!V7:V17,1271853717,RV_DATA!I7:I17),6)</f>
        <v>0.53300000000000003</v>
      </c>
      <c r="E12" s="5">
        <f>ROUND(RV_DATA!K10,6)</f>
        <v>1.81</v>
      </c>
      <c r="F12" s="5">
        <f>ROUND(SUMIF(RV_DATA!V7:V17,1271853717,RV_DATA!M7:M17),6)</f>
        <v>0.96</v>
      </c>
      <c r="BH12">
        <v>3</v>
      </c>
    </row>
    <row r="13" spans="1:60" ht="14.25" x14ac:dyDescent="0.2">
      <c r="A13" s="3" t="s">
        <v>24</v>
      </c>
      <c r="B13" s="3" t="s">
        <v>25</v>
      </c>
      <c r="C13" s="4" t="s">
        <v>26</v>
      </c>
      <c r="D13" s="4">
        <f>ROUND(SUMIF(RV_DATA!V7:V17,977854419,RV_DATA!I7:I17),6)</f>
        <v>3.79E-4</v>
      </c>
      <c r="E13" s="5">
        <f>ROUND(RV_DATA!K16,6)</f>
        <v>12429.99</v>
      </c>
      <c r="F13" s="5">
        <f>ROUND(SUMIF(RV_DATA!V7:V17,977854419,RV_DATA!M7:M17),6)</f>
        <v>4.71</v>
      </c>
      <c r="BH13">
        <v>3</v>
      </c>
    </row>
    <row r="14" spans="1:60" ht="14.25" x14ac:dyDescent="0.2">
      <c r="A14" s="3" t="s">
        <v>27</v>
      </c>
      <c r="B14" s="3" t="s">
        <v>28</v>
      </c>
      <c r="C14" s="4" t="s">
        <v>26</v>
      </c>
      <c r="D14" s="4">
        <f>ROUND(SUMIF(RV_DATA!V7:V17,-656418590,RV_DATA!I7:I17),6)</f>
        <v>2.0200000000000001E-3</v>
      </c>
      <c r="E14" s="5">
        <f>ROUND(RV_DATA!K15,6)</f>
        <v>6820</v>
      </c>
      <c r="F14" s="5">
        <f>ROUND(SUMIF(RV_DATA!V7:V17,-656418590,RV_DATA!M7:M17),6)</f>
        <v>13.78</v>
      </c>
      <c r="BH14">
        <v>3</v>
      </c>
    </row>
    <row r="15" spans="1:60" ht="28.5" x14ac:dyDescent="0.2">
      <c r="A15" s="3" t="s">
        <v>29</v>
      </c>
      <c r="B15" s="3" t="s">
        <v>30</v>
      </c>
      <c r="C15" s="4" t="s">
        <v>20</v>
      </c>
      <c r="D15" s="4">
        <f>ROUND(SUMIF(RV_DATA!V7:V17,-1905837483,RV_DATA!I7:I17),6)</f>
        <v>1.0873200000000001</v>
      </c>
      <c r="E15" s="5">
        <f>ROUND(RV_DATA!K8,6)</f>
        <v>853.35</v>
      </c>
      <c r="F15" s="5">
        <f>ROUND(SUMIF(RV_DATA!V7:V17,-1905837483,RV_DATA!M7:M17),6)</f>
        <v>927.86</v>
      </c>
      <c r="BH15">
        <v>3</v>
      </c>
    </row>
    <row r="16" spans="1:60" ht="28.5" x14ac:dyDescent="0.2">
      <c r="A16" s="3" t="s">
        <v>31</v>
      </c>
      <c r="B16" s="3" t="s">
        <v>32</v>
      </c>
      <c r="C16" s="4" t="s">
        <v>20</v>
      </c>
      <c r="D16" s="4">
        <f>ROUND(SUMIF(RV_DATA!V7:V17,-1800525916,RV_DATA!I7:I17),6)</f>
        <v>0.69289999999999996</v>
      </c>
      <c r="E16" s="5">
        <f>ROUND(RV_DATA!K12,6)</f>
        <v>600</v>
      </c>
      <c r="F16" s="5">
        <f>ROUND(SUMIF(RV_DATA!V7:V17,-1800525916,RV_DATA!M7:M17),6)</f>
        <v>415.74</v>
      </c>
      <c r="BH16">
        <v>3</v>
      </c>
    </row>
    <row r="17" spans="1:60" ht="14.25" x14ac:dyDescent="0.2">
      <c r="A17" s="3" t="s">
        <v>33</v>
      </c>
      <c r="B17" s="3" t="s">
        <v>34</v>
      </c>
      <c r="C17" s="4" t="s">
        <v>20</v>
      </c>
      <c r="D17" s="4">
        <f>ROUND(SUMIF(RV_DATA!V7:V17,1962984545,RV_DATA!I7:I17),6)</f>
        <v>3.9228800000000001</v>
      </c>
      <c r="E17" s="5">
        <f>ROUND(RV_DATA!K7,6)</f>
        <v>2.44</v>
      </c>
      <c r="F17" s="5">
        <f>ROUND(SUMIF(RV_DATA!V7:V17,1962984545,RV_DATA!M7:M17),6)</f>
        <v>9.56</v>
      </c>
      <c r="BH17">
        <v>3</v>
      </c>
    </row>
    <row r="18" spans="1:60" ht="42.75" x14ac:dyDescent="0.2">
      <c r="A18" s="3" t="s">
        <v>35</v>
      </c>
      <c r="B18" s="3" t="s">
        <v>36</v>
      </c>
      <c r="C18" s="4" t="s">
        <v>37</v>
      </c>
      <c r="D18" s="4">
        <f>ROUND(SUMIF(RV_DATA!V7:V17,-860910929,RV_DATA!I7:I17),6)</f>
        <v>50.5</v>
      </c>
      <c r="E18" s="5">
        <f>ROUND(RV_DATA!K17,6)</f>
        <v>357.5</v>
      </c>
      <c r="F18" s="5">
        <f>ROUND(SUMIF(RV_DATA!V7:V17,-860910929,RV_DATA!M7:M17),6)</f>
        <v>18053.75</v>
      </c>
      <c r="BH18">
        <v>3</v>
      </c>
    </row>
    <row r="19" spans="1:60" ht="15" x14ac:dyDescent="0.25">
      <c r="A19" s="37" t="s">
        <v>38</v>
      </c>
      <c r="B19" s="37"/>
      <c r="C19" s="37"/>
      <c r="D19" s="6"/>
      <c r="E19" s="38">
        <f>SUMIF(BH10:BH18,3,F10:F18)</f>
        <v>23169.33</v>
      </c>
      <c r="F19" s="38"/>
    </row>
  </sheetData>
  <mergeCells count="11">
    <mergeCell ref="A8:F8"/>
    <mergeCell ref="A9:F9"/>
    <mergeCell ref="A19:C19"/>
    <mergeCell ref="E19:F19"/>
    <mergeCell ref="A2:F2"/>
    <mergeCell ref="A3:F3"/>
    <mergeCell ref="A4:A6"/>
    <mergeCell ref="B4:B6"/>
    <mergeCell ref="C4:C6"/>
    <mergeCell ref="D4:D6"/>
    <mergeCell ref="E4:F5"/>
  </mergeCells>
  <pageMargins left="0.39374999999999999" right="0.196527777777778" top="0.196527777777778" bottom="0.46180555555555602" header="0.51180555555555496" footer="0.196527777777778"/>
  <pageSetup paperSize="9" scale="90" firstPageNumber="0" orientation="portrait" horizontalDpi="300" verticalDpi="300"/>
  <headerFoot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37"/>
  <sheetViews>
    <sheetView tabSelected="1" zoomScaleNormal="100" workbookViewId="0">
      <selection activeCell="A8" sqref="A8:K8"/>
    </sheetView>
  </sheetViews>
  <sheetFormatPr defaultRowHeight="12.75" x14ac:dyDescent="0.2"/>
  <cols>
    <col min="1" max="1" width="6.5703125" customWidth="1"/>
    <col min="2" max="2" width="17.85546875" customWidth="1"/>
    <col min="3" max="3" width="45.85546875" customWidth="1"/>
    <col min="4" max="4" width="11.42578125"/>
    <col min="5" max="6" width="12.7109375" customWidth="1"/>
    <col min="7" max="7" width="17.85546875" customWidth="1"/>
    <col min="8" max="10" width="12.7109375" customWidth="1"/>
    <col min="11" max="13" width="11.42578125"/>
    <col min="14" max="32" width="11.42578125" hidden="1"/>
    <col min="33" max="1025" width="11.42578125"/>
  </cols>
  <sheetData>
    <row r="1" spans="1:11" x14ac:dyDescent="0.2">
      <c r="A1" s="7" t="str">
        <f>Source!B1</f>
        <v>Smeta.Cloud  (495) 974-1589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9" t="s">
        <v>39</v>
      </c>
    </row>
    <row r="3" spans="1:11" ht="17.100000000000001" customHeight="1" x14ac:dyDescent="0.25">
      <c r="A3" s="40" t="str">
        <f>IF(Source!G12&lt;&gt;"Новый объект",Source!G12,"")</f>
        <v>МАДОУ д-с №7 "Семицветик" г.о. Пущино Московской обл.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4.65" customHeight="1" x14ac:dyDescent="0.2">
      <c r="A4" s="41" t="s">
        <v>40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4.2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7.100000000000001" customHeight="1" x14ac:dyDescent="0.25">
      <c r="A6" s="40" t="str">
        <f>CONCATENATE("ЛОКАЛЬНАЯ СМЕТА № ",IF(Source!F12&lt;&gt;"Новый объект",Source!F12,""))</f>
        <v xml:space="preserve">ЛОКАЛЬНАЯ СМЕТА № 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4.2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9.350000000000001" customHeight="1" x14ac:dyDescent="0.25">
      <c r="A8" s="40" t="s">
        <v>489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14.65" customHeight="1" x14ac:dyDescent="0.2">
      <c r="A9" s="42" t="s">
        <v>41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4.2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5.75" customHeight="1" x14ac:dyDescent="0.2">
      <c r="A11" s="43" t="str">
        <f>CONCATENATE("Основание: чертежи № ",Source!J12)</f>
        <v xml:space="preserve">Основание: чертежи № 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14.2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8.5" x14ac:dyDescent="0.2">
      <c r="A13" s="8"/>
      <c r="B13" s="8"/>
      <c r="C13" s="8"/>
      <c r="D13" s="8"/>
      <c r="E13" s="8"/>
      <c r="F13" s="8"/>
      <c r="G13" s="8"/>
      <c r="H13" s="8"/>
      <c r="I13" s="11" t="s">
        <v>42</v>
      </c>
      <c r="J13" s="11" t="s">
        <v>43</v>
      </c>
      <c r="K13" s="8"/>
    </row>
    <row r="14" spans="1:11" ht="15.75" customHeight="1" x14ac:dyDescent="0.25">
      <c r="A14" s="8"/>
      <c r="B14" s="8"/>
      <c r="C14" s="8"/>
      <c r="D14" s="8"/>
      <c r="E14" s="8"/>
      <c r="F14" s="44" t="s">
        <v>44</v>
      </c>
      <c r="G14" s="44"/>
      <c r="H14" s="44"/>
      <c r="I14" s="12">
        <f>SUM(O1:O127)/1000</f>
        <v>29.871020000000005</v>
      </c>
      <c r="J14" s="12">
        <f>(Source!P131)/1000</f>
        <v>270.99930999999998</v>
      </c>
      <c r="K14" s="13" t="s">
        <v>45</v>
      </c>
    </row>
    <row r="15" spans="1:11" ht="15.75" customHeight="1" x14ac:dyDescent="0.2">
      <c r="A15" s="8"/>
      <c r="B15" s="8"/>
      <c r="C15" s="8"/>
      <c r="D15" s="8"/>
      <c r="E15" s="8"/>
      <c r="F15" s="45" t="s">
        <v>46</v>
      </c>
      <c r="G15" s="45"/>
      <c r="H15" s="45"/>
      <c r="I15" s="14">
        <f>SUM(X1:X127)/1000</f>
        <v>29.871020000000005</v>
      </c>
      <c r="J15" s="14">
        <f>(Source!P120)/1000</f>
        <v>270.99930999999998</v>
      </c>
      <c r="K15" s="8" t="s">
        <v>45</v>
      </c>
    </row>
    <row r="16" spans="1:11" ht="15.75" customHeight="1" x14ac:dyDescent="0.2">
      <c r="A16" s="8"/>
      <c r="B16" s="8"/>
      <c r="C16" s="8"/>
      <c r="D16" s="8"/>
      <c r="E16" s="8"/>
      <c r="F16" s="45" t="s">
        <v>47</v>
      </c>
      <c r="G16" s="45"/>
      <c r="H16" s="45"/>
      <c r="I16" s="14">
        <f>SUM(Y1:Y127)/1000</f>
        <v>0</v>
      </c>
      <c r="J16" s="14">
        <f>(Source!P121)/1000</f>
        <v>0</v>
      </c>
      <c r="K16" s="8" t="s">
        <v>45</v>
      </c>
    </row>
    <row r="17" spans="1:23" ht="15.75" customHeight="1" x14ac:dyDescent="0.2">
      <c r="A17" s="8"/>
      <c r="B17" s="8"/>
      <c r="C17" s="8"/>
      <c r="D17" s="8"/>
      <c r="E17" s="8"/>
      <c r="F17" s="45" t="s">
        <v>48</v>
      </c>
      <c r="G17" s="45"/>
      <c r="H17" s="45"/>
      <c r="I17" s="14">
        <f>SUM(Z1:Z127)/1000</f>
        <v>0</v>
      </c>
      <c r="J17" s="14">
        <f>(Source!P112)/1000</f>
        <v>0</v>
      </c>
      <c r="K17" s="8" t="s">
        <v>45</v>
      </c>
    </row>
    <row r="18" spans="1:23" ht="15.75" customHeight="1" x14ac:dyDescent="0.2">
      <c r="A18" s="8"/>
      <c r="B18" s="8"/>
      <c r="C18" s="8"/>
      <c r="D18" s="8"/>
      <c r="E18" s="8"/>
      <c r="F18" s="45" t="s">
        <v>49</v>
      </c>
      <c r="G18" s="45"/>
      <c r="H18" s="45"/>
      <c r="I18" s="14">
        <f>SUM(AA1:AA127)/1000</f>
        <v>0</v>
      </c>
      <c r="J18" s="14">
        <f>(Source!P122+Source!P123)/1000</f>
        <v>0</v>
      </c>
      <c r="K18" s="8" t="s">
        <v>45</v>
      </c>
    </row>
    <row r="19" spans="1:23" ht="14.25" x14ac:dyDescent="0.2">
      <c r="A19" s="8"/>
      <c r="B19" s="8"/>
      <c r="C19" s="8"/>
      <c r="D19" s="8"/>
      <c r="E19" s="8"/>
      <c r="F19" s="45" t="s">
        <v>50</v>
      </c>
      <c r="G19" s="45"/>
      <c r="H19" s="45"/>
      <c r="I19" s="14">
        <f>SUM(W1:W127)/1000</f>
        <v>2.3040099999999999</v>
      </c>
      <c r="J19" s="14">
        <f>(Source!P117+Source!P118)/1000</f>
        <v>76.842989999999986</v>
      </c>
      <c r="K19" s="8" t="s">
        <v>45</v>
      </c>
    </row>
    <row r="20" spans="1:23" ht="14.25" x14ac:dyDescent="0.2">
      <c r="A20" s="8"/>
      <c r="B20" s="8"/>
      <c r="C20" s="8"/>
      <c r="D20" s="8"/>
      <c r="E20" s="8"/>
      <c r="F20" s="45" t="s">
        <v>51</v>
      </c>
      <c r="G20" s="45"/>
      <c r="H20" s="45"/>
      <c r="I20" s="14">
        <f>SUM(AB1:AB127)</f>
        <v>250.0861147</v>
      </c>
      <c r="J20" s="14"/>
      <c r="K20" s="8" t="s">
        <v>52</v>
      </c>
    </row>
    <row r="21" spans="1:23" ht="14.25" x14ac:dyDescent="0.2">
      <c r="A21" s="8"/>
      <c r="B21" s="8"/>
      <c r="C21" s="8"/>
      <c r="D21" s="8"/>
      <c r="E21" s="8"/>
      <c r="F21" s="15"/>
      <c r="G21" s="15"/>
      <c r="H21" s="15"/>
      <c r="I21" s="14"/>
      <c r="J21" s="14"/>
      <c r="K21" s="8"/>
    </row>
    <row r="22" spans="1:23" ht="14.25" x14ac:dyDescent="0.2">
      <c r="A22" s="8" t="s">
        <v>53</v>
      </c>
      <c r="B22" s="8"/>
      <c r="C22" s="8"/>
      <c r="D22" s="8"/>
      <c r="E22" s="8"/>
      <c r="F22" s="15"/>
      <c r="G22" s="15"/>
      <c r="H22" s="15"/>
      <c r="I22" s="14"/>
      <c r="J22" s="14"/>
      <c r="K22" s="8"/>
    </row>
    <row r="23" spans="1:23" ht="15.75" customHeight="1" x14ac:dyDescent="0.2">
      <c r="A23" s="43" t="s">
        <v>54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23" ht="85.5" x14ac:dyDescent="0.2">
      <c r="A24" s="16" t="s">
        <v>55</v>
      </c>
      <c r="B24" s="16" t="s">
        <v>56</v>
      </c>
      <c r="C24" s="16" t="s">
        <v>57</v>
      </c>
      <c r="D24" s="16" t="s">
        <v>58</v>
      </c>
      <c r="E24" s="16" t="s">
        <v>59</v>
      </c>
      <c r="F24" s="16" t="s">
        <v>60</v>
      </c>
      <c r="G24" s="17" t="s">
        <v>61</v>
      </c>
      <c r="H24" s="17" t="s">
        <v>62</v>
      </c>
      <c r="I24" s="16" t="s">
        <v>63</v>
      </c>
      <c r="J24" s="16" t="s">
        <v>64</v>
      </c>
      <c r="K24" s="16" t="s">
        <v>65</v>
      </c>
    </row>
    <row r="25" spans="1:23" ht="14.25" x14ac:dyDescent="0.2">
      <c r="A25" s="16">
        <v>1</v>
      </c>
      <c r="B25" s="16">
        <v>2</v>
      </c>
      <c r="C25" s="16">
        <v>3</v>
      </c>
      <c r="D25" s="16">
        <v>4</v>
      </c>
      <c r="E25" s="16">
        <v>5</v>
      </c>
      <c r="F25" s="16">
        <v>6</v>
      </c>
      <c r="G25" s="16">
        <v>7</v>
      </c>
      <c r="H25" s="16">
        <v>8</v>
      </c>
      <c r="I25" s="16">
        <v>9</v>
      </c>
      <c r="J25" s="16">
        <v>10</v>
      </c>
      <c r="K25" s="16">
        <v>11</v>
      </c>
    </row>
    <row r="27" spans="1:23" ht="16.5" x14ac:dyDescent="0.2">
      <c r="A27" s="46" t="str">
        <f>CONCATENATE("Локальная смета: ",IF(Source!G20&lt;&gt;"Новая локальная смета",Source!G20,""))</f>
        <v>Локальная смета: Ремонт ступеней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23" ht="57" x14ac:dyDescent="0.2">
      <c r="A28" s="18" t="str">
        <f>IF(Source!E25&lt;&gt;"",Source!E25,"")</f>
        <v>1</v>
      </c>
      <c r="B28" s="18" t="str">
        <f>IF(Source!F25&lt;&gt;"",Source!F25,"")</f>
        <v>15-01-045-1</v>
      </c>
      <c r="C28" s="19" t="s">
        <v>66</v>
      </c>
      <c r="D28" s="20" t="str">
        <f>IF(Source!H25&lt;&gt;"",Source!H25,"")</f>
        <v>100 м2 поверхности облицовки</v>
      </c>
      <c r="E28" s="20">
        <f>Source!I25</f>
        <v>6.5000000000000002E-2</v>
      </c>
      <c r="F28" s="21"/>
      <c r="G28" s="20"/>
      <c r="H28" s="20"/>
      <c r="I28" s="22"/>
      <c r="J28" s="20" t="str">
        <f>IF(Source!BO25&lt;&gt;"",Source!BO25,"")</f>
        <v>15-01-045-1</v>
      </c>
      <c r="K28" s="22"/>
      <c r="Q28">
        <f>ROUND((Source!BZ25/100)*ROUND(ROUND(Source!AF25*Source!I25,2),2),2)</f>
        <v>189.55</v>
      </c>
      <c r="R28">
        <f>Source!X25</f>
        <v>6384.5</v>
      </c>
      <c r="S28">
        <f>ROUND((Source!CA25/100)*ROUND(ROUND(Source!AF25*Source!I25,2),2),2)</f>
        <v>99.29</v>
      </c>
      <c r="T28">
        <f>Source!Y25</f>
        <v>3344.26</v>
      </c>
      <c r="U28">
        <f>ROUND((175/100)*ROUND(ROUND(Source!AE25*Source!I25,2),2),2)</f>
        <v>2.1</v>
      </c>
      <c r="V28">
        <f>ROUND((0/100)*ROUND(Source!CS25*Source!I25,2),2)</f>
        <v>0</v>
      </c>
    </row>
    <row r="29" spans="1:23" ht="14.25" x14ac:dyDescent="0.2">
      <c r="A29" s="18"/>
      <c r="B29" s="18"/>
      <c r="C29" s="19" t="s">
        <v>67</v>
      </c>
      <c r="D29" s="20"/>
      <c r="E29" s="20"/>
      <c r="F29" s="21">
        <f>Source!AO25</f>
        <v>3471.6</v>
      </c>
      <c r="G29" s="20" t="str">
        <f>IF(Source!DG25&lt;&gt;"",Source!DG25," ")</f>
        <v>)*0,8</v>
      </c>
      <c r="H29" s="20">
        <f>Source!AV25</f>
        <v>1</v>
      </c>
      <c r="I29" s="22">
        <f>ROUND(Source!AF25*Source!I25,2)</f>
        <v>180.52</v>
      </c>
      <c r="J29" s="20">
        <f>IF(Source!BA25&lt;&gt;0,Source!BA25,1)</f>
        <v>33.46</v>
      </c>
      <c r="K29" s="22">
        <f>Source!S25</f>
        <v>6040.31</v>
      </c>
      <c r="W29">
        <f>I29</f>
        <v>180.52</v>
      </c>
    </row>
    <row r="30" spans="1:23" ht="14.25" x14ac:dyDescent="0.2">
      <c r="A30" s="18"/>
      <c r="B30" s="18"/>
      <c r="C30" s="19" t="s">
        <v>68</v>
      </c>
      <c r="D30" s="20"/>
      <c r="E30" s="20"/>
      <c r="F30" s="21">
        <f>Source!AM25</f>
        <v>72.989999999999995</v>
      </c>
      <c r="G30" s="20" t="str">
        <f>IF(Source!DE25&lt;&gt;"",Source!DE25," ")</f>
        <v>)*0,8</v>
      </c>
      <c r="H30" s="20">
        <f>Source!AV25</f>
        <v>1</v>
      </c>
      <c r="I30" s="22">
        <f>ROUND(Source!AD25*Source!I25,2)</f>
        <v>3.8</v>
      </c>
      <c r="J30" s="20">
        <f>IF(Source!BB25&lt;&gt;0,Source!BB25,1)</f>
        <v>15.78</v>
      </c>
      <c r="K30" s="22">
        <f>Source!Q25</f>
        <v>59.89</v>
      </c>
    </row>
    <row r="31" spans="1:23" ht="14.25" x14ac:dyDescent="0.2">
      <c r="A31" s="18"/>
      <c r="B31" s="18"/>
      <c r="C31" s="19" t="s">
        <v>69</v>
      </c>
      <c r="D31" s="20"/>
      <c r="E31" s="20"/>
      <c r="F31" s="21">
        <f>Source!AN25</f>
        <v>23.09</v>
      </c>
      <c r="G31" s="20" t="str">
        <f>IF(Source!DF25&lt;&gt;"",Source!DF25," ")</f>
        <v>)*0,8</v>
      </c>
      <c r="H31" s="20">
        <f>Source!AV25</f>
        <v>1</v>
      </c>
      <c r="I31" s="23">
        <f>ROUND(Source!AE25*Source!I25,2)</f>
        <v>1.2</v>
      </c>
      <c r="J31" s="20">
        <f>IF(Source!BS25&lt;&gt;0,Source!BS25,1)</f>
        <v>33.46</v>
      </c>
      <c r="K31" s="23">
        <f>Source!R25</f>
        <v>40.17</v>
      </c>
      <c r="W31">
        <f>I31</f>
        <v>1.2</v>
      </c>
    </row>
    <row r="32" spans="1:23" ht="14.25" x14ac:dyDescent="0.2">
      <c r="A32" s="18"/>
      <c r="B32" s="18"/>
      <c r="C32" s="19" t="s">
        <v>70</v>
      </c>
      <c r="D32" s="20" t="s">
        <v>71</v>
      </c>
      <c r="E32" s="20">
        <f>Source!BZ25</f>
        <v>105</v>
      </c>
      <c r="F32" s="21"/>
      <c r="G32" s="20"/>
      <c r="H32" s="20"/>
      <c r="I32" s="22">
        <f>SUM(Q28:Q31)</f>
        <v>189.55</v>
      </c>
      <c r="J32" s="20">
        <f>Source!AT25</f>
        <v>105</v>
      </c>
      <c r="K32" s="22">
        <f>SUM(R28:R31)</f>
        <v>6384.5</v>
      </c>
    </row>
    <row r="33" spans="1:28" ht="14.25" x14ac:dyDescent="0.2">
      <c r="A33" s="18"/>
      <c r="B33" s="18"/>
      <c r="C33" s="19" t="s">
        <v>72</v>
      </c>
      <c r="D33" s="20" t="s">
        <v>71</v>
      </c>
      <c r="E33" s="20">
        <f>Source!CA25</f>
        <v>55</v>
      </c>
      <c r="F33" s="21"/>
      <c r="G33" s="20"/>
      <c r="H33" s="20"/>
      <c r="I33" s="22">
        <f>SUM(S28:S32)</f>
        <v>99.29</v>
      </c>
      <c r="J33" s="20">
        <f>Source!AU25</f>
        <v>55</v>
      </c>
      <c r="K33" s="22">
        <f>SUM(T28:T32)</f>
        <v>3344.26</v>
      </c>
    </row>
    <row r="34" spans="1:28" ht="14.25" x14ac:dyDescent="0.2">
      <c r="A34" s="24"/>
      <c r="B34" s="24"/>
      <c r="C34" s="25" t="s">
        <v>73</v>
      </c>
      <c r="D34" s="26" t="s">
        <v>74</v>
      </c>
      <c r="E34" s="26">
        <f>Source!AQ25</f>
        <v>378.17</v>
      </c>
      <c r="F34" s="27"/>
      <c r="G34" s="26" t="str">
        <f>IF(Source!DI25&lt;&gt;"",Source!DI25," ")</f>
        <v>)*0,8</v>
      </c>
      <c r="H34" s="26">
        <f>Source!AV25</f>
        <v>1</v>
      </c>
      <c r="I34" s="28">
        <f>Source!U25</f>
        <v>19.664840000000002</v>
      </c>
      <c r="J34" s="26"/>
      <c r="K34" s="28"/>
      <c r="AB34">
        <f>I34</f>
        <v>19.664840000000002</v>
      </c>
    </row>
    <row r="35" spans="1:28" ht="15" x14ac:dyDescent="0.2">
      <c r="A35" s="29"/>
      <c r="B35" s="30"/>
      <c r="C35" s="31" t="s">
        <v>75</v>
      </c>
      <c r="D35" s="31"/>
      <c r="E35" s="31"/>
      <c r="F35" s="31"/>
      <c r="G35" s="31"/>
      <c r="H35" s="47">
        <f>I29+I30+I32+I33</f>
        <v>473.16</v>
      </c>
      <c r="I35" s="47"/>
      <c r="J35" s="47">
        <f>K29+K30+K32+K33</f>
        <v>15828.960000000001</v>
      </c>
      <c r="K35" s="47"/>
      <c r="O35">
        <f>H35</f>
        <v>473.16</v>
      </c>
      <c r="P35">
        <f>J35</f>
        <v>15828.960000000001</v>
      </c>
      <c r="X35">
        <f>IF(Source!BI25&lt;=1,I29+I30+I32+I33-0,0)</f>
        <v>473.16</v>
      </c>
      <c r="Y35">
        <f>IF(Source!BI25=2,I29+I30+I32+I33-0,0)</f>
        <v>0</v>
      </c>
      <c r="Z35">
        <f>IF(Source!BI25=3,I29+I30+I32+I33-0,0)</f>
        <v>0</v>
      </c>
      <c r="AA35">
        <f>IF(Source!BI25=4,I29+I30+I32+I33,0)</f>
        <v>0</v>
      </c>
    </row>
    <row r="37" spans="1:28" ht="28.5" x14ac:dyDescent="0.2">
      <c r="A37" s="18" t="str">
        <f>IF(Source!E29&lt;&gt;"",Source!E29,"")</f>
        <v>2</v>
      </c>
      <c r="B37" s="18" t="str">
        <f>IF(Source!F29&lt;&gt;"",Source!F29,"")</f>
        <v>57-2-3</v>
      </c>
      <c r="C37" s="19" t="s">
        <v>76</v>
      </c>
      <c r="D37" s="20" t="str">
        <f>IF(Source!H29&lt;&gt;"",Source!H29,"")</f>
        <v>100 м2 покрытия</v>
      </c>
      <c r="E37" s="20">
        <f>Source!I29</f>
        <v>0.46800000000000003</v>
      </c>
      <c r="F37" s="21"/>
      <c r="G37" s="20"/>
      <c r="H37" s="20"/>
      <c r="I37" s="22"/>
      <c r="J37" s="20" t="str">
        <f>IF(Source!BO29&lt;&gt;"",Source!BO29,"")</f>
        <v>57-2-3</v>
      </c>
      <c r="K37" s="22"/>
      <c r="Q37">
        <f>ROUND((Source!BZ29/100)*ROUND(ROUND(Source!AF29*Source!I29,2),2),2)</f>
        <v>223.14</v>
      </c>
      <c r="R37">
        <f>Source!X29</f>
        <v>7709.75</v>
      </c>
      <c r="S37">
        <f>ROUND((Source!CA29/100)*ROUND(ROUND(Source!AF29*Source!I29,2),2),2)</f>
        <v>189.67</v>
      </c>
      <c r="T37">
        <f>Source!Y29</f>
        <v>6553.29</v>
      </c>
      <c r="U37">
        <f>ROUND((175/100)*ROUND(ROUND(Source!AE29*Source!I29,2),2),2)</f>
        <v>15.93</v>
      </c>
      <c r="V37">
        <f>ROUND((0/100)*ROUND(Source!CS29*Source!I29,2),2)</f>
        <v>0</v>
      </c>
    </row>
    <row r="38" spans="1:28" ht="14.25" x14ac:dyDescent="0.2">
      <c r="A38" s="18"/>
      <c r="B38" s="18"/>
      <c r="C38" s="19" t="s">
        <v>67</v>
      </c>
      <c r="D38" s="20"/>
      <c r="E38" s="20"/>
      <c r="F38" s="21">
        <f>Source!AO29</f>
        <v>595.99</v>
      </c>
      <c r="G38" s="20" t="str">
        <f>IF(Source!DG29&lt;&gt;"",Source!DG29," ")</f>
        <v xml:space="preserve"> </v>
      </c>
      <c r="H38" s="20">
        <f>Source!AV29</f>
        <v>1</v>
      </c>
      <c r="I38" s="22">
        <f>ROUND(Source!AF29*Source!I29,2)</f>
        <v>278.92</v>
      </c>
      <c r="J38" s="20">
        <f>IF(Source!BA29&lt;&gt;0,Source!BA29,1)</f>
        <v>33.46</v>
      </c>
      <c r="K38" s="22">
        <f>Source!S29</f>
        <v>9332.77</v>
      </c>
      <c r="W38">
        <f>I38</f>
        <v>278.92</v>
      </c>
    </row>
    <row r="39" spans="1:28" ht="14.25" x14ac:dyDescent="0.2">
      <c r="A39" s="18"/>
      <c r="B39" s="18"/>
      <c r="C39" s="19" t="s">
        <v>68</v>
      </c>
      <c r="D39" s="20"/>
      <c r="E39" s="20"/>
      <c r="F39" s="21">
        <f>Source!AM29</f>
        <v>45.01</v>
      </c>
      <c r="G39" s="20" t="str">
        <f>IF(Source!DE29&lt;&gt;"",Source!DE29," ")</f>
        <v xml:space="preserve"> </v>
      </c>
      <c r="H39" s="20">
        <f>Source!AV29</f>
        <v>1</v>
      </c>
      <c r="I39" s="22">
        <f>ROUND(Source!AD29*Source!I29,2)</f>
        <v>21.06</v>
      </c>
      <c r="J39" s="20">
        <f>IF(Source!BB29&lt;&gt;0,Source!BB29,1)</f>
        <v>14.93</v>
      </c>
      <c r="K39" s="22">
        <f>Source!Q29</f>
        <v>314.5</v>
      </c>
    </row>
    <row r="40" spans="1:28" ht="14.25" x14ac:dyDescent="0.2">
      <c r="A40" s="18"/>
      <c r="B40" s="18"/>
      <c r="C40" s="19" t="s">
        <v>69</v>
      </c>
      <c r="D40" s="20"/>
      <c r="E40" s="20"/>
      <c r="F40" s="21">
        <f>Source!AN29</f>
        <v>19.440000000000001</v>
      </c>
      <c r="G40" s="20" t="str">
        <f>IF(Source!DF29&lt;&gt;"",Source!DF29," ")</f>
        <v xml:space="preserve"> </v>
      </c>
      <c r="H40" s="20">
        <f>Source!AV29</f>
        <v>1</v>
      </c>
      <c r="I40" s="23">
        <f>ROUND(Source!AE29*Source!I29,2)</f>
        <v>9.1</v>
      </c>
      <c r="J40" s="20">
        <f>IF(Source!BS29&lt;&gt;0,Source!BS29,1)</f>
        <v>33.46</v>
      </c>
      <c r="K40" s="23">
        <f>Source!R29</f>
        <v>304.42</v>
      </c>
      <c r="W40">
        <f>I40</f>
        <v>9.1</v>
      </c>
    </row>
    <row r="41" spans="1:28" ht="14.25" x14ac:dyDescent="0.2">
      <c r="A41" s="18" t="str">
        <f>IF(Source!E31&lt;&gt;"",Source!E31,"")</f>
        <v>2,1</v>
      </c>
      <c r="B41" s="18" t="str">
        <f>IF(Source!F31&lt;&gt;"",Source!F31,"")</f>
        <v>509-9900</v>
      </c>
      <c r="C41" s="19" t="s">
        <v>77</v>
      </c>
      <c r="D41" s="20" t="str">
        <f>IF(Source!H31&lt;&gt;"",Source!H31,"")</f>
        <v>т</v>
      </c>
      <c r="E41" s="20">
        <f>Source!I31</f>
        <v>2.4336000000000002</v>
      </c>
      <c r="F41" s="21">
        <f>Source!AK31</f>
        <v>0</v>
      </c>
      <c r="G41" s="20"/>
      <c r="H41" s="20">
        <f>Source!AW31</f>
        <v>1</v>
      </c>
      <c r="I41" s="22">
        <f>ROUND(Source!AC31*Source!I31,2)+ROUND(Source!AD31*Source!I31,2)+ROUND(Source!AF31*Source!I31,2)</f>
        <v>0</v>
      </c>
      <c r="J41" s="20">
        <f>IF(Source!BC31&lt;&gt;0,Source!BC31,1)</f>
        <v>1</v>
      </c>
      <c r="K41" s="22">
        <f>Source!O31</f>
        <v>0</v>
      </c>
      <c r="Q41">
        <f>ROUND((Source!BZ31/100)*ROUND(ROUND(Source!AF31*Source!I31,2),2),2)</f>
        <v>0</v>
      </c>
      <c r="R41">
        <f>Source!X31</f>
        <v>0</v>
      </c>
      <c r="S41">
        <f>ROUND((Source!CA31/100)*ROUND(ROUND(Source!AF31*Source!I31,2),2),2)</f>
        <v>0</v>
      </c>
      <c r="T41">
        <f>Source!Y31</f>
        <v>0</v>
      </c>
      <c r="U41">
        <f>ROUND((175/100)*ROUND(ROUND(Source!AE31*Source!I31,2),2),2)</f>
        <v>0</v>
      </c>
      <c r="V41">
        <f>ROUND((0/100)*ROUND(Source!CS31*Source!I31,2),2)</f>
        <v>0</v>
      </c>
      <c r="X41">
        <f>IF(Source!BI31&lt;=1,I41,0)</f>
        <v>0</v>
      </c>
      <c r="Y41">
        <f>IF(Source!BI31=2,I41,0)</f>
        <v>0</v>
      </c>
      <c r="Z41">
        <f>IF(Source!BI31=3,I41,0)</f>
        <v>0</v>
      </c>
      <c r="AA41">
        <f>IF(Source!BI31=4,I41,0)</f>
        <v>0</v>
      </c>
    </row>
    <row r="42" spans="1:28" ht="14.25" x14ac:dyDescent="0.2">
      <c r="A42" s="18"/>
      <c r="B42" s="18"/>
      <c r="C42" s="19" t="s">
        <v>70</v>
      </c>
      <c r="D42" s="20" t="s">
        <v>71</v>
      </c>
      <c r="E42" s="20">
        <f>Source!BZ29</f>
        <v>80</v>
      </c>
      <c r="F42" s="21"/>
      <c r="G42" s="20"/>
      <c r="H42" s="20"/>
      <c r="I42" s="22">
        <f>SUM(Q37:Q41)</f>
        <v>223.14</v>
      </c>
      <c r="J42" s="20">
        <f>Source!AT29</f>
        <v>80</v>
      </c>
      <c r="K42" s="22">
        <f>SUM(R37:R41)</f>
        <v>7709.75</v>
      </c>
    </row>
    <row r="43" spans="1:28" ht="14.25" x14ac:dyDescent="0.2">
      <c r="A43" s="18"/>
      <c r="B43" s="18"/>
      <c r="C43" s="19" t="s">
        <v>72</v>
      </c>
      <c r="D43" s="20" t="s">
        <v>71</v>
      </c>
      <c r="E43" s="20">
        <f>Source!CA29</f>
        <v>68</v>
      </c>
      <c r="F43" s="21"/>
      <c r="G43" s="20"/>
      <c r="H43" s="20"/>
      <c r="I43" s="22">
        <f>SUM(S37:S42)</f>
        <v>189.67</v>
      </c>
      <c r="J43" s="20">
        <f>Source!AU29</f>
        <v>68</v>
      </c>
      <c r="K43" s="22">
        <f>SUM(T37:T42)</f>
        <v>6553.29</v>
      </c>
    </row>
    <row r="44" spans="1:28" ht="14.25" x14ac:dyDescent="0.2">
      <c r="A44" s="24"/>
      <c r="B44" s="24"/>
      <c r="C44" s="25" t="s">
        <v>73</v>
      </c>
      <c r="D44" s="26" t="s">
        <v>74</v>
      </c>
      <c r="E44" s="26">
        <f>Source!AQ29</f>
        <v>69.87</v>
      </c>
      <c r="F44" s="27"/>
      <c r="G44" s="26" t="str">
        <f>IF(Source!DI29&lt;&gt;"",Source!DI29," ")</f>
        <v xml:space="preserve"> </v>
      </c>
      <c r="H44" s="26">
        <f>Source!AV29</f>
        <v>1</v>
      </c>
      <c r="I44" s="28">
        <f>Source!U29</f>
        <v>32.699160000000006</v>
      </c>
      <c r="J44" s="26"/>
      <c r="K44" s="28"/>
      <c r="AB44">
        <f>I44</f>
        <v>32.699160000000006</v>
      </c>
    </row>
    <row r="45" spans="1:28" ht="15" x14ac:dyDescent="0.2">
      <c r="A45" s="29"/>
      <c r="B45" s="30"/>
      <c r="C45" s="31" t="s">
        <v>75</v>
      </c>
      <c r="D45" s="31"/>
      <c r="E45" s="31"/>
      <c r="F45" s="31"/>
      <c r="G45" s="31"/>
      <c r="H45" s="47">
        <f>I38+I39+I42+I43+SUM(I41:I41)</f>
        <v>712.79</v>
      </c>
      <c r="I45" s="47"/>
      <c r="J45" s="47">
        <f>K38+K39+K42+K43+SUM(K41:K41)</f>
        <v>23910.31</v>
      </c>
      <c r="K45" s="47"/>
      <c r="O45">
        <f>H45</f>
        <v>712.79</v>
      </c>
      <c r="P45">
        <f>J45</f>
        <v>23910.31</v>
      </c>
      <c r="X45">
        <f>IF(Source!BI29&lt;=1,I38+I39+I42+I43-0,0)</f>
        <v>712.79</v>
      </c>
      <c r="Y45">
        <f>IF(Source!BI29=2,I38+I39+I42+I43-0,0)</f>
        <v>0</v>
      </c>
      <c r="Z45">
        <f>IF(Source!BI29=3,I38+I39+I42+I43-0,0)</f>
        <v>0</v>
      </c>
      <c r="AA45">
        <f>IF(Source!BI29=4,I38+I39+I42+I43,0)</f>
        <v>0</v>
      </c>
    </row>
    <row r="47" spans="1:28" ht="28.5" x14ac:dyDescent="0.2">
      <c r="A47" s="18" t="str">
        <f>IF(Source!E33&lt;&gt;"",Source!E33,"")</f>
        <v>3</v>
      </c>
      <c r="B47" s="18" t="str">
        <f>IF(Source!F33&lt;&gt;"",Source!F33,"")</f>
        <v>57-2-4</v>
      </c>
      <c r="C47" s="19" t="s">
        <v>78</v>
      </c>
      <c r="D47" s="20" t="str">
        <f>IF(Source!H33&lt;&gt;"",Source!H33,"")</f>
        <v>100 м2 покрытия</v>
      </c>
      <c r="E47" s="20">
        <f>Source!I33</f>
        <v>0.46800000000000003</v>
      </c>
      <c r="F47" s="21"/>
      <c r="G47" s="20"/>
      <c r="H47" s="20"/>
      <c r="I47" s="22"/>
      <c r="J47" s="20" t="str">
        <f>IF(Source!BO33&lt;&gt;"",Source!BO33,"")</f>
        <v>57-2-4</v>
      </c>
      <c r="K47" s="22"/>
      <c r="Q47">
        <f>ROUND((Source!BZ33/100)*ROUND(ROUND(Source!AF33*Source!I33,2),2),2)</f>
        <v>355.14</v>
      </c>
      <c r="R47">
        <f>Source!X33</f>
        <v>14605.59</v>
      </c>
      <c r="S47">
        <f>ROUND((Source!CA33/100)*ROUND(ROUND(Source!AF33*Source!I33,2),2),2)</f>
        <v>301.87</v>
      </c>
      <c r="T47">
        <f>Source!Y33</f>
        <v>12414.75</v>
      </c>
      <c r="U47">
        <f>ROUND((175/100)*ROUND(ROUND(Source!AE33*Source!I33,2),2),2)</f>
        <v>178.01</v>
      </c>
      <c r="V47">
        <f>ROUND((0/100)*ROUND(Source!CS33*Source!I33,2),2)</f>
        <v>0</v>
      </c>
    </row>
    <row r="48" spans="1:28" ht="14.25" x14ac:dyDescent="0.2">
      <c r="A48" s="18"/>
      <c r="B48" s="18"/>
      <c r="C48" s="19" t="s">
        <v>67</v>
      </c>
      <c r="D48" s="20"/>
      <c r="E48" s="20"/>
      <c r="F48" s="21">
        <f>Source!AO33</f>
        <v>948.54</v>
      </c>
      <c r="G48" s="20" t="str">
        <f>IF(Source!DG33&lt;&gt;"",Source!DG33," ")</f>
        <v xml:space="preserve"> </v>
      </c>
      <c r="H48" s="20">
        <f>Source!AV33</f>
        <v>1</v>
      </c>
      <c r="I48" s="22">
        <f>ROUND(Source!AF33*Source!I33,2)</f>
        <v>443.92</v>
      </c>
      <c r="J48" s="20">
        <f>IF(Source!BA33&lt;&gt;0,Source!BA33,1)</f>
        <v>33.46</v>
      </c>
      <c r="K48" s="22">
        <f>Source!S33</f>
        <v>14853.45</v>
      </c>
      <c r="W48">
        <f>I48</f>
        <v>443.92</v>
      </c>
    </row>
    <row r="49" spans="1:28" ht="14.25" x14ac:dyDescent="0.2">
      <c r="A49" s="18"/>
      <c r="B49" s="18"/>
      <c r="C49" s="19" t="s">
        <v>68</v>
      </c>
      <c r="D49" s="20"/>
      <c r="E49" s="20"/>
      <c r="F49" s="21">
        <f>Source!AM33</f>
        <v>1008.97</v>
      </c>
      <c r="G49" s="20" t="str">
        <f>IF(Source!DE33&lt;&gt;"",Source!DE33," ")</f>
        <v xml:space="preserve"> </v>
      </c>
      <c r="H49" s="20">
        <f>Source!AV33</f>
        <v>1</v>
      </c>
      <c r="I49" s="22">
        <f>ROUND(Source!AD33*Source!I33,2)</f>
        <v>472.2</v>
      </c>
      <c r="J49" s="20">
        <f>IF(Source!BB33&lt;&gt;0,Source!BB33,1)</f>
        <v>11.28</v>
      </c>
      <c r="K49" s="22">
        <f>Source!Q33</f>
        <v>5326.39</v>
      </c>
    </row>
    <row r="50" spans="1:28" ht="14.25" x14ac:dyDescent="0.2">
      <c r="A50" s="18"/>
      <c r="B50" s="18"/>
      <c r="C50" s="19" t="s">
        <v>69</v>
      </c>
      <c r="D50" s="20"/>
      <c r="E50" s="20"/>
      <c r="F50" s="21">
        <f>Source!AN33</f>
        <v>217.35</v>
      </c>
      <c r="G50" s="20" t="str">
        <f>IF(Source!DF33&lt;&gt;"",Source!DF33," ")</f>
        <v xml:space="preserve"> </v>
      </c>
      <c r="H50" s="20">
        <f>Source!AV33</f>
        <v>1</v>
      </c>
      <c r="I50" s="23">
        <f>ROUND(Source!AE33*Source!I33,2)</f>
        <v>101.72</v>
      </c>
      <c r="J50" s="20">
        <f>IF(Source!BS33&lt;&gt;0,Source!BS33,1)</f>
        <v>33.46</v>
      </c>
      <c r="K50" s="23">
        <f>Source!R33</f>
        <v>3403.54</v>
      </c>
      <c r="W50">
        <f>I50</f>
        <v>101.72</v>
      </c>
    </row>
    <row r="51" spans="1:28" ht="14.25" x14ac:dyDescent="0.2">
      <c r="A51" s="18" t="str">
        <f>IF(Source!E35&lt;&gt;"",Source!E35,"")</f>
        <v>3,1</v>
      </c>
      <c r="B51" s="18" t="str">
        <f>IF(Source!F35&lt;&gt;"",Source!F35,"")</f>
        <v>509-9900</v>
      </c>
      <c r="C51" s="19" t="s">
        <v>77</v>
      </c>
      <c r="D51" s="20" t="str">
        <f>IF(Source!H35&lt;&gt;"",Source!H35,"")</f>
        <v>т</v>
      </c>
      <c r="E51" s="20">
        <f>Source!I35</f>
        <v>3.0888</v>
      </c>
      <c r="F51" s="21">
        <f>Source!AK35</f>
        <v>0</v>
      </c>
      <c r="G51" s="20"/>
      <c r="H51" s="20">
        <f>Source!AW35</f>
        <v>1</v>
      </c>
      <c r="I51" s="22">
        <f>ROUND(Source!AC35*Source!I35,2)+ROUND(Source!AD35*Source!I35,2)+ROUND(Source!AF35*Source!I35,2)</f>
        <v>0</v>
      </c>
      <c r="J51" s="20">
        <f>IF(Source!BC35&lt;&gt;0,Source!BC35,1)</f>
        <v>1</v>
      </c>
      <c r="K51" s="22">
        <f>Source!O35</f>
        <v>0</v>
      </c>
      <c r="Q51">
        <f>ROUND((Source!BZ35/100)*ROUND(ROUND(Source!AF35*Source!I35,2),2),2)</f>
        <v>0</v>
      </c>
      <c r="R51">
        <f>Source!X35</f>
        <v>0</v>
      </c>
      <c r="S51">
        <f>ROUND((Source!CA35/100)*ROUND(ROUND(Source!AF35*Source!I35,2),2),2)</f>
        <v>0</v>
      </c>
      <c r="T51">
        <f>Source!Y35</f>
        <v>0</v>
      </c>
      <c r="U51">
        <f>ROUND((175/100)*ROUND(ROUND(Source!AE35*Source!I35,2),2),2)</f>
        <v>0</v>
      </c>
      <c r="V51">
        <f>ROUND((0/100)*ROUND(Source!CS35*Source!I35,2),2)</f>
        <v>0</v>
      </c>
      <c r="X51">
        <f>IF(Source!BI35&lt;=1,I51,0)</f>
        <v>0</v>
      </c>
      <c r="Y51">
        <f>IF(Source!BI35=2,I51,0)</f>
        <v>0</v>
      </c>
      <c r="Z51">
        <f>IF(Source!BI35=3,I51,0)</f>
        <v>0</v>
      </c>
      <c r="AA51">
        <f>IF(Source!BI35=4,I51,0)</f>
        <v>0</v>
      </c>
    </row>
    <row r="52" spans="1:28" ht="14.25" x14ac:dyDescent="0.2">
      <c r="A52" s="18"/>
      <c r="B52" s="18"/>
      <c r="C52" s="19" t="s">
        <v>70</v>
      </c>
      <c r="D52" s="20" t="s">
        <v>71</v>
      </c>
      <c r="E52" s="20">
        <f>Source!BZ33</f>
        <v>80</v>
      </c>
      <c r="F52" s="21"/>
      <c r="G52" s="20"/>
      <c r="H52" s="20"/>
      <c r="I52" s="22">
        <f>SUM(Q47:Q51)</f>
        <v>355.14</v>
      </c>
      <c r="J52" s="20">
        <f>Source!AT33</f>
        <v>80</v>
      </c>
      <c r="K52" s="22">
        <f>SUM(R47:R51)</f>
        <v>14605.59</v>
      </c>
    </row>
    <row r="53" spans="1:28" ht="14.25" x14ac:dyDescent="0.2">
      <c r="A53" s="18"/>
      <c r="B53" s="18"/>
      <c r="C53" s="19" t="s">
        <v>72</v>
      </c>
      <c r="D53" s="20" t="s">
        <v>71</v>
      </c>
      <c r="E53" s="20">
        <f>Source!CA33</f>
        <v>68</v>
      </c>
      <c r="F53" s="21"/>
      <c r="G53" s="20"/>
      <c r="H53" s="20"/>
      <c r="I53" s="22">
        <f>SUM(S47:S52)</f>
        <v>301.87</v>
      </c>
      <c r="J53" s="20">
        <f>Source!AU33</f>
        <v>68</v>
      </c>
      <c r="K53" s="22">
        <f>SUM(T47:T52)</f>
        <v>12414.75</v>
      </c>
    </row>
    <row r="54" spans="1:28" ht="14.25" x14ac:dyDescent="0.2">
      <c r="A54" s="24"/>
      <c r="B54" s="24"/>
      <c r="C54" s="25" t="s">
        <v>73</v>
      </c>
      <c r="D54" s="26" t="s">
        <v>74</v>
      </c>
      <c r="E54" s="26">
        <f>Source!AQ33</f>
        <v>111.2</v>
      </c>
      <c r="F54" s="27"/>
      <c r="G54" s="26" t="str">
        <f>IF(Source!DI33&lt;&gt;"",Source!DI33," ")</f>
        <v xml:space="preserve"> </v>
      </c>
      <c r="H54" s="26">
        <f>Source!AV33</f>
        <v>1</v>
      </c>
      <c r="I54" s="28">
        <f>Source!U33</f>
        <v>52.041600000000003</v>
      </c>
      <c r="J54" s="26"/>
      <c r="K54" s="28"/>
      <c r="AB54">
        <f>I54</f>
        <v>52.041600000000003</v>
      </c>
    </row>
    <row r="55" spans="1:28" ht="15" x14ac:dyDescent="0.2">
      <c r="A55" s="29"/>
      <c r="B55" s="30"/>
      <c r="C55" s="31" t="s">
        <v>75</v>
      </c>
      <c r="D55" s="31"/>
      <c r="E55" s="31"/>
      <c r="F55" s="31"/>
      <c r="G55" s="31"/>
      <c r="H55" s="47">
        <f>I48+I49+I52+I53+SUM(I51:I51)</f>
        <v>1573.13</v>
      </c>
      <c r="I55" s="47"/>
      <c r="J55" s="47">
        <f>K48+K49+K52+K53+SUM(K51:K51)</f>
        <v>47200.18</v>
      </c>
      <c r="K55" s="47"/>
      <c r="O55">
        <f>H55</f>
        <v>1573.13</v>
      </c>
      <c r="P55">
        <f>J55</f>
        <v>47200.18</v>
      </c>
      <c r="X55">
        <f>IF(Source!BI33&lt;=1,I48+I49+I52+I53-0,0)</f>
        <v>1573.13</v>
      </c>
      <c r="Y55">
        <f>IF(Source!BI33=2,I48+I49+I52+I53-0,0)</f>
        <v>0</v>
      </c>
      <c r="Z55">
        <f>IF(Source!BI33=3,I48+I49+I52+I53-0,0)</f>
        <v>0</v>
      </c>
      <c r="AA55">
        <f>IF(Source!BI33=4,I48+I49+I52+I53,0)</f>
        <v>0</v>
      </c>
    </row>
    <row r="57" spans="1:28" ht="28.5" x14ac:dyDescent="0.2">
      <c r="A57" s="18" t="str">
        <f>IF(Source!E37&lt;&gt;"",Source!E37,"")</f>
        <v>5</v>
      </c>
      <c r="B57" s="18" t="str">
        <f>IF(Source!F37&lt;&gt;"",Source!F37,"")</f>
        <v>46-04-014-2</v>
      </c>
      <c r="C57" s="19" t="s">
        <v>79</v>
      </c>
      <c r="D57" s="20" t="str">
        <f>IF(Source!H37&lt;&gt;"",Source!H37,"")</f>
        <v>100 м ступеней</v>
      </c>
      <c r="E57" s="20">
        <f>Source!I37</f>
        <v>0.505</v>
      </c>
      <c r="F57" s="21"/>
      <c r="G57" s="20"/>
      <c r="H57" s="20"/>
      <c r="I57" s="22"/>
      <c r="J57" s="20" t="str">
        <f>IF(Source!BO37&lt;&gt;"",Source!BO37,"")</f>
        <v>46-04-014-2</v>
      </c>
      <c r="K57" s="22"/>
      <c r="Q57">
        <f>ROUND((Source!BZ37/100)*ROUND(ROUND(Source!AF37*Source!I37,2),2),2)</f>
        <v>436.5</v>
      </c>
      <c r="R57">
        <f>Source!X37</f>
        <v>14844.72</v>
      </c>
      <c r="S57">
        <f>ROUND((Source!CA37/100)*ROUND(ROUND(Source!AF37*Source!I37,2),2),2)</f>
        <v>277.77</v>
      </c>
      <c r="T57">
        <f>Source!Y37</f>
        <v>9446.64</v>
      </c>
      <c r="U57">
        <f>ROUND((175/100)*ROUND(ROUND(Source!AE37*Source!I37,2),2),2)</f>
        <v>11.38</v>
      </c>
      <c r="V57">
        <f>ROUND((0/100)*ROUND(Source!CS37*Source!I37,2),2)</f>
        <v>0</v>
      </c>
    </row>
    <row r="58" spans="1:28" ht="14.25" x14ac:dyDescent="0.2">
      <c r="A58" s="18"/>
      <c r="B58" s="18"/>
      <c r="C58" s="19" t="s">
        <v>67</v>
      </c>
      <c r="D58" s="20"/>
      <c r="E58" s="20"/>
      <c r="F58" s="21">
        <f>Source!AO37</f>
        <v>785.78</v>
      </c>
      <c r="G58" s="20" t="str">
        <f>IF(Source!DG37&lt;&gt;"",Source!DG37," ")</f>
        <v xml:space="preserve"> </v>
      </c>
      <c r="H58" s="20">
        <f>Source!AV37</f>
        <v>1</v>
      </c>
      <c r="I58" s="22">
        <f>ROUND(Source!AF37*Source!I37,2)</f>
        <v>396.82</v>
      </c>
      <c r="J58" s="20">
        <f>IF(Source!BA37&lt;&gt;0,Source!BA37,1)</f>
        <v>33.46</v>
      </c>
      <c r="K58" s="22">
        <f>Source!S37</f>
        <v>13277.56</v>
      </c>
      <c r="W58">
        <f>I58</f>
        <v>396.82</v>
      </c>
    </row>
    <row r="59" spans="1:28" ht="14.25" x14ac:dyDescent="0.2">
      <c r="A59" s="18"/>
      <c r="B59" s="18"/>
      <c r="C59" s="19" t="s">
        <v>68</v>
      </c>
      <c r="D59" s="20"/>
      <c r="E59" s="20"/>
      <c r="F59" s="21">
        <f>Source!AM37</f>
        <v>63.51</v>
      </c>
      <c r="G59" s="20" t="str">
        <f>IF(Source!DE37&lt;&gt;"",Source!DE37," ")</f>
        <v xml:space="preserve"> </v>
      </c>
      <c r="H59" s="20">
        <f>Source!AV37</f>
        <v>1</v>
      </c>
      <c r="I59" s="22">
        <f>ROUND(Source!AD37*Source!I37,2)</f>
        <v>32.07</v>
      </c>
      <c r="J59" s="20">
        <f>IF(Source!BB37&lt;&gt;0,Source!BB37,1)</f>
        <v>11.07</v>
      </c>
      <c r="K59" s="22">
        <f>Source!Q37</f>
        <v>355.04</v>
      </c>
    </row>
    <row r="60" spans="1:28" ht="14.25" x14ac:dyDescent="0.2">
      <c r="A60" s="18"/>
      <c r="B60" s="18"/>
      <c r="C60" s="19" t="s">
        <v>69</v>
      </c>
      <c r="D60" s="20"/>
      <c r="E60" s="20"/>
      <c r="F60" s="21">
        <f>Source!AN37</f>
        <v>12.88</v>
      </c>
      <c r="G60" s="20" t="str">
        <f>IF(Source!DF37&lt;&gt;"",Source!DF37," ")</f>
        <v xml:space="preserve"> </v>
      </c>
      <c r="H60" s="20">
        <f>Source!AV37</f>
        <v>1</v>
      </c>
      <c r="I60" s="23">
        <f>ROUND(Source!AE37*Source!I37,2)</f>
        <v>6.5</v>
      </c>
      <c r="J60" s="20">
        <f>IF(Source!BS37&lt;&gt;0,Source!BS37,1)</f>
        <v>33.46</v>
      </c>
      <c r="K60" s="23">
        <f>Source!R37</f>
        <v>217.64</v>
      </c>
      <c r="W60">
        <f>I60</f>
        <v>6.5</v>
      </c>
    </row>
    <row r="61" spans="1:28" ht="14.25" x14ac:dyDescent="0.2">
      <c r="A61" s="18"/>
      <c r="B61" s="18"/>
      <c r="C61" s="19" t="s">
        <v>70</v>
      </c>
      <c r="D61" s="20" t="s">
        <v>71</v>
      </c>
      <c r="E61" s="20">
        <f>Source!BZ37</f>
        <v>110</v>
      </c>
      <c r="F61" s="21"/>
      <c r="G61" s="20"/>
      <c r="H61" s="20"/>
      <c r="I61" s="22">
        <f>SUM(Q57:Q60)</f>
        <v>436.5</v>
      </c>
      <c r="J61" s="20">
        <f>Source!AT37</f>
        <v>110</v>
      </c>
      <c r="K61" s="22">
        <f>SUM(R57:R60)</f>
        <v>14844.72</v>
      </c>
    </row>
    <row r="62" spans="1:28" ht="14.25" x14ac:dyDescent="0.2">
      <c r="A62" s="18"/>
      <c r="B62" s="18"/>
      <c r="C62" s="19" t="s">
        <v>72</v>
      </c>
      <c r="D62" s="20" t="s">
        <v>71</v>
      </c>
      <c r="E62" s="20">
        <f>Source!CA37</f>
        <v>70</v>
      </c>
      <c r="F62" s="21"/>
      <c r="G62" s="20"/>
      <c r="H62" s="20"/>
      <c r="I62" s="22">
        <f>SUM(S57:S61)</f>
        <v>277.77</v>
      </c>
      <c r="J62" s="20">
        <f>Source!AU37</f>
        <v>70</v>
      </c>
      <c r="K62" s="22">
        <f>SUM(T57:T61)</f>
        <v>9446.64</v>
      </c>
    </row>
    <row r="63" spans="1:28" ht="14.25" x14ac:dyDescent="0.2">
      <c r="A63" s="24"/>
      <c r="B63" s="24"/>
      <c r="C63" s="25" t="s">
        <v>73</v>
      </c>
      <c r="D63" s="26" t="s">
        <v>74</v>
      </c>
      <c r="E63" s="26">
        <f>Source!AQ37</f>
        <v>92.12</v>
      </c>
      <c r="F63" s="27"/>
      <c r="G63" s="26" t="str">
        <f>IF(Source!DI37&lt;&gt;"",Source!DI37," ")</f>
        <v xml:space="preserve"> </v>
      </c>
      <c r="H63" s="26">
        <f>Source!AV37</f>
        <v>1</v>
      </c>
      <c r="I63" s="28">
        <f>Source!U37</f>
        <v>46.520600000000002</v>
      </c>
      <c r="J63" s="26"/>
      <c r="K63" s="28"/>
      <c r="AB63">
        <f>I63</f>
        <v>46.520600000000002</v>
      </c>
    </row>
    <row r="64" spans="1:28" ht="15" x14ac:dyDescent="0.2">
      <c r="A64" s="29"/>
      <c r="B64" s="30"/>
      <c r="C64" s="31" t="s">
        <v>75</v>
      </c>
      <c r="D64" s="31"/>
      <c r="E64" s="31"/>
      <c r="F64" s="31"/>
      <c r="G64" s="31"/>
      <c r="H64" s="47">
        <f>I58+I59+I61+I62</f>
        <v>1143.1599999999999</v>
      </c>
      <c r="I64" s="47"/>
      <c r="J64" s="47">
        <f>K58+K59+K61+K62</f>
        <v>37923.96</v>
      </c>
      <c r="K64" s="47"/>
      <c r="O64">
        <f>H64</f>
        <v>1143.1599999999999</v>
      </c>
      <c r="P64">
        <f>J64</f>
        <v>37923.96</v>
      </c>
      <c r="X64">
        <f>IF(Source!BI37&lt;=1,I58+I59+I61+I62-0,0)</f>
        <v>1143.1599999999999</v>
      </c>
      <c r="Y64">
        <f>IF(Source!BI37=2,I58+I59+I61+I62-0,0)</f>
        <v>0</v>
      </c>
      <c r="Z64">
        <f>IF(Source!BI37=3,I58+I59+I61+I62-0,0)</f>
        <v>0</v>
      </c>
      <c r="AA64">
        <f>IF(Source!BI37=4,I58+I59+I61+I62,0)</f>
        <v>0</v>
      </c>
    </row>
    <row r="66" spans="1:28" ht="28.5" x14ac:dyDescent="0.2">
      <c r="A66" s="18" t="str">
        <f>IF(Source!E39&lt;&gt;"",Source!E39,"")</f>
        <v>6</v>
      </c>
      <c r="B66" s="18" t="str">
        <f>IF(Source!F39&lt;&gt;"",Source!F39,"")</f>
        <v>11-01-011-3</v>
      </c>
      <c r="C66" s="19" t="s">
        <v>80</v>
      </c>
      <c r="D66" s="20" t="str">
        <f>IF(Source!H39&lt;&gt;"",Source!H39,"")</f>
        <v>100 м2 стяжки</v>
      </c>
      <c r="E66" s="20">
        <f>Source!I39</f>
        <v>0.53300000000000003</v>
      </c>
      <c r="F66" s="21"/>
      <c r="G66" s="20"/>
      <c r="H66" s="20"/>
      <c r="I66" s="22"/>
      <c r="J66" s="20" t="str">
        <f>IF(Source!BO39&lt;&gt;"",Source!BO39,"")</f>
        <v>11-01-011-3</v>
      </c>
      <c r="K66" s="22"/>
      <c r="Q66">
        <f>ROUND((Source!BZ39/100)*ROUND(ROUND(Source!AF39*Source!I39,2),2),2)</f>
        <v>239.05</v>
      </c>
      <c r="R66">
        <f>Source!X39</f>
        <v>8468.81</v>
      </c>
      <c r="S66">
        <f>ROUND((Source!CA39/100)*ROUND(ROUND(Source!AF39*Source!I39,2),2),2)</f>
        <v>145.76</v>
      </c>
      <c r="T66">
        <f>Source!Y39</f>
        <v>5163.91</v>
      </c>
      <c r="U66">
        <f>ROUND((175/100)*ROUND(ROUND(Source!AE39*Source!I39,2),2),2)</f>
        <v>20</v>
      </c>
      <c r="V66">
        <f>ROUND((0/100)*ROUND(Source!CS39*Source!I39,2),2)</f>
        <v>0</v>
      </c>
    </row>
    <row r="67" spans="1:28" ht="14.25" x14ac:dyDescent="0.2">
      <c r="A67" s="18"/>
      <c r="B67" s="18"/>
      <c r="C67" s="19" t="s">
        <v>67</v>
      </c>
      <c r="D67" s="20"/>
      <c r="E67" s="20"/>
      <c r="F67" s="21">
        <f>Source!AO39</f>
        <v>317.07</v>
      </c>
      <c r="G67" s="20" t="str">
        <f>IF(Source!DG39&lt;&gt;"",Source!DG39," ")</f>
        <v>)*1,15</v>
      </c>
      <c r="H67" s="20">
        <f>Source!AV39</f>
        <v>1</v>
      </c>
      <c r="I67" s="22">
        <f>ROUND(Source!AF39*Source!I39,2)</f>
        <v>194.35</v>
      </c>
      <c r="J67" s="20">
        <f>IF(Source!BA39&lt;&gt;0,Source!BA39,1)</f>
        <v>33.46</v>
      </c>
      <c r="K67" s="22">
        <f>Source!S39</f>
        <v>6502.89</v>
      </c>
      <c r="W67">
        <f>I67</f>
        <v>194.35</v>
      </c>
    </row>
    <row r="68" spans="1:28" ht="14.25" x14ac:dyDescent="0.2">
      <c r="A68" s="18"/>
      <c r="B68" s="18"/>
      <c r="C68" s="19" t="s">
        <v>68</v>
      </c>
      <c r="D68" s="20"/>
      <c r="E68" s="20"/>
      <c r="F68" s="21">
        <f>Source!AM39</f>
        <v>42.05</v>
      </c>
      <c r="G68" s="20" t="str">
        <f>IF(Source!DE39&lt;&gt;"",Source!DE39," ")</f>
        <v>)*1,25</v>
      </c>
      <c r="H68" s="20">
        <f>Source!AV39</f>
        <v>1</v>
      </c>
      <c r="I68" s="22">
        <f>ROUND(Source!AD39*Source!I39,2)</f>
        <v>28.02</v>
      </c>
      <c r="J68" s="20">
        <f>IF(Source!BB39&lt;&gt;0,Source!BB39,1)</f>
        <v>14.56</v>
      </c>
      <c r="K68" s="22">
        <f>Source!Q39</f>
        <v>407.91</v>
      </c>
    </row>
    <row r="69" spans="1:28" ht="14.25" x14ac:dyDescent="0.2">
      <c r="A69" s="18"/>
      <c r="B69" s="18"/>
      <c r="C69" s="19" t="s">
        <v>69</v>
      </c>
      <c r="D69" s="20"/>
      <c r="E69" s="20"/>
      <c r="F69" s="21">
        <f>Source!AN39</f>
        <v>17.149999999999999</v>
      </c>
      <c r="G69" s="20" t="str">
        <f>IF(Source!DF39&lt;&gt;"",Source!DF39," ")</f>
        <v>)*1,25</v>
      </c>
      <c r="H69" s="20">
        <f>Source!AV39</f>
        <v>1</v>
      </c>
      <c r="I69" s="23">
        <f>ROUND(Source!AE39*Source!I39,2)</f>
        <v>11.43</v>
      </c>
      <c r="J69" s="20">
        <f>IF(Source!BS39&lt;&gt;0,Source!BS39,1)</f>
        <v>33.46</v>
      </c>
      <c r="K69" s="23">
        <f>Source!R39</f>
        <v>382.32</v>
      </c>
      <c r="W69">
        <f>I69</f>
        <v>11.43</v>
      </c>
    </row>
    <row r="70" spans="1:28" ht="14.25" x14ac:dyDescent="0.2">
      <c r="A70" s="18"/>
      <c r="B70" s="18"/>
      <c r="C70" s="19" t="s">
        <v>81</v>
      </c>
      <c r="D70" s="20"/>
      <c r="E70" s="20"/>
      <c r="F70" s="21">
        <f>Source!AL39</f>
        <v>1232.54</v>
      </c>
      <c r="G70" s="20" t="str">
        <f>IF(Source!DD39&lt;&gt;"",Source!DD39," ")</f>
        <v xml:space="preserve"> </v>
      </c>
      <c r="H70" s="20">
        <f>Source!AW39</f>
        <v>1</v>
      </c>
      <c r="I70" s="22">
        <f>ROUND(Source!AC39*Source!I39,2)</f>
        <v>656.94</v>
      </c>
      <c r="J70" s="20">
        <f>IF(Source!BC39&lt;&gt;0,Source!BC39,1)</f>
        <v>6.53</v>
      </c>
      <c r="K70" s="22">
        <f>Source!P39</f>
        <v>4289.84</v>
      </c>
    </row>
    <row r="71" spans="1:28" ht="28.5" x14ac:dyDescent="0.2">
      <c r="A71" s="18" t="str">
        <f>IF(Source!E41&lt;&gt;"",Source!E41,"")</f>
        <v>6,1</v>
      </c>
      <c r="B71" s="18" t="str">
        <f>IF(Source!F41&lt;&gt;"",Source!F41,"")</f>
        <v>401-0085</v>
      </c>
      <c r="C71" s="19" t="s">
        <v>82</v>
      </c>
      <c r="D71" s="20" t="str">
        <f>IF(Source!H41&lt;&gt;"",Source!H41,"")</f>
        <v>м3</v>
      </c>
      <c r="E71" s="20">
        <f>Source!I41</f>
        <v>-1.0873200000000001</v>
      </c>
      <c r="F71" s="21">
        <f>Source!AK41</f>
        <v>600</v>
      </c>
      <c r="G71" s="20"/>
      <c r="H71" s="20">
        <f>Source!AW41</f>
        <v>1</v>
      </c>
      <c r="I71" s="22">
        <f>ROUND(Source!AC41*Source!I41,2)+ROUND(Source!AD41*Source!I41,2)+ROUND(Source!AF41*Source!I41,2)</f>
        <v>-652.39</v>
      </c>
      <c r="J71" s="20">
        <f>IF(Source!BC41&lt;&gt;0,Source!BC41,1)</f>
        <v>6.51</v>
      </c>
      <c r="K71" s="22">
        <f>Source!O41</f>
        <v>-4247.07</v>
      </c>
      <c r="Q71">
        <f>ROUND((Source!BZ41/100)*ROUND(ROUND(Source!AF41*Source!I41,2),2),2)</f>
        <v>0</v>
      </c>
      <c r="R71">
        <f>Source!X41</f>
        <v>0</v>
      </c>
      <c r="S71">
        <f>ROUND((Source!CA41/100)*ROUND(ROUND(Source!AF41*Source!I41,2),2),2)</f>
        <v>0</v>
      </c>
      <c r="T71">
        <f>Source!Y41</f>
        <v>0</v>
      </c>
      <c r="U71">
        <f>ROUND((175/100)*ROUND(ROUND(Source!AE41*Source!I41,2),2),2)</f>
        <v>0</v>
      </c>
      <c r="V71">
        <f>ROUND((0/100)*ROUND(Source!CS41*Source!I41,2),2)</f>
        <v>0</v>
      </c>
      <c r="X71">
        <f>IF(Source!BI41&lt;=1,I71,0)</f>
        <v>-652.39</v>
      </c>
      <c r="Y71">
        <f>IF(Source!BI41=2,I71,0)</f>
        <v>0</v>
      </c>
      <c r="Z71">
        <f>IF(Source!BI41=3,I71,0)</f>
        <v>0</v>
      </c>
      <c r="AA71">
        <f>IF(Source!BI41=4,I71,0)</f>
        <v>0</v>
      </c>
    </row>
    <row r="72" spans="1:28" ht="28.5" x14ac:dyDescent="0.2">
      <c r="A72" s="18" t="str">
        <f>IF(Source!E43&lt;&gt;"",Source!E43,"")</f>
        <v>6,2</v>
      </c>
      <c r="B72" s="18" t="str">
        <f>IF(Source!F43&lt;&gt;"",Source!F43,"")</f>
        <v>401-0091</v>
      </c>
      <c r="C72" s="19" t="s">
        <v>30</v>
      </c>
      <c r="D72" s="20" t="str">
        <f>IF(Source!H43&lt;&gt;"",Source!H43,"")</f>
        <v>м3</v>
      </c>
      <c r="E72" s="20">
        <f>Source!I43</f>
        <v>1.0873200000000001</v>
      </c>
      <c r="F72" s="21">
        <f>Source!AK43</f>
        <v>853.35</v>
      </c>
      <c r="G72" s="20"/>
      <c r="H72" s="20">
        <f>Source!AW43</f>
        <v>1</v>
      </c>
      <c r="I72" s="22">
        <f>ROUND(Source!AC43*Source!I43,2)+ROUND(Source!AD43*Source!I43,2)+ROUND(Source!AF43*Source!I43,2)</f>
        <v>927.86</v>
      </c>
      <c r="J72" s="20">
        <f>IF(Source!BC43&lt;&gt;0,Source!BC43,1)</f>
        <v>6.51</v>
      </c>
      <c r="K72" s="22">
        <f>Source!O43</f>
        <v>6040.4</v>
      </c>
      <c r="Q72">
        <f>ROUND((Source!BZ43/100)*ROUND(ROUND(Source!AF43*Source!I43,2),2),2)</f>
        <v>0</v>
      </c>
      <c r="R72">
        <f>Source!X43</f>
        <v>0</v>
      </c>
      <c r="S72">
        <f>ROUND((Source!CA43/100)*ROUND(ROUND(Source!AF43*Source!I43,2),2),2)</f>
        <v>0</v>
      </c>
      <c r="T72">
        <f>Source!Y43</f>
        <v>0</v>
      </c>
      <c r="U72">
        <f>ROUND((175/100)*ROUND(ROUND(Source!AE43*Source!I43,2),2),2)</f>
        <v>0</v>
      </c>
      <c r="V72">
        <f>ROUND((0/100)*ROUND(Source!CS43*Source!I43,2),2)</f>
        <v>0</v>
      </c>
      <c r="X72">
        <f>IF(Source!BI43&lt;=1,I72,0)</f>
        <v>927.86</v>
      </c>
      <c r="Y72">
        <f>IF(Source!BI43=2,I72,0)</f>
        <v>0</v>
      </c>
      <c r="Z72">
        <f>IF(Source!BI43=3,I72,0)</f>
        <v>0</v>
      </c>
      <c r="AA72">
        <f>IF(Source!BI43=4,I72,0)</f>
        <v>0</v>
      </c>
    </row>
    <row r="73" spans="1:28" ht="14.25" x14ac:dyDescent="0.2">
      <c r="A73" s="18"/>
      <c r="B73" s="18"/>
      <c r="C73" s="19" t="s">
        <v>70</v>
      </c>
      <c r="D73" s="20" t="s">
        <v>71</v>
      </c>
      <c r="E73" s="20">
        <f>Source!BZ39</f>
        <v>123</v>
      </c>
      <c r="F73" s="21"/>
      <c r="G73" s="20"/>
      <c r="H73" s="20"/>
      <c r="I73" s="22">
        <f>SUM(Q66:Q72)</f>
        <v>239.05</v>
      </c>
      <c r="J73" s="20">
        <f>Source!AT39</f>
        <v>123</v>
      </c>
      <c r="K73" s="22">
        <f>SUM(R66:R72)</f>
        <v>8468.81</v>
      </c>
    </row>
    <row r="74" spans="1:28" ht="14.25" x14ac:dyDescent="0.2">
      <c r="A74" s="18"/>
      <c r="B74" s="18"/>
      <c r="C74" s="19" t="s">
        <v>72</v>
      </c>
      <c r="D74" s="20" t="s">
        <v>71</v>
      </c>
      <c r="E74" s="20">
        <f>Source!CA39</f>
        <v>75</v>
      </c>
      <c r="F74" s="21"/>
      <c r="G74" s="20"/>
      <c r="H74" s="20"/>
      <c r="I74" s="22">
        <f>SUM(S66:S73)</f>
        <v>145.76</v>
      </c>
      <c r="J74" s="20">
        <f>Source!AU39</f>
        <v>75</v>
      </c>
      <c r="K74" s="22">
        <f>SUM(T66:T73)</f>
        <v>5163.91</v>
      </c>
    </row>
    <row r="75" spans="1:28" ht="14.25" x14ac:dyDescent="0.2">
      <c r="A75" s="24"/>
      <c r="B75" s="24"/>
      <c r="C75" s="25" t="s">
        <v>73</v>
      </c>
      <c r="D75" s="26" t="s">
        <v>74</v>
      </c>
      <c r="E75" s="26">
        <f>Source!AQ39</f>
        <v>40.65</v>
      </c>
      <c r="F75" s="27"/>
      <c r="G75" s="26" t="str">
        <f>IF(Source!DI39&lt;&gt;"",Source!DI39," ")</f>
        <v>)*1,15</v>
      </c>
      <c r="H75" s="26">
        <f>Source!AV39</f>
        <v>1</v>
      </c>
      <c r="I75" s="28">
        <f>Source!U39</f>
        <v>24.916417499999998</v>
      </c>
      <c r="J75" s="26"/>
      <c r="K75" s="28"/>
      <c r="AB75">
        <f>I75</f>
        <v>24.916417499999998</v>
      </c>
    </row>
    <row r="76" spans="1:28" ht="15" x14ac:dyDescent="0.2">
      <c r="A76" s="29"/>
      <c r="B76" s="30"/>
      <c r="C76" s="31" t="s">
        <v>75</v>
      </c>
      <c r="D76" s="31"/>
      <c r="E76" s="31"/>
      <c r="F76" s="31"/>
      <c r="G76" s="31"/>
      <c r="H76" s="47">
        <f>I67+I68+I70+I73+I74+SUM(I71:I72)</f>
        <v>1539.5900000000001</v>
      </c>
      <c r="I76" s="47"/>
      <c r="J76" s="47">
        <f>K67+K68+K70+K73+K74+SUM(K71:K72)</f>
        <v>26626.689999999995</v>
      </c>
      <c r="K76" s="47"/>
      <c r="O76">
        <f>H76</f>
        <v>1539.5900000000001</v>
      </c>
      <c r="P76">
        <f>J76</f>
        <v>26626.689999999995</v>
      </c>
      <c r="X76">
        <f>IF(Source!BI39&lt;=1,I67+I68+I70+I73+I74-0,0)</f>
        <v>1264.1200000000001</v>
      </c>
      <c r="Y76">
        <f>IF(Source!BI39=2,I67+I68+I70+I73+I74-0,0)</f>
        <v>0</v>
      </c>
      <c r="Z76">
        <f>IF(Source!BI39=3,I67+I68+I70+I73+I74-0,0)</f>
        <v>0</v>
      </c>
      <c r="AA76">
        <f>IF(Source!BI39=4,I67+I68+I70+I73+I74,0)</f>
        <v>0</v>
      </c>
    </row>
    <row r="78" spans="1:28" ht="71.25" x14ac:dyDescent="0.2">
      <c r="A78" s="18" t="str">
        <f>IF(Source!E45&lt;&gt;"",Source!E45,"")</f>
        <v>7</v>
      </c>
      <c r="B78" s="18" t="str">
        <f>IF(Source!F45&lt;&gt;"",Source!F45,"")</f>
        <v>15-07-003-2</v>
      </c>
      <c r="C78" s="19" t="s">
        <v>83</v>
      </c>
      <c r="D78" s="20" t="str">
        <f>IF(Source!H45&lt;&gt;"",Source!H45,"")</f>
        <v>100 м2 обрабатываемой поверхности</v>
      </c>
      <c r="E78" s="20">
        <f>Source!I45</f>
        <v>0.53300000000000003</v>
      </c>
      <c r="F78" s="21"/>
      <c r="G78" s="20"/>
      <c r="H78" s="20"/>
      <c r="I78" s="22"/>
      <c r="J78" s="20" t="str">
        <f>IF(Source!BO45&lt;&gt;"",Source!BO45,"")</f>
        <v>15-07-003-2</v>
      </c>
      <c r="K78" s="22"/>
      <c r="Q78">
        <f>ROUND((Source!BZ45/100)*ROUND(ROUND(Source!AF45*Source!I45,2),2),2)</f>
        <v>21.8</v>
      </c>
      <c r="R78">
        <f>Source!X45</f>
        <v>732.2</v>
      </c>
      <c r="S78">
        <f>ROUND((Source!CA45/100)*ROUND(ROUND(Source!AF45*Source!I45,2),2),2)</f>
        <v>11.42</v>
      </c>
      <c r="T78">
        <f>Source!Y45</f>
        <v>383.53</v>
      </c>
      <c r="U78">
        <f>ROUND((175/100)*ROUND(ROUND(Source!AE45*Source!I45,2),2),2)</f>
        <v>0.14000000000000001</v>
      </c>
      <c r="V78">
        <f>ROUND((0/100)*ROUND(Source!CS45*Source!I45,2),2)</f>
        <v>0</v>
      </c>
    </row>
    <row r="79" spans="1:28" ht="14.25" x14ac:dyDescent="0.2">
      <c r="A79" s="18"/>
      <c r="B79" s="18"/>
      <c r="C79" s="19" t="s">
        <v>67</v>
      </c>
      <c r="D79" s="20"/>
      <c r="E79" s="20"/>
      <c r="F79" s="21">
        <f>Source!AO45</f>
        <v>33.869999999999997</v>
      </c>
      <c r="G79" s="20" t="str">
        <f>IF(Source!DG45&lt;&gt;"",Source!DG45," ")</f>
        <v>)*1,15</v>
      </c>
      <c r="H79" s="20">
        <f>Source!AV45</f>
        <v>1</v>
      </c>
      <c r="I79" s="22">
        <f>ROUND(Source!AF45*Source!I45,2)</f>
        <v>20.76</v>
      </c>
      <c r="J79" s="20">
        <f>IF(Source!BA45&lt;&gt;0,Source!BA45,1)</f>
        <v>33.46</v>
      </c>
      <c r="K79" s="22">
        <f>Source!S45</f>
        <v>694.65</v>
      </c>
      <c r="W79">
        <f>I79</f>
        <v>20.76</v>
      </c>
    </row>
    <row r="80" spans="1:28" ht="14.25" x14ac:dyDescent="0.2">
      <c r="A80" s="18"/>
      <c r="B80" s="18"/>
      <c r="C80" s="19" t="s">
        <v>68</v>
      </c>
      <c r="D80" s="20"/>
      <c r="E80" s="20"/>
      <c r="F80" s="21">
        <f>Source!AM45</f>
        <v>23</v>
      </c>
      <c r="G80" s="20" t="str">
        <f>IF(Source!DE45&lt;&gt;"",Source!DE45," ")</f>
        <v>)*1,25</v>
      </c>
      <c r="H80" s="20">
        <f>Source!AV45</f>
        <v>1</v>
      </c>
      <c r="I80" s="22">
        <f>ROUND(Source!AD45*Source!I45,2)</f>
        <v>15.32</v>
      </c>
      <c r="J80" s="20">
        <f>IF(Source!BB45&lt;&gt;0,Source!BB45,1)</f>
        <v>5.67</v>
      </c>
      <c r="K80" s="22">
        <f>Source!Q45</f>
        <v>86.89</v>
      </c>
    </row>
    <row r="81" spans="1:28" ht="14.25" x14ac:dyDescent="0.2">
      <c r="A81" s="18"/>
      <c r="B81" s="18"/>
      <c r="C81" s="19" t="s">
        <v>69</v>
      </c>
      <c r="D81" s="20"/>
      <c r="E81" s="20"/>
      <c r="F81" s="21">
        <f>Source!AN45</f>
        <v>0.12</v>
      </c>
      <c r="G81" s="20" t="str">
        <f>IF(Source!DF45&lt;&gt;"",Source!DF45," ")</f>
        <v>)*1,25</v>
      </c>
      <c r="H81" s="20">
        <f>Source!AV45</f>
        <v>1</v>
      </c>
      <c r="I81" s="23">
        <f>ROUND(Source!AE45*Source!I45,2)</f>
        <v>0.08</v>
      </c>
      <c r="J81" s="20">
        <f>IF(Source!BS45&lt;&gt;0,Source!BS45,1)</f>
        <v>33.46</v>
      </c>
      <c r="K81" s="23">
        <f>Source!R45</f>
        <v>2.68</v>
      </c>
      <c r="W81">
        <f>I81</f>
        <v>0.08</v>
      </c>
    </row>
    <row r="82" spans="1:28" ht="14.25" x14ac:dyDescent="0.2">
      <c r="A82" s="18"/>
      <c r="B82" s="18"/>
      <c r="C82" s="19" t="s">
        <v>81</v>
      </c>
      <c r="D82" s="20"/>
      <c r="E82" s="20"/>
      <c r="F82" s="21">
        <f>Source!AL45</f>
        <v>212.42</v>
      </c>
      <c r="G82" s="20" t="str">
        <f>IF(Source!DD45&lt;&gt;"",Source!DD45," ")</f>
        <v xml:space="preserve"> </v>
      </c>
      <c r="H82" s="20">
        <f>Source!AW45</f>
        <v>1</v>
      </c>
      <c r="I82" s="22">
        <f>ROUND(Source!AC45*Source!I45,2)</f>
        <v>113.22</v>
      </c>
      <c r="J82" s="20">
        <f>IF(Source!BC45&lt;&gt;0,Source!BC45,1)</f>
        <v>7</v>
      </c>
      <c r="K82" s="22">
        <f>Source!P45</f>
        <v>792.54</v>
      </c>
    </row>
    <row r="83" spans="1:28" ht="14.25" x14ac:dyDescent="0.2">
      <c r="A83" s="18"/>
      <c r="B83" s="18"/>
      <c r="C83" s="19" t="s">
        <v>70</v>
      </c>
      <c r="D83" s="20" t="s">
        <v>71</v>
      </c>
      <c r="E83" s="20">
        <f>Source!BZ45</f>
        <v>105</v>
      </c>
      <c r="F83" s="21"/>
      <c r="G83" s="20"/>
      <c r="H83" s="20"/>
      <c r="I83" s="22">
        <f>SUM(Q78:Q82)</f>
        <v>21.8</v>
      </c>
      <c r="J83" s="20">
        <f>Source!AT45</f>
        <v>105</v>
      </c>
      <c r="K83" s="22">
        <f>SUM(R78:R82)</f>
        <v>732.2</v>
      </c>
    </row>
    <row r="84" spans="1:28" ht="14.25" x14ac:dyDescent="0.2">
      <c r="A84" s="18"/>
      <c r="B84" s="18"/>
      <c r="C84" s="19" t="s">
        <v>72</v>
      </c>
      <c r="D84" s="20" t="s">
        <v>71</v>
      </c>
      <c r="E84" s="20">
        <f>Source!CA45</f>
        <v>55</v>
      </c>
      <c r="F84" s="21"/>
      <c r="G84" s="20"/>
      <c r="H84" s="20"/>
      <c r="I84" s="22">
        <f>SUM(S78:S83)</f>
        <v>11.42</v>
      </c>
      <c r="J84" s="20">
        <f>Source!AU45</f>
        <v>55</v>
      </c>
      <c r="K84" s="22">
        <f>SUM(T78:T83)</f>
        <v>383.53</v>
      </c>
    </row>
    <row r="85" spans="1:28" ht="14.25" x14ac:dyDescent="0.2">
      <c r="A85" s="24"/>
      <c r="B85" s="24"/>
      <c r="C85" s="25" t="s">
        <v>73</v>
      </c>
      <c r="D85" s="26" t="s">
        <v>74</v>
      </c>
      <c r="E85" s="26">
        <f>Source!AQ45</f>
        <v>3.69</v>
      </c>
      <c r="F85" s="27"/>
      <c r="G85" s="26" t="str">
        <f>IF(Source!DI45&lt;&gt;"",Source!DI45," ")</f>
        <v>)*1,15</v>
      </c>
      <c r="H85" s="26">
        <f>Source!AV45</f>
        <v>1</v>
      </c>
      <c r="I85" s="28">
        <f>Source!U45</f>
        <v>2.2617855000000002</v>
      </c>
      <c r="J85" s="26"/>
      <c r="K85" s="28"/>
      <c r="AB85">
        <f>I85</f>
        <v>2.2617855000000002</v>
      </c>
    </row>
    <row r="86" spans="1:28" ht="15" x14ac:dyDescent="0.2">
      <c r="A86" s="29"/>
      <c r="B86" s="30"/>
      <c r="C86" s="31" t="s">
        <v>75</v>
      </c>
      <c r="D86" s="31"/>
      <c r="E86" s="31"/>
      <c r="F86" s="31"/>
      <c r="G86" s="31"/>
      <c r="H86" s="47">
        <f>I79+I80+I82+I83+I84</f>
        <v>182.52</v>
      </c>
      <c r="I86" s="47"/>
      <c r="J86" s="47">
        <f>K79+K80+K82+K83+K84</f>
        <v>2689.8099999999995</v>
      </c>
      <c r="K86" s="47"/>
      <c r="O86">
        <f>H86</f>
        <v>182.52</v>
      </c>
      <c r="P86">
        <f>J86</f>
        <v>2689.8099999999995</v>
      </c>
      <c r="X86">
        <f>IF(Source!BI45&lt;=1,I79+I80+I82+I83+I84-0,0)</f>
        <v>182.52</v>
      </c>
      <c r="Y86">
        <f>IF(Source!BI45=2,I79+I80+I82+I83+I84-0,0)</f>
        <v>0</v>
      </c>
      <c r="Z86">
        <f>IF(Source!BI45=3,I79+I80+I82+I83+I84-0,0)</f>
        <v>0</v>
      </c>
      <c r="AA86">
        <f>IF(Source!BI45=4,I79+I80+I82+I83+I84,0)</f>
        <v>0</v>
      </c>
    </row>
    <row r="88" spans="1:28" ht="42.75" x14ac:dyDescent="0.2">
      <c r="A88" s="18" t="str">
        <f>IF(Source!E61&lt;&gt;"",Source!E61,"")</f>
        <v>10</v>
      </c>
      <c r="B88" s="18" t="str">
        <f>IF(Source!F61&lt;&gt;"",Source!F61,"")</f>
        <v>11-01-027-3</v>
      </c>
      <c r="C88" s="19" t="s">
        <v>84</v>
      </c>
      <c r="D88" s="20" t="str">
        <f>IF(Source!H61&lt;&gt;"",Source!H61,"")</f>
        <v>100 м2 покрытия</v>
      </c>
      <c r="E88" s="20">
        <f>Source!I61</f>
        <v>0.53300000000000003</v>
      </c>
      <c r="F88" s="21"/>
      <c r="G88" s="20"/>
      <c r="H88" s="20"/>
      <c r="I88" s="22"/>
      <c r="J88" s="20" t="str">
        <f>IF(Source!BO61&lt;&gt;"",Source!BO61,"")</f>
        <v>11-01-027-3</v>
      </c>
      <c r="K88" s="22"/>
      <c r="Q88">
        <f>ROUND((Source!BZ61/100)*ROUND(ROUND(Source!AF61*Source!I61,2),2),2)</f>
        <v>686.33</v>
      </c>
      <c r="R88">
        <f>Source!X61</f>
        <v>23724.71</v>
      </c>
      <c r="S88">
        <f>ROUND((Source!CA61/100)*ROUND(ROUND(Source!AF61*Source!I61,2),2),2)</f>
        <v>418.49</v>
      </c>
      <c r="T88">
        <f>Source!Y61</f>
        <v>14466.29</v>
      </c>
      <c r="U88">
        <f>ROUND((175/100)*ROUND(ROUND(Source!AE61*Source!I61,2),2),2)</f>
        <v>32.32</v>
      </c>
      <c r="V88">
        <f>ROUND((0/100)*ROUND(Source!CS61*Source!I61,2),2)</f>
        <v>0</v>
      </c>
    </row>
    <row r="89" spans="1:28" ht="14.25" x14ac:dyDescent="0.2">
      <c r="A89" s="18"/>
      <c r="B89" s="18"/>
      <c r="C89" s="19" t="s">
        <v>67</v>
      </c>
      <c r="D89" s="20"/>
      <c r="E89" s="20"/>
      <c r="F89" s="21">
        <f>Source!AO61</f>
        <v>1046.8800000000001</v>
      </c>
      <c r="G89" s="20" t="str">
        <f>IF(Source!DG61&lt;&gt;"",Source!DG61," ")</f>
        <v xml:space="preserve"> </v>
      </c>
      <c r="H89" s="20">
        <f>Source!AV61</f>
        <v>1</v>
      </c>
      <c r="I89" s="22">
        <f>ROUND(Source!AF61*Source!I61,2)</f>
        <v>557.99</v>
      </c>
      <c r="J89" s="20">
        <f>IF(Source!BA61&lt;&gt;0,Source!BA61,1)</f>
        <v>33.46</v>
      </c>
      <c r="K89" s="22">
        <f>Source!S61</f>
        <v>18670.25</v>
      </c>
      <c r="W89">
        <f>I89</f>
        <v>557.99</v>
      </c>
    </row>
    <row r="90" spans="1:28" ht="14.25" x14ac:dyDescent="0.2">
      <c r="A90" s="18"/>
      <c r="B90" s="18"/>
      <c r="C90" s="19" t="s">
        <v>68</v>
      </c>
      <c r="D90" s="20"/>
      <c r="E90" s="20"/>
      <c r="F90" s="21">
        <f>Source!AM61</f>
        <v>132.27000000000001</v>
      </c>
      <c r="G90" s="20" t="str">
        <f>IF(Source!DE61&lt;&gt;"",Source!DE61," ")</f>
        <v xml:space="preserve"> </v>
      </c>
      <c r="H90" s="20">
        <f>Source!AV61</f>
        <v>1</v>
      </c>
      <c r="I90" s="22">
        <f>ROUND(Source!AD61*Source!I61,2)</f>
        <v>70.5</v>
      </c>
      <c r="J90" s="20">
        <f>IF(Source!BB61&lt;&gt;0,Source!BB61,1)</f>
        <v>12.54</v>
      </c>
      <c r="K90" s="22">
        <f>Source!Q61</f>
        <v>884.07</v>
      </c>
    </row>
    <row r="91" spans="1:28" ht="14.25" x14ac:dyDescent="0.2">
      <c r="A91" s="18"/>
      <c r="B91" s="18"/>
      <c r="C91" s="19" t="s">
        <v>69</v>
      </c>
      <c r="D91" s="20"/>
      <c r="E91" s="20"/>
      <c r="F91" s="21">
        <f>Source!AN61</f>
        <v>34.659999999999997</v>
      </c>
      <c r="G91" s="20" t="str">
        <f>IF(Source!DF61&lt;&gt;"",Source!DF61," ")</f>
        <v xml:space="preserve"> </v>
      </c>
      <c r="H91" s="20">
        <f>Source!AV61</f>
        <v>1</v>
      </c>
      <c r="I91" s="23">
        <f>ROUND(Source!AE61*Source!I61,2)</f>
        <v>18.47</v>
      </c>
      <c r="J91" s="20">
        <f>IF(Source!BS61&lt;&gt;0,Source!BS61,1)</f>
        <v>33.46</v>
      </c>
      <c r="K91" s="23">
        <f>Source!R61</f>
        <v>618.13</v>
      </c>
      <c r="W91">
        <f>I91</f>
        <v>18.47</v>
      </c>
    </row>
    <row r="92" spans="1:28" ht="14.25" x14ac:dyDescent="0.2">
      <c r="A92" s="18"/>
      <c r="B92" s="18"/>
      <c r="C92" s="19" t="s">
        <v>81</v>
      </c>
      <c r="D92" s="20"/>
      <c r="E92" s="20"/>
      <c r="F92" s="21">
        <f>Source!AL61</f>
        <v>7811.85</v>
      </c>
      <c r="G92" s="20" t="str">
        <f>IF(Source!DD61&lt;&gt;"",Source!DD61," ")</f>
        <v xml:space="preserve"> </v>
      </c>
      <c r="H92" s="20">
        <f>Source!AW61</f>
        <v>1</v>
      </c>
      <c r="I92" s="22">
        <f>ROUND(Source!AC61*Source!I61,2)</f>
        <v>4163.72</v>
      </c>
      <c r="J92" s="20">
        <f>IF(Source!BC61&lt;&gt;0,Source!BC61,1)</f>
        <v>8.02</v>
      </c>
      <c r="K92" s="22">
        <f>Source!P61</f>
        <v>33393</v>
      </c>
    </row>
    <row r="93" spans="1:28" ht="14.25" x14ac:dyDescent="0.2">
      <c r="A93" s="18"/>
      <c r="B93" s="18"/>
      <c r="C93" s="19" t="s">
        <v>70</v>
      </c>
      <c r="D93" s="20" t="s">
        <v>71</v>
      </c>
      <c r="E93" s="20">
        <f>Source!BZ61</f>
        <v>123</v>
      </c>
      <c r="F93" s="21"/>
      <c r="G93" s="20"/>
      <c r="H93" s="20"/>
      <c r="I93" s="22">
        <f>SUM(Q88:Q92)</f>
        <v>686.33</v>
      </c>
      <c r="J93" s="20">
        <f>Source!AT61</f>
        <v>123</v>
      </c>
      <c r="K93" s="22">
        <f>SUM(R88:R92)</f>
        <v>23724.71</v>
      </c>
    </row>
    <row r="94" spans="1:28" ht="14.25" x14ac:dyDescent="0.2">
      <c r="A94" s="18"/>
      <c r="B94" s="18"/>
      <c r="C94" s="19" t="s">
        <v>72</v>
      </c>
      <c r="D94" s="20" t="s">
        <v>71</v>
      </c>
      <c r="E94" s="20">
        <f>Source!CA61</f>
        <v>75</v>
      </c>
      <c r="F94" s="21"/>
      <c r="G94" s="20"/>
      <c r="H94" s="20"/>
      <c r="I94" s="22">
        <f>SUM(S88:S93)</f>
        <v>418.49</v>
      </c>
      <c r="J94" s="20">
        <f>Source!AU61</f>
        <v>75</v>
      </c>
      <c r="K94" s="22">
        <f>SUM(T88:T93)</f>
        <v>14466.29</v>
      </c>
    </row>
    <row r="95" spans="1:28" ht="14.25" x14ac:dyDescent="0.2">
      <c r="A95" s="24"/>
      <c r="B95" s="24"/>
      <c r="C95" s="25" t="s">
        <v>73</v>
      </c>
      <c r="D95" s="26" t="s">
        <v>74</v>
      </c>
      <c r="E95" s="26">
        <f>Source!AQ61</f>
        <v>119.78</v>
      </c>
      <c r="F95" s="27"/>
      <c r="G95" s="26" t="str">
        <f>IF(Source!DI61&lt;&gt;"",Source!DI61," ")</f>
        <v xml:space="preserve"> </v>
      </c>
      <c r="H95" s="26">
        <f>Source!AV61</f>
        <v>1</v>
      </c>
      <c r="I95" s="28">
        <f>Source!U61</f>
        <v>63.842740000000006</v>
      </c>
      <c r="J95" s="26"/>
      <c r="K95" s="28"/>
      <c r="AB95">
        <f>I95</f>
        <v>63.842740000000006</v>
      </c>
    </row>
    <row r="96" spans="1:28" ht="15" x14ac:dyDescent="0.2">
      <c r="A96" s="29"/>
      <c r="B96" s="30"/>
      <c r="C96" s="31" t="s">
        <v>75</v>
      </c>
      <c r="D96" s="31"/>
      <c r="E96" s="31"/>
      <c r="F96" s="31"/>
      <c r="G96" s="31"/>
      <c r="H96" s="47">
        <f>I89+I90+I92+I93+I94</f>
        <v>5897.03</v>
      </c>
      <c r="I96" s="47"/>
      <c r="J96" s="47">
        <f>K89+K90+K92+K93+K94</f>
        <v>91138.32</v>
      </c>
      <c r="K96" s="47"/>
      <c r="O96">
        <f>H96</f>
        <v>5897.03</v>
      </c>
      <c r="P96">
        <f>J96</f>
        <v>91138.32</v>
      </c>
      <c r="X96">
        <f>IF(Source!BI61&lt;=1,I89+I90+I92+I93+I94-0,0)</f>
        <v>5897.03</v>
      </c>
      <c r="Y96">
        <f>IF(Source!BI61=2,I89+I90+I92+I93+I94-0,0)</f>
        <v>0</v>
      </c>
      <c r="Z96">
        <f>IF(Source!BI61=3,I89+I90+I92+I93+I94-0,0)</f>
        <v>0</v>
      </c>
      <c r="AA96">
        <f>IF(Source!BI61=4,I89+I90+I92+I93+I94,0)</f>
        <v>0</v>
      </c>
    </row>
    <row r="98" spans="1:28" ht="28.5" x14ac:dyDescent="0.2">
      <c r="A98" s="18" t="str">
        <f>IF(Source!E63&lt;&gt;"",Source!E63,"")</f>
        <v>12</v>
      </c>
      <c r="B98" s="18" t="str">
        <f>IF(Source!F63&lt;&gt;"",Source!F63,"")</f>
        <v>09-03-050-1</v>
      </c>
      <c r="C98" s="19" t="s">
        <v>85</v>
      </c>
      <c r="D98" s="20" t="str">
        <f>IF(Source!H63&lt;&gt;"",Source!H63,"")</f>
        <v>100 м плинтуса</v>
      </c>
      <c r="E98" s="20">
        <f>Source!I63</f>
        <v>0.505</v>
      </c>
      <c r="F98" s="21"/>
      <c r="G98" s="20"/>
      <c r="H98" s="20"/>
      <c r="I98" s="22"/>
      <c r="J98" s="20" t="str">
        <f>IF(Source!BO63&lt;&gt;"",Source!BO63,"")</f>
        <v>09-03-050-1</v>
      </c>
      <c r="K98" s="22"/>
      <c r="Q98">
        <f>ROUND((Source!BZ63/100)*ROUND(ROUND(Source!AF63*Source!I63,2),2),2)</f>
        <v>62.15</v>
      </c>
      <c r="R98">
        <f>Source!X63</f>
        <v>2079.59</v>
      </c>
      <c r="S98">
        <f>ROUND((Source!CA63/100)*ROUND(ROUND(Source!AF63*Source!I63,2),2),2)</f>
        <v>58.7</v>
      </c>
      <c r="T98">
        <f>Source!Y63</f>
        <v>1964.05</v>
      </c>
      <c r="U98">
        <f>ROUND((175/100)*ROUND(ROUND(Source!AE63*Source!I63,2),2),2)</f>
        <v>0</v>
      </c>
      <c r="V98">
        <f>ROUND((0/100)*ROUND(Source!CS63*Source!I63,2),2)</f>
        <v>0</v>
      </c>
    </row>
    <row r="99" spans="1:28" ht="14.25" x14ac:dyDescent="0.2">
      <c r="A99" s="18"/>
      <c r="B99" s="18"/>
      <c r="C99" s="19" t="s">
        <v>67</v>
      </c>
      <c r="D99" s="20"/>
      <c r="E99" s="20"/>
      <c r="F99" s="21">
        <f>Source!AO63</f>
        <v>118.91</v>
      </c>
      <c r="G99" s="20" t="str">
        <f>IF(Source!DG63&lt;&gt;"",Source!DG63," ")</f>
        <v>)*1,15</v>
      </c>
      <c r="H99" s="20">
        <f>Source!AV63</f>
        <v>1</v>
      </c>
      <c r="I99" s="22">
        <f>ROUND(Source!AF63*Source!I63,2)</f>
        <v>69.06</v>
      </c>
      <c r="J99" s="20">
        <f>IF(Source!BA63&lt;&gt;0,Source!BA63,1)</f>
        <v>33.46</v>
      </c>
      <c r="K99" s="22">
        <f>Source!S63</f>
        <v>2310.65</v>
      </c>
      <c r="W99">
        <f>I99</f>
        <v>69.06</v>
      </c>
    </row>
    <row r="100" spans="1:28" ht="14.25" x14ac:dyDescent="0.2">
      <c r="A100" s="18"/>
      <c r="B100" s="18"/>
      <c r="C100" s="19" t="s">
        <v>68</v>
      </c>
      <c r="D100" s="20"/>
      <c r="E100" s="20"/>
      <c r="F100" s="21">
        <f>Source!AM63</f>
        <v>22.49</v>
      </c>
      <c r="G100" s="20" t="str">
        <f>IF(Source!DE63&lt;&gt;"",Source!DE63," ")</f>
        <v>)*1,25</v>
      </c>
      <c r="H100" s="20">
        <f>Source!AV63</f>
        <v>1</v>
      </c>
      <c r="I100" s="22">
        <f>ROUND(Source!AD63*Source!I63,2)</f>
        <v>14.2</v>
      </c>
      <c r="J100" s="20">
        <f>IF(Source!BB63&lt;&gt;0,Source!BB63,1)</f>
        <v>5.0999999999999996</v>
      </c>
      <c r="K100" s="22">
        <f>Source!Q63</f>
        <v>72.400000000000006</v>
      </c>
    </row>
    <row r="101" spans="1:28" ht="14.25" x14ac:dyDescent="0.2">
      <c r="A101" s="18"/>
      <c r="B101" s="18"/>
      <c r="C101" s="19" t="s">
        <v>81</v>
      </c>
      <c r="D101" s="20"/>
      <c r="E101" s="20"/>
      <c r="F101" s="21">
        <f>Source!AL63</f>
        <v>36.6</v>
      </c>
      <c r="G101" s="20" t="str">
        <f>IF(Source!DD63&lt;&gt;"",Source!DD63," ")</f>
        <v xml:space="preserve"> </v>
      </c>
      <c r="H101" s="20">
        <f>Source!AW63</f>
        <v>1</v>
      </c>
      <c r="I101" s="22">
        <f>ROUND(Source!AC63*Source!I63,2)</f>
        <v>18.48</v>
      </c>
      <c r="J101" s="20">
        <f>IF(Source!BC63&lt;&gt;0,Source!BC63,1)</f>
        <v>12.53</v>
      </c>
      <c r="K101" s="22">
        <f>Source!P63</f>
        <v>231.59</v>
      </c>
    </row>
    <row r="102" spans="1:28" ht="14.25" x14ac:dyDescent="0.2">
      <c r="A102" s="18"/>
      <c r="B102" s="18"/>
      <c r="C102" s="19" t="s">
        <v>70</v>
      </c>
      <c r="D102" s="20" t="s">
        <v>71</v>
      </c>
      <c r="E102" s="20">
        <f>Source!BZ63</f>
        <v>90</v>
      </c>
      <c r="F102" s="21"/>
      <c r="G102" s="20"/>
      <c r="H102" s="20"/>
      <c r="I102" s="22">
        <f>SUM(Q98:Q101)</f>
        <v>62.15</v>
      </c>
      <c r="J102" s="20">
        <f>Source!AT63</f>
        <v>90</v>
      </c>
      <c r="K102" s="22">
        <f>SUM(R98:R101)</f>
        <v>2079.59</v>
      </c>
    </row>
    <row r="103" spans="1:28" ht="14.25" x14ac:dyDescent="0.2">
      <c r="A103" s="18"/>
      <c r="B103" s="18"/>
      <c r="C103" s="19" t="s">
        <v>72</v>
      </c>
      <c r="D103" s="20" t="s">
        <v>71</v>
      </c>
      <c r="E103" s="20">
        <f>Source!CA63</f>
        <v>85</v>
      </c>
      <c r="F103" s="21"/>
      <c r="G103" s="20"/>
      <c r="H103" s="20"/>
      <c r="I103" s="22">
        <f>SUM(S98:S102)</f>
        <v>58.7</v>
      </c>
      <c r="J103" s="20">
        <f>Source!AU63</f>
        <v>85</v>
      </c>
      <c r="K103" s="22">
        <f>SUM(T98:T102)</f>
        <v>1964.05</v>
      </c>
    </row>
    <row r="104" spans="1:28" ht="14.25" x14ac:dyDescent="0.2">
      <c r="A104" s="24"/>
      <c r="B104" s="24"/>
      <c r="C104" s="25" t="s">
        <v>73</v>
      </c>
      <c r="D104" s="26" t="s">
        <v>74</v>
      </c>
      <c r="E104" s="26">
        <f>Source!AQ63</f>
        <v>12.8</v>
      </c>
      <c r="F104" s="27"/>
      <c r="G104" s="26" t="str">
        <f>IF(Source!DI63&lt;&gt;"",Source!DI63," ")</f>
        <v>)*1,15</v>
      </c>
      <c r="H104" s="26">
        <f>Source!AV63</f>
        <v>1</v>
      </c>
      <c r="I104" s="28">
        <f>Source!U63</f>
        <v>7.4335999999999993</v>
      </c>
      <c r="J104" s="26"/>
      <c r="K104" s="28"/>
      <c r="AB104">
        <f>I104</f>
        <v>7.4335999999999993</v>
      </c>
    </row>
    <row r="105" spans="1:28" ht="15" x14ac:dyDescent="0.2">
      <c r="A105" s="29"/>
      <c r="B105" s="30"/>
      <c r="C105" s="31" t="s">
        <v>75</v>
      </c>
      <c r="D105" s="31"/>
      <c r="E105" s="31"/>
      <c r="F105" s="31"/>
      <c r="G105" s="31"/>
      <c r="H105" s="47">
        <f>I99+I100+I101+I102+I103</f>
        <v>222.59000000000003</v>
      </c>
      <c r="I105" s="47"/>
      <c r="J105" s="47">
        <f>K99+K100+K101+K102+K103</f>
        <v>6658.2800000000007</v>
      </c>
      <c r="K105" s="47"/>
      <c r="O105">
        <f>H105</f>
        <v>222.59000000000003</v>
      </c>
      <c r="P105">
        <f>J105</f>
        <v>6658.2800000000007</v>
      </c>
      <c r="X105">
        <f>IF(Source!BI63&lt;=1,I99+I100+I101+I102+I103-0,0)</f>
        <v>222.59000000000003</v>
      </c>
      <c r="Y105">
        <f>IF(Source!BI63=2,I99+I100+I101+I102+I103-0,0)</f>
        <v>0</v>
      </c>
      <c r="Z105">
        <f>IF(Source!BI63=3,I99+I100+I101+I102+I103-0,0)</f>
        <v>0</v>
      </c>
      <c r="AA105">
        <f>IF(Source!BI63=4,I99+I100+I101+I102+I103,0)</f>
        <v>0</v>
      </c>
    </row>
    <row r="107" spans="1:28" ht="42.75" x14ac:dyDescent="0.2">
      <c r="A107" s="24" t="str">
        <f>IF(Source!E67&lt;&gt;"",Source!E67,"")</f>
        <v>13</v>
      </c>
      <c r="B107" s="24" t="str">
        <f>IF(Source!F67&lt;&gt;"",Source!F67,"")</f>
        <v>Прайс лист СТД "Петрович"</v>
      </c>
      <c r="C107" s="25" t="s">
        <v>36</v>
      </c>
      <c r="D107" s="26" t="str">
        <f>IF(Source!H67&lt;&gt;"",Source!H67,"")</f>
        <v>м</v>
      </c>
      <c r="E107" s="26">
        <f>Source!I67</f>
        <v>50.5</v>
      </c>
      <c r="F107" s="27">
        <f>Source!AL67</f>
        <v>357.5</v>
      </c>
      <c r="G107" s="26" t="str">
        <f>IF(Source!DD67&lt;&gt;"",Source!DD67," ")</f>
        <v xml:space="preserve"> </v>
      </c>
      <c r="H107" s="26">
        <f>Source!AW67</f>
        <v>1</v>
      </c>
      <c r="I107" s="28">
        <f>ROUND(Source!AC67*Source!I67,2)</f>
        <v>18053.75</v>
      </c>
      <c r="J107" s="26">
        <f>IF(Source!BC67&lt;&gt;0,Source!BC67,1)</f>
        <v>1</v>
      </c>
      <c r="K107" s="28">
        <f>Source!P67</f>
        <v>18053.75</v>
      </c>
      <c r="Q107">
        <f>ROUND((Source!BZ67/100)*ROUND(ROUND(Source!AF67*Source!I67,2),2),2)</f>
        <v>0</v>
      </c>
      <c r="R107">
        <f>Source!X67</f>
        <v>0</v>
      </c>
      <c r="S107">
        <f>ROUND((Source!CA67/100)*ROUND(ROUND(Source!AF67*Source!I67,2),2),2)</f>
        <v>0</v>
      </c>
      <c r="T107">
        <f>Source!Y67</f>
        <v>0</v>
      </c>
      <c r="U107">
        <f>ROUND((175/100)*ROUND(ROUND(Source!AE67*Source!I67,2),2),2)</f>
        <v>0</v>
      </c>
      <c r="V107">
        <f>ROUND((0/100)*ROUND(Source!CS67*Source!I67,2),2)</f>
        <v>0</v>
      </c>
    </row>
    <row r="108" spans="1:28" ht="15" x14ac:dyDescent="0.2">
      <c r="A108" s="29"/>
      <c r="B108" s="30"/>
      <c r="C108" s="31" t="s">
        <v>75</v>
      </c>
      <c r="D108" s="31"/>
      <c r="E108" s="31"/>
      <c r="F108" s="31"/>
      <c r="G108" s="31"/>
      <c r="H108" s="47">
        <f>I107</f>
        <v>18053.75</v>
      </c>
      <c r="I108" s="47"/>
      <c r="J108" s="47">
        <f>K107</f>
        <v>18053.75</v>
      </c>
      <c r="K108" s="47"/>
      <c r="O108">
        <f>H108</f>
        <v>18053.75</v>
      </c>
      <c r="P108">
        <f>J108</f>
        <v>18053.75</v>
      </c>
      <c r="X108">
        <f>IF(Source!BI67&lt;=1,I107-0,0)</f>
        <v>18053.75</v>
      </c>
      <c r="Y108">
        <f>IF(Source!BI67=2,I107-0,0)</f>
        <v>0</v>
      </c>
      <c r="Z108">
        <f>IF(Source!BI67=3,I107-0,0)</f>
        <v>0</v>
      </c>
      <c r="AA108">
        <f>IF(Source!BI67=4,I107,0)</f>
        <v>0</v>
      </c>
    </row>
    <row r="110" spans="1:28" ht="28.5" x14ac:dyDescent="0.2">
      <c r="A110" s="18" t="str">
        <f>IF(Source!E69&lt;&gt;"",Source!E69,"")</f>
        <v>15</v>
      </c>
      <c r="B110" s="18" t="str">
        <f>IF(Source!F69&lt;&gt;"",Source!F69,"")</f>
        <v>т01-01-01-041</v>
      </c>
      <c r="C110" s="19" t="s">
        <v>86</v>
      </c>
      <c r="D110" s="20" t="str">
        <f>IF(Source!H69&lt;&gt;"",Source!H69,"")</f>
        <v>1 Т ГРУЗА</v>
      </c>
      <c r="E110" s="20">
        <f>Source!I69</f>
        <v>1.2210000000000001</v>
      </c>
      <c r="F110" s="21"/>
      <c r="G110" s="20"/>
      <c r="H110" s="20"/>
      <c r="I110" s="22"/>
      <c r="J110" s="20" t="str">
        <f>IF(Source!BO69&lt;&gt;"",Source!BO69,"")</f>
        <v/>
      </c>
      <c r="K110" s="22"/>
      <c r="Q110">
        <f>ROUND((Source!BZ69/100)*ROUND(ROUND(Source!AF69*Source!I69,2),2),2)</f>
        <v>0</v>
      </c>
      <c r="R110">
        <f>Source!X69</f>
        <v>0</v>
      </c>
      <c r="S110">
        <f>ROUND((Source!CA69/100)*ROUND(ROUND(Source!AF69*Source!I69,2),2),2)</f>
        <v>0</v>
      </c>
      <c r="T110">
        <f>Source!Y69</f>
        <v>0</v>
      </c>
      <c r="U110">
        <f>ROUND((175/100)*ROUND(ROUND(Source!AE69*Source!I69,2),2),2)</f>
        <v>0</v>
      </c>
      <c r="V110">
        <f>ROUND((0/100)*ROUND(Source!CS69*Source!I69,2),2)</f>
        <v>0</v>
      </c>
    </row>
    <row r="111" spans="1:28" ht="14.25" x14ac:dyDescent="0.2">
      <c r="A111" s="18"/>
      <c r="B111" s="18"/>
      <c r="C111" s="19" t="s">
        <v>67</v>
      </c>
      <c r="D111" s="20"/>
      <c r="E111" s="20"/>
      <c r="F111" s="21">
        <f>Source!AO69</f>
        <v>4.1500000000000004</v>
      </c>
      <c r="G111" s="20" t="str">
        <f>IF(Source!DG69&lt;&gt;"",Source!DG69," ")</f>
        <v xml:space="preserve"> </v>
      </c>
      <c r="H111" s="20">
        <f>Source!AV69</f>
        <v>1</v>
      </c>
      <c r="I111" s="22">
        <f>ROUND(Source!AF69*Source!I69,2)</f>
        <v>13.17</v>
      </c>
      <c r="J111" s="20">
        <f>IF(Source!BA69&lt;&gt;0,Source!BA69,1)</f>
        <v>14.54</v>
      </c>
      <c r="K111" s="22">
        <f>Source!S69</f>
        <v>191.56</v>
      </c>
      <c r="W111">
        <f>I111</f>
        <v>13.17</v>
      </c>
    </row>
    <row r="112" spans="1:28" ht="14.25" x14ac:dyDescent="0.2">
      <c r="A112" s="18"/>
      <c r="B112" s="18"/>
      <c r="C112" s="19" t="s">
        <v>68</v>
      </c>
      <c r="D112" s="20"/>
      <c r="E112" s="20"/>
      <c r="F112" s="21">
        <f>Source!AM69</f>
        <v>32.19</v>
      </c>
      <c r="G112" s="20" t="str">
        <f>IF(Source!DE69&lt;&gt;"",Source!DE69," ")</f>
        <v xml:space="preserve"> </v>
      </c>
      <c r="H112" s="20">
        <f>Source!AV69</f>
        <v>1</v>
      </c>
      <c r="I112" s="22">
        <f>ROUND(Source!AD69*Source!I69,2)</f>
        <v>39.299999999999997</v>
      </c>
      <c r="J112" s="20">
        <f>IF(Source!BB69&lt;&gt;0,Source!BB69,1)</f>
        <v>14.54</v>
      </c>
      <c r="K112" s="22">
        <f>Source!Q69</f>
        <v>571.48</v>
      </c>
    </row>
    <row r="113" spans="1:28" ht="14.25" x14ac:dyDescent="0.2">
      <c r="A113" s="24"/>
      <c r="B113" s="24"/>
      <c r="C113" s="25" t="s">
        <v>73</v>
      </c>
      <c r="D113" s="26" t="s">
        <v>74</v>
      </c>
      <c r="E113" s="26">
        <f>Source!AQ69</f>
        <v>0.57769999999999999</v>
      </c>
      <c r="F113" s="27"/>
      <c r="G113" s="26" t="str">
        <f>IF(Source!DI69&lt;&gt;"",Source!DI69," ")</f>
        <v xml:space="preserve"> </v>
      </c>
      <c r="H113" s="26">
        <f>Source!AV69</f>
        <v>1</v>
      </c>
      <c r="I113" s="28">
        <f>Source!U69</f>
        <v>0.70537170000000005</v>
      </c>
      <c r="J113" s="26"/>
      <c r="K113" s="28"/>
      <c r="AB113">
        <f>I113</f>
        <v>0.70537170000000005</v>
      </c>
    </row>
    <row r="114" spans="1:28" ht="15" x14ac:dyDescent="0.2">
      <c r="A114" s="29"/>
      <c r="B114" s="30"/>
      <c r="C114" s="31" t="s">
        <v>75</v>
      </c>
      <c r="D114" s="31"/>
      <c r="E114" s="31"/>
      <c r="F114" s="31"/>
      <c r="G114" s="31"/>
      <c r="H114" s="47">
        <f>I111+I112</f>
        <v>52.47</v>
      </c>
      <c r="I114" s="47"/>
      <c r="J114" s="47">
        <f>K111+K112</f>
        <v>763.04</v>
      </c>
      <c r="K114" s="47"/>
      <c r="O114">
        <f>H114</f>
        <v>52.47</v>
      </c>
      <c r="P114">
        <f>J114</f>
        <v>763.04</v>
      </c>
      <c r="X114">
        <f>IF(Source!BI69&lt;=1,I111+I112-0,0)</f>
        <v>52.47</v>
      </c>
      <c r="Y114">
        <f>IF(Source!BI69=2,I111+I112-0,0)</f>
        <v>0</v>
      </c>
      <c r="Z114">
        <f>IF(Source!BI69=3,I111+I112-0,0)</f>
        <v>0</v>
      </c>
      <c r="AA114">
        <f>IF(Source!BI69=4,I111+I112,0)</f>
        <v>0</v>
      </c>
    </row>
    <row r="116" spans="1:28" ht="42.75" x14ac:dyDescent="0.2">
      <c r="A116" s="18" t="str">
        <f>IF(Source!E71&lt;&gt;"",Source!E71,"")</f>
        <v>16</v>
      </c>
      <c r="B116" s="18" t="str">
        <f>IF(Source!F71&lt;&gt;"",Source!F71,"")</f>
        <v>т03-01-01-026</v>
      </c>
      <c r="C116" s="19" t="s">
        <v>87</v>
      </c>
      <c r="D116" s="20" t="str">
        <f>IF(Source!H71&lt;&gt;"",Source!H71,"")</f>
        <v>1 Т ГРУЗА</v>
      </c>
      <c r="E116" s="20">
        <f>Source!I71</f>
        <v>1.2210000000000001</v>
      </c>
      <c r="F116" s="21"/>
      <c r="G116" s="20"/>
      <c r="H116" s="20"/>
      <c r="I116" s="22"/>
      <c r="J116" s="20" t="str">
        <f>IF(Source!BO71&lt;&gt;"",Source!BO71,"")</f>
        <v/>
      </c>
      <c r="K116" s="22"/>
      <c r="Q116">
        <f>ROUND((Source!BZ71/100)*ROUND(ROUND(Source!AF71*Source!I71,2),2),2)</f>
        <v>0</v>
      </c>
      <c r="R116">
        <f>Source!X71</f>
        <v>0</v>
      </c>
      <c r="S116">
        <f>ROUND((Source!CA71/100)*ROUND(ROUND(Source!AF71*Source!I71,2),2),2)</f>
        <v>0</v>
      </c>
      <c r="T116">
        <f>Source!Y71</f>
        <v>0</v>
      </c>
      <c r="U116">
        <f>ROUND((175/100)*ROUND(ROUND(Source!AE71*Source!I71,2),2),2)</f>
        <v>0</v>
      </c>
      <c r="V116">
        <f>ROUND((0/100)*ROUND(Source!CS71*Source!I71,2),2)</f>
        <v>0</v>
      </c>
    </row>
    <row r="117" spans="1:28" ht="14.25" x14ac:dyDescent="0.2">
      <c r="A117" s="24"/>
      <c r="B117" s="24"/>
      <c r="C117" s="25" t="s">
        <v>68</v>
      </c>
      <c r="D117" s="26"/>
      <c r="E117" s="26"/>
      <c r="F117" s="27">
        <f>Source!AM71</f>
        <v>17.059999999999999</v>
      </c>
      <c r="G117" s="26" t="str">
        <f>IF(Source!DE71&lt;&gt;"",Source!DE71," ")</f>
        <v xml:space="preserve"> </v>
      </c>
      <c r="H117" s="26">
        <f>Source!AV71</f>
        <v>1</v>
      </c>
      <c r="I117" s="28">
        <f>ROUND(Source!AD71*Source!I71,2)</f>
        <v>20.83</v>
      </c>
      <c r="J117" s="26">
        <f>IF(Source!BB71&lt;&gt;0,Source!BB71,1)</f>
        <v>9.89</v>
      </c>
      <c r="K117" s="28">
        <f>Source!Q71</f>
        <v>206.01</v>
      </c>
    </row>
    <row r="118" spans="1:28" ht="15" x14ac:dyDescent="0.2">
      <c r="A118" s="29"/>
      <c r="B118" s="30"/>
      <c r="C118" s="31" t="s">
        <v>75</v>
      </c>
      <c r="D118" s="31"/>
      <c r="E118" s="31"/>
      <c r="F118" s="31"/>
      <c r="G118" s="31"/>
      <c r="H118" s="47">
        <f>I117</f>
        <v>20.83</v>
      </c>
      <c r="I118" s="47"/>
      <c r="J118" s="47">
        <f>K117</f>
        <v>206.01</v>
      </c>
      <c r="K118" s="47"/>
      <c r="O118">
        <f>H118</f>
        <v>20.83</v>
      </c>
      <c r="P118">
        <f>J118</f>
        <v>206.01</v>
      </c>
      <c r="X118">
        <f>IF(Source!BI71&lt;=1,I117-0,0)</f>
        <v>20.83</v>
      </c>
      <c r="Y118">
        <f>IF(Source!BI71=2,I117-0,0)</f>
        <v>0</v>
      </c>
      <c r="Z118">
        <f>IF(Source!BI71=3,I117-0,0)</f>
        <v>0</v>
      </c>
      <c r="AA118">
        <f>IF(Source!BI71=4,I117,0)</f>
        <v>0</v>
      </c>
    </row>
    <row r="121" spans="1:28" ht="15" x14ac:dyDescent="0.2">
      <c r="A121" s="48" t="str">
        <f>CONCATENATE("Итого по локальной смете: ",IF(Source!G73&lt;&gt;"Новая локальная смета",Source!G73,""))</f>
        <v>Итого по локальной смете: Ремонт ступеней</v>
      </c>
      <c r="B121" s="48"/>
      <c r="C121" s="48"/>
      <c r="D121" s="48"/>
      <c r="E121" s="48"/>
      <c r="F121" s="48"/>
      <c r="G121" s="31"/>
      <c r="H121" s="47">
        <f>SUM(O27:O120)</f>
        <v>29871.020000000004</v>
      </c>
      <c r="I121" s="47"/>
      <c r="J121" s="47">
        <f>SUM(P27:P120)</f>
        <v>270999.31</v>
      </c>
      <c r="K121" s="47"/>
    </row>
    <row r="122" spans="1:28" ht="15.75" hidden="1" customHeight="1" x14ac:dyDescent="0.2">
      <c r="A122" s="51" t="s">
        <v>88</v>
      </c>
      <c r="B122" s="51"/>
      <c r="C122" s="51"/>
      <c r="D122" s="51"/>
      <c r="E122" s="51"/>
      <c r="F122" s="51"/>
      <c r="H122">
        <f>SUM(AC27:AC121)</f>
        <v>0</v>
      </c>
      <c r="J122">
        <f>SUM(AD27:AD121)</f>
        <v>0</v>
      </c>
    </row>
    <row r="123" spans="1:28" ht="15.75" hidden="1" customHeight="1" x14ac:dyDescent="0.2">
      <c r="A123" s="51" t="s">
        <v>89</v>
      </c>
      <c r="B123" s="51"/>
      <c r="C123" s="51"/>
      <c r="D123" s="51"/>
      <c r="E123" s="51"/>
      <c r="F123" s="51"/>
      <c r="H123">
        <f>SUM(AE27:AE122)</f>
        <v>0</v>
      </c>
      <c r="J123">
        <f>SUM(AF27:AF122)</f>
        <v>0</v>
      </c>
    </row>
    <row r="125" spans="1:28" ht="15" x14ac:dyDescent="0.2">
      <c r="A125" s="48" t="str">
        <f>CONCATENATE("Итого по смете: ",IF(Source!G12&lt;&gt;"Новый объект",Source!G12,""))</f>
        <v>Итого по смете: МАДОУ д-с №7 "Семицветик" г.о. Пущино Московской обл.</v>
      </c>
      <c r="B125" s="48"/>
      <c r="C125" s="48"/>
      <c r="D125" s="48"/>
      <c r="E125" s="48"/>
      <c r="F125" s="48"/>
      <c r="G125" s="31"/>
      <c r="H125" s="47">
        <f>SUM(O1:O124)</f>
        <v>29871.020000000004</v>
      </c>
      <c r="I125" s="47"/>
      <c r="J125" s="47">
        <f>SUM(P1:P124)</f>
        <v>270999.31</v>
      </c>
      <c r="K125" s="47"/>
    </row>
    <row r="126" spans="1:28" ht="15.75" hidden="1" customHeight="1" x14ac:dyDescent="0.2">
      <c r="A126" s="51" t="s">
        <v>88</v>
      </c>
      <c r="B126" s="51"/>
      <c r="C126" s="51"/>
      <c r="D126" s="51"/>
      <c r="E126" s="51"/>
      <c r="F126" s="51"/>
      <c r="H126">
        <f>SUM(AC1:AC125)</f>
        <v>0</v>
      </c>
      <c r="J126">
        <f>SUM(AD1:AD125)</f>
        <v>0</v>
      </c>
    </row>
    <row r="127" spans="1:28" ht="15.75" hidden="1" customHeight="1" x14ac:dyDescent="0.2">
      <c r="A127" s="51" t="s">
        <v>89</v>
      </c>
      <c r="B127" s="51"/>
      <c r="C127" s="51"/>
      <c r="D127" s="51"/>
      <c r="E127" s="51"/>
      <c r="F127" s="51"/>
      <c r="H127">
        <f>SUM(AE1:AE126)</f>
        <v>0</v>
      </c>
      <c r="J127">
        <f>SUM(AF1:AF126)</f>
        <v>0</v>
      </c>
    </row>
    <row r="128" spans="1:28" ht="14.25" x14ac:dyDescent="0.2">
      <c r="A128" s="32"/>
      <c r="B128" s="32"/>
      <c r="C128" s="50" t="str">
        <f>IF(Source!H132&lt;&gt;"",Source!H132,"")</f>
        <v>НДС 20%</v>
      </c>
      <c r="D128" s="50"/>
      <c r="E128" s="50"/>
      <c r="F128" s="50"/>
      <c r="G128" s="50"/>
      <c r="H128" s="50"/>
      <c r="I128" s="50"/>
      <c r="J128" s="49">
        <f>Source!P132</f>
        <v>54199.86</v>
      </c>
      <c r="K128" s="49"/>
    </row>
    <row r="129" spans="1:11" ht="14.25" x14ac:dyDescent="0.2">
      <c r="A129" s="32"/>
      <c r="B129" s="32"/>
      <c r="C129" s="50" t="str">
        <f>IF(Source!H133&lt;&gt;"",Source!H133,"")</f>
        <v>Итого с НДС 20%</v>
      </c>
      <c r="D129" s="50"/>
      <c r="E129" s="50"/>
      <c r="F129" s="50"/>
      <c r="G129" s="50"/>
      <c r="H129" s="50"/>
      <c r="I129" s="50"/>
      <c r="J129" s="49">
        <f>Source!P133</f>
        <v>325199.17</v>
      </c>
      <c r="K129" s="49"/>
    </row>
    <row r="133" spans="1:11" ht="14.25" x14ac:dyDescent="0.2">
      <c r="A133" s="52" t="s">
        <v>90</v>
      </c>
      <c r="B133" s="52"/>
      <c r="C133" s="33"/>
      <c r="D133" s="33"/>
      <c r="E133" s="33"/>
      <c r="F133" s="33"/>
      <c r="G133" s="33"/>
      <c r="H133" s="8"/>
      <c r="I133" s="8"/>
      <c r="J133" s="8"/>
      <c r="K133" s="8"/>
    </row>
    <row r="134" spans="1:11" ht="14.25" x14ac:dyDescent="0.2">
      <c r="A134" s="8"/>
      <c r="B134" s="8"/>
      <c r="C134" s="41" t="s">
        <v>91</v>
      </c>
      <c r="D134" s="41"/>
      <c r="E134" s="41"/>
      <c r="F134" s="41"/>
      <c r="G134" s="41"/>
      <c r="H134" s="8"/>
      <c r="I134" s="8"/>
      <c r="J134" s="8"/>
      <c r="K134" s="8"/>
    </row>
    <row r="135" spans="1:11" ht="14.25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ht="14.25" x14ac:dyDescent="0.2">
      <c r="A136" s="52" t="s">
        <v>92</v>
      </c>
      <c r="B136" s="52"/>
      <c r="C136" s="33" t="str">
        <f>IF(Source!AE12&lt;&gt;"",Source!AE12," ")</f>
        <v xml:space="preserve"> </v>
      </c>
      <c r="D136" s="33"/>
      <c r="E136" s="33"/>
      <c r="F136" s="33"/>
      <c r="G136" s="33"/>
      <c r="H136" s="8" t="str">
        <f>IF(Source!AD12&lt;&gt;"",Source!AD12," ")</f>
        <v xml:space="preserve"> </v>
      </c>
      <c r="I136" s="8"/>
      <c r="J136" s="8"/>
      <c r="K136" s="8"/>
    </row>
    <row r="137" spans="1:11" ht="14.25" x14ac:dyDescent="0.2">
      <c r="A137" s="8"/>
      <c r="B137" s="8"/>
      <c r="C137" s="41" t="s">
        <v>91</v>
      </c>
      <c r="D137" s="41"/>
      <c r="E137" s="41"/>
      <c r="F137" s="41"/>
      <c r="G137" s="41"/>
      <c r="H137" s="8"/>
      <c r="I137" s="8"/>
      <c r="J137" s="8"/>
      <c r="K137" s="8"/>
    </row>
  </sheetData>
  <mergeCells count="55">
    <mergeCell ref="A133:B133"/>
    <mergeCell ref="C134:G134"/>
    <mergeCell ref="A136:B136"/>
    <mergeCell ref="C137:G137"/>
    <mergeCell ref="A126:F126"/>
    <mergeCell ref="A127:F127"/>
    <mergeCell ref="C128:I128"/>
    <mergeCell ref="J128:K128"/>
    <mergeCell ref="C129:I129"/>
    <mergeCell ref="J129:K129"/>
    <mergeCell ref="A122:F122"/>
    <mergeCell ref="A123:F123"/>
    <mergeCell ref="A125:F125"/>
    <mergeCell ref="H125:I125"/>
    <mergeCell ref="J125:K125"/>
    <mergeCell ref="H114:I114"/>
    <mergeCell ref="J114:K114"/>
    <mergeCell ref="H118:I118"/>
    <mergeCell ref="J118:K118"/>
    <mergeCell ref="A121:F121"/>
    <mergeCell ref="H121:I121"/>
    <mergeCell ref="J121:K121"/>
    <mergeCell ref="H96:I96"/>
    <mergeCell ref="J96:K96"/>
    <mergeCell ref="H105:I105"/>
    <mergeCell ref="J105:K105"/>
    <mergeCell ref="H108:I108"/>
    <mergeCell ref="J108:K108"/>
    <mergeCell ref="H64:I64"/>
    <mergeCell ref="J64:K64"/>
    <mergeCell ref="H76:I76"/>
    <mergeCell ref="J76:K76"/>
    <mergeCell ref="H86:I86"/>
    <mergeCell ref="J86:K86"/>
    <mergeCell ref="H35:I35"/>
    <mergeCell ref="J35:K35"/>
    <mergeCell ref="H45:I45"/>
    <mergeCell ref="J45:K45"/>
    <mergeCell ref="H55:I55"/>
    <mergeCell ref="J55:K55"/>
    <mergeCell ref="F18:H18"/>
    <mergeCell ref="F19:H19"/>
    <mergeCell ref="F20:H20"/>
    <mergeCell ref="A23:K23"/>
    <mergeCell ref="A27:K27"/>
    <mergeCell ref="A11:K11"/>
    <mergeCell ref="F14:H14"/>
    <mergeCell ref="F15:H15"/>
    <mergeCell ref="F16:H16"/>
    <mergeCell ref="F17:H17"/>
    <mergeCell ref="A3:K3"/>
    <mergeCell ref="A4:K4"/>
    <mergeCell ref="A6:K6"/>
    <mergeCell ref="A8:K8"/>
    <mergeCell ref="A9:K9"/>
  </mergeCells>
  <pageMargins left="0.39374999999999999" right="0.196527777777778" top="0.196527777777778" bottom="0.46180555555555602" header="0.51180555555555496" footer="0.196527777777778"/>
  <pageSetup paperSize="9" scale="57" firstPageNumber="0" fitToHeight="0" orientation="portrait" horizontalDpi="300" verticalDpi="300" r:id="rId1"/>
  <headerFoot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193"/>
  <sheetViews>
    <sheetView zoomScaleNormal="100" workbookViewId="0">
      <selection activeCell="AB13" sqref="AB13"/>
    </sheetView>
  </sheetViews>
  <sheetFormatPr defaultRowHeight="12.75" x14ac:dyDescent="0.2"/>
  <cols>
    <col min="1" max="1025" width="9.140625" customWidth="1"/>
  </cols>
  <sheetData>
    <row r="1" spans="1:133" x14ac:dyDescent="0.2">
      <c r="A1">
        <v>0</v>
      </c>
      <c r="B1" t="s">
        <v>93</v>
      </c>
      <c r="D1" t="s">
        <v>94</v>
      </c>
      <c r="F1">
        <v>0</v>
      </c>
      <c r="G1">
        <v>0</v>
      </c>
      <c r="H1">
        <v>0</v>
      </c>
      <c r="I1" t="s">
        <v>95</v>
      </c>
      <c r="K1">
        <v>1</v>
      </c>
      <c r="L1">
        <v>40934</v>
      </c>
      <c r="M1">
        <v>211944327</v>
      </c>
      <c r="N1">
        <v>11</v>
      </c>
      <c r="O1">
        <v>3</v>
      </c>
      <c r="P1">
        <v>0</v>
      </c>
      <c r="Q1">
        <v>0</v>
      </c>
    </row>
    <row r="12" spans="1:133" x14ac:dyDescent="0.2">
      <c r="A12">
        <v>1</v>
      </c>
      <c r="B12">
        <v>187</v>
      </c>
      <c r="C12">
        <v>0</v>
      </c>
      <c r="D12">
        <f>ROW(A103)</f>
        <v>103</v>
      </c>
      <c r="E12">
        <v>0</v>
      </c>
      <c r="F12" t="s">
        <v>96</v>
      </c>
      <c r="G12" s="34" t="s">
        <v>486</v>
      </c>
      <c r="I12">
        <v>0</v>
      </c>
      <c r="K12">
        <v>0</v>
      </c>
      <c r="L12">
        <v>0</v>
      </c>
      <c r="M12"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V12">
        <v>0</v>
      </c>
      <c r="AB12" s="34" t="s">
        <v>487</v>
      </c>
      <c r="AC12" s="34" t="s">
        <v>488</v>
      </c>
      <c r="BB12">
        <v>0</v>
      </c>
      <c r="BH12" t="s">
        <v>98</v>
      </c>
      <c r="BI12" t="s">
        <v>99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100</v>
      </c>
      <c r="BZ12" t="s">
        <v>101</v>
      </c>
      <c r="CA12" t="s">
        <v>102</v>
      </c>
      <c r="CB12" t="s">
        <v>102</v>
      </c>
      <c r="CC12" t="s">
        <v>102</v>
      </c>
      <c r="CD12" t="s">
        <v>102</v>
      </c>
      <c r="CE12" t="s">
        <v>103</v>
      </c>
      <c r="CF12">
        <v>0</v>
      </c>
      <c r="CG12">
        <v>0</v>
      </c>
      <c r="CH12">
        <v>8200</v>
      </c>
      <c r="CK12">
        <v>1</v>
      </c>
      <c r="EC12">
        <v>0</v>
      </c>
    </row>
    <row r="15" spans="1:133" x14ac:dyDescent="0.2">
      <c r="A15">
        <v>15</v>
      </c>
      <c r="B15">
        <v>1</v>
      </c>
    </row>
    <row r="18" spans="1:245" x14ac:dyDescent="0.2">
      <c r="A18">
        <v>52</v>
      </c>
      <c r="B18">
        <f t="shared" ref="B18:G18" si="0">B103</f>
        <v>187</v>
      </c>
      <c r="C18">
        <f t="shared" si="0"/>
        <v>1</v>
      </c>
      <c r="D18">
        <f t="shared" si="0"/>
        <v>12</v>
      </c>
      <c r="E18">
        <f t="shared" si="0"/>
        <v>0</v>
      </c>
      <c r="F18" t="str">
        <f t="shared" si="0"/>
        <v>Новый объект</v>
      </c>
      <c r="G18" t="str">
        <f t="shared" si="0"/>
        <v>МАДОУ д-с №7 "Семицветик" г.о. Пущино Московской обл.</v>
      </c>
      <c r="O18">
        <f t="shared" ref="O18:AT18" si="1">O103</f>
        <v>26154.39</v>
      </c>
      <c r="P18">
        <f t="shared" si="1"/>
        <v>23281.58</v>
      </c>
      <c r="Q18">
        <f t="shared" si="1"/>
        <v>717.3</v>
      </c>
      <c r="R18">
        <f t="shared" si="1"/>
        <v>148.5</v>
      </c>
      <c r="S18">
        <f t="shared" si="1"/>
        <v>2155.5100000000002</v>
      </c>
      <c r="T18">
        <f t="shared" si="1"/>
        <v>0</v>
      </c>
      <c r="U18">
        <f t="shared" si="1"/>
        <v>250.0861147</v>
      </c>
      <c r="V18">
        <f t="shared" si="1"/>
        <v>13.531219999999999</v>
      </c>
      <c r="W18">
        <f t="shared" si="1"/>
        <v>71.45</v>
      </c>
      <c r="X18">
        <f t="shared" si="1"/>
        <v>2347.58</v>
      </c>
      <c r="Y18">
        <f t="shared" si="1"/>
        <v>1606.01</v>
      </c>
      <c r="Z18">
        <f t="shared" si="1"/>
        <v>0</v>
      </c>
      <c r="AA18">
        <f t="shared" si="1"/>
        <v>0</v>
      </c>
      <c r="AB18">
        <f t="shared" si="1"/>
        <v>0</v>
      </c>
      <c r="AC18">
        <f t="shared" si="1"/>
        <v>0</v>
      </c>
      <c r="AD18">
        <f t="shared" si="1"/>
        <v>0</v>
      </c>
      <c r="AE18">
        <f t="shared" si="1"/>
        <v>0</v>
      </c>
      <c r="AF18">
        <f t="shared" si="1"/>
        <v>0</v>
      </c>
      <c r="AG18">
        <f t="shared" si="1"/>
        <v>0</v>
      </c>
      <c r="AH18">
        <f t="shared" si="1"/>
        <v>0</v>
      </c>
      <c r="AI18">
        <f t="shared" si="1"/>
        <v>0</v>
      </c>
      <c r="AJ18">
        <f t="shared" si="1"/>
        <v>0</v>
      </c>
      <c r="AK18">
        <f t="shared" si="1"/>
        <v>0</v>
      </c>
      <c r="AL18">
        <f t="shared" si="1"/>
        <v>0</v>
      </c>
      <c r="AM18">
        <f t="shared" si="1"/>
        <v>0</v>
      </c>
      <c r="AN18">
        <f t="shared" si="1"/>
        <v>0</v>
      </c>
      <c r="AO18">
        <f t="shared" si="1"/>
        <v>0</v>
      </c>
      <c r="AP18">
        <f t="shared" si="1"/>
        <v>0</v>
      </c>
      <c r="AQ18">
        <f t="shared" si="1"/>
        <v>0</v>
      </c>
      <c r="AR18">
        <f t="shared" si="1"/>
        <v>30107.98</v>
      </c>
      <c r="AS18">
        <f t="shared" si="1"/>
        <v>30107.98</v>
      </c>
      <c r="AT18">
        <f t="shared" si="1"/>
        <v>0</v>
      </c>
      <c r="AU18">
        <f t="shared" ref="AU18:BZ18" si="2">AU103</f>
        <v>0</v>
      </c>
      <c r="AV18">
        <f t="shared" si="2"/>
        <v>23281.58</v>
      </c>
      <c r="AW18">
        <f t="shared" si="2"/>
        <v>23281.58</v>
      </c>
      <c r="AX18">
        <f t="shared" si="2"/>
        <v>0</v>
      </c>
      <c r="AY18">
        <f t="shared" si="2"/>
        <v>23281.58</v>
      </c>
      <c r="AZ18">
        <f t="shared" si="2"/>
        <v>0</v>
      </c>
      <c r="BA18">
        <f t="shared" si="2"/>
        <v>0</v>
      </c>
      <c r="BB18">
        <f t="shared" si="2"/>
        <v>0</v>
      </c>
      <c r="BC18">
        <f t="shared" si="2"/>
        <v>0</v>
      </c>
      <c r="BD18">
        <f t="shared" si="2"/>
        <v>73.3</v>
      </c>
      <c r="BE18">
        <f t="shared" si="2"/>
        <v>0</v>
      </c>
      <c r="BF18">
        <f t="shared" si="2"/>
        <v>0</v>
      </c>
      <c r="BG18">
        <f t="shared" si="2"/>
        <v>0</v>
      </c>
      <c r="BH18">
        <f t="shared" si="2"/>
        <v>0</v>
      </c>
      <c r="BI18">
        <f t="shared" si="2"/>
        <v>0</v>
      </c>
      <c r="BJ18">
        <f t="shared" si="2"/>
        <v>0</v>
      </c>
      <c r="BK18">
        <f t="shared" si="2"/>
        <v>0</v>
      </c>
      <c r="BL18">
        <f t="shared" si="2"/>
        <v>0</v>
      </c>
      <c r="BM18">
        <f t="shared" si="2"/>
        <v>0</v>
      </c>
      <c r="BN18">
        <f t="shared" si="2"/>
        <v>0</v>
      </c>
      <c r="BO18">
        <f t="shared" si="2"/>
        <v>0</v>
      </c>
      <c r="BP18">
        <f t="shared" si="2"/>
        <v>0</v>
      </c>
      <c r="BQ18">
        <f t="shared" si="2"/>
        <v>0</v>
      </c>
      <c r="BR18">
        <f t="shared" si="2"/>
        <v>0</v>
      </c>
      <c r="BS18">
        <f t="shared" si="2"/>
        <v>0</v>
      </c>
      <c r="BT18">
        <f t="shared" si="2"/>
        <v>0</v>
      </c>
      <c r="BU18">
        <f t="shared" si="2"/>
        <v>0</v>
      </c>
      <c r="BV18">
        <f t="shared" si="2"/>
        <v>0</v>
      </c>
      <c r="BW18">
        <f t="shared" si="2"/>
        <v>0</v>
      </c>
      <c r="BX18">
        <f t="shared" si="2"/>
        <v>0</v>
      </c>
      <c r="BY18">
        <f t="shared" si="2"/>
        <v>0</v>
      </c>
      <c r="BZ18">
        <f t="shared" si="2"/>
        <v>0</v>
      </c>
      <c r="CA18">
        <f t="shared" ref="CA18:DF18" si="3">CA103</f>
        <v>0</v>
      </c>
      <c r="CB18">
        <f t="shared" si="3"/>
        <v>0</v>
      </c>
      <c r="CC18">
        <f t="shared" si="3"/>
        <v>0</v>
      </c>
      <c r="CD18">
        <f t="shared" si="3"/>
        <v>0</v>
      </c>
      <c r="CE18">
        <f t="shared" si="3"/>
        <v>0</v>
      </c>
      <c r="CF18">
        <f t="shared" si="3"/>
        <v>0</v>
      </c>
      <c r="CG18">
        <f t="shared" si="3"/>
        <v>0</v>
      </c>
      <c r="CH18">
        <f t="shared" si="3"/>
        <v>0</v>
      </c>
      <c r="CI18">
        <f t="shared" si="3"/>
        <v>0</v>
      </c>
      <c r="CJ18">
        <f t="shared" si="3"/>
        <v>0</v>
      </c>
      <c r="CK18">
        <f t="shared" si="3"/>
        <v>0</v>
      </c>
      <c r="CL18">
        <f t="shared" si="3"/>
        <v>0</v>
      </c>
      <c r="CM18">
        <f t="shared" si="3"/>
        <v>0</v>
      </c>
      <c r="CN18">
        <f t="shared" si="3"/>
        <v>0</v>
      </c>
      <c r="CO18">
        <f t="shared" si="3"/>
        <v>0</v>
      </c>
      <c r="CP18">
        <f t="shared" si="3"/>
        <v>0</v>
      </c>
      <c r="CQ18">
        <f t="shared" si="3"/>
        <v>0</v>
      </c>
      <c r="CR18">
        <f t="shared" si="3"/>
        <v>0</v>
      </c>
      <c r="CS18">
        <f t="shared" si="3"/>
        <v>0</v>
      </c>
      <c r="CT18">
        <f t="shared" si="3"/>
        <v>0</v>
      </c>
      <c r="CU18">
        <f t="shared" si="3"/>
        <v>0</v>
      </c>
      <c r="CV18">
        <f t="shared" si="3"/>
        <v>0</v>
      </c>
      <c r="CW18">
        <f t="shared" si="3"/>
        <v>0</v>
      </c>
      <c r="CX18">
        <f t="shared" si="3"/>
        <v>0</v>
      </c>
      <c r="CY18">
        <f t="shared" si="3"/>
        <v>0</v>
      </c>
      <c r="CZ18">
        <f t="shared" si="3"/>
        <v>0</v>
      </c>
      <c r="DA18">
        <f t="shared" si="3"/>
        <v>0</v>
      </c>
      <c r="DB18">
        <f t="shared" si="3"/>
        <v>0</v>
      </c>
      <c r="DC18">
        <f t="shared" si="3"/>
        <v>0</v>
      </c>
      <c r="DD18">
        <f t="shared" si="3"/>
        <v>0</v>
      </c>
      <c r="DE18">
        <f t="shared" si="3"/>
        <v>0</v>
      </c>
      <c r="DF18">
        <f t="shared" si="3"/>
        <v>0</v>
      </c>
      <c r="DG18">
        <f t="shared" ref="DG18:EL18" si="4">DG103</f>
        <v>138712.72</v>
      </c>
      <c r="DH18">
        <f t="shared" si="4"/>
        <v>58554.05</v>
      </c>
      <c r="DI18">
        <f t="shared" si="4"/>
        <v>8284.58</v>
      </c>
      <c r="DJ18">
        <f t="shared" si="4"/>
        <v>4968.8999999999996</v>
      </c>
      <c r="DK18">
        <f t="shared" si="4"/>
        <v>71874.09</v>
      </c>
      <c r="DL18">
        <f t="shared" si="4"/>
        <v>0</v>
      </c>
      <c r="DM18">
        <f t="shared" si="4"/>
        <v>250.0861147</v>
      </c>
      <c r="DN18">
        <f t="shared" si="4"/>
        <v>13.531219999999999</v>
      </c>
      <c r="DO18">
        <f t="shared" si="4"/>
        <v>71.45</v>
      </c>
      <c r="DP18">
        <f t="shared" si="4"/>
        <v>78549.87</v>
      </c>
      <c r="DQ18">
        <f t="shared" si="4"/>
        <v>53736.72</v>
      </c>
      <c r="DR18">
        <f t="shared" si="4"/>
        <v>0</v>
      </c>
      <c r="DS18">
        <f t="shared" si="4"/>
        <v>0</v>
      </c>
      <c r="DT18">
        <f t="shared" si="4"/>
        <v>0</v>
      </c>
      <c r="DU18">
        <f t="shared" si="4"/>
        <v>0</v>
      </c>
      <c r="DV18">
        <f t="shared" si="4"/>
        <v>0</v>
      </c>
      <c r="DW18">
        <f t="shared" si="4"/>
        <v>0</v>
      </c>
      <c r="DX18">
        <f t="shared" si="4"/>
        <v>0</v>
      </c>
      <c r="DY18">
        <f t="shared" si="4"/>
        <v>0</v>
      </c>
      <c r="DZ18">
        <f t="shared" si="4"/>
        <v>0</v>
      </c>
      <c r="EA18">
        <f t="shared" si="4"/>
        <v>0</v>
      </c>
      <c r="EB18">
        <f t="shared" si="4"/>
        <v>0</v>
      </c>
      <c r="EC18">
        <f t="shared" si="4"/>
        <v>0</v>
      </c>
      <c r="ED18">
        <f t="shared" si="4"/>
        <v>0</v>
      </c>
      <c r="EE18">
        <f t="shared" si="4"/>
        <v>0</v>
      </c>
      <c r="EF18">
        <f t="shared" si="4"/>
        <v>0</v>
      </c>
      <c r="EG18">
        <f t="shared" si="4"/>
        <v>0</v>
      </c>
      <c r="EH18">
        <f t="shared" si="4"/>
        <v>0</v>
      </c>
      <c r="EI18">
        <f t="shared" si="4"/>
        <v>0</v>
      </c>
      <c r="EJ18">
        <f t="shared" si="4"/>
        <v>270999.31</v>
      </c>
      <c r="EK18">
        <f t="shared" si="4"/>
        <v>270999.31</v>
      </c>
      <c r="EL18">
        <f t="shared" si="4"/>
        <v>0</v>
      </c>
      <c r="EM18">
        <f t="shared" ref="EM18:FR18" si="5">EM103</f>
        <v>0</v>
      </c>
      <c r="EN18">
        <f t="shared" si="5"/>
        <v>58554.05</v>
      </c>
      <c r="EO18">
        <f t="shared" si="5"/>
        <v>58554.05</v>
      </c>
      <c r="EP18">
        <f t="shared" si="5"/>
        <v>0</v>
      </c>
      <c r="EQ18">
        <f t="shared" si="5"/>
        <v>58554.05</v>
      </c>
      <c r="ER18">
        <f t="shared" si="5"/>
        <v>0</v>
      </c>
      <c r="ES18">
        <f t="shared" si="5"/>
        <v>0</v>
      </c>
      <c r="ET18">
        <f t="shared" si="5"/>
        <v>0</v>
      </c>
      <c r="EU18">
        <f t="shared" si="5"/>
        <v>0</v>
      </c>
      <c r="EV18">
        <f t="shared" si="5"/>
        <v>969.05</v>
      </c>
      <c r="EW18">
        <f t="shared" si="5"/>
        <v>0</v>
      </c>
      <c r="EX18">
        <f t="shared" si="5"/>
        <v>0</v>
      </c>
      <c r="EY18">
        <f t="shared" si="5"/>
        <v>0</v>
      </c>
      <c r="EZ18">
        <f t="shared" si="5"/>
        <v>0</v>
      </c>
      <c r="FA18">
        <f t="shared" si="5"/>
        <v>0</v>
      </c>
      <c r="FB18">
        <f t="shared" si="5"/>
        <v>0</v>
      </c>
      <c r="FC18">
        <f t="shared" si="5"/>
        <v>0</v>
      </c>
      <c r="FD18">
        <f t="shared" si="5"/>
        <v>0</v>
      </c>
      <c r="FE18">
        <f t="shared" si="5"/>
        <v>0</v>
      </c>
      <c r="FF18">
        <f t="shared" si="5"/>
        <v>0</v>
      </c>
      <c r="FG18">
        <f t="shared" si="5"/>
        <v>0</v>
      </c>
      <c r="FH18">
        <f t="shared" si="5"/>
        <v>0</v>
      </c>
      <c r="FI18">
        <f t="shared" si="5"/>
        <v>0</v>
      </c>
      <c r="FJ18">
        <f t="shared" si="5"/>
        <v>0</v>
      </c>
      <c r="FK18">
        <f t="shared" si="5"/>
        <v>0</v>
      </c>
      <c r="FL18">
        <f t="shared" si="5"/>
        <v>0</v>
      </c>
      <c r="FM18">
        <f t="shared" si="5"/>
        <v>0</v>
      </c>
      <c r="FN18">
        <f t="shared" si="5"/>
        <v>0</v>
      </c>
      <c r="FO18">
        <f t="shared" si="5"/>
        <v>0</v>
      </c>
      <c r="FP18">
        <f t="shared" si="5"/>
        <v>0</v>
      </c>
      <c r="FQ18">
        <f t="shared" si="5"/>
        <v>0</v>
      </c>
      <c r="FR18">
        <f t="shared" si="5"/>
        <v>0</v>
      </c>
      <c r="FS18">
        <f t="shared" ref="FS18:GX18" si="6">FS103</f>
        <v>0</v>
      </c>
      <c r="FT18">
        <f t="shared" si="6"/>
        <v>0</v>
      </c>
      <c r="FU18">
        <f t="shared" si="6"/>
        <v>0</v>
      </c>
      <c r="FV18">
        <f t="shared" si="6"/>
        <v>0</v>
      </c>
      <c r="FW18">
        <f t="shared" si="6"/>
        <v>0</v>
      </c>
      <c r="FX18">
        <f t="shared" si="6"/>
        <v>0</v>
      </c>
      <c r="FY18">
        <f t="shared" si="6"/>
        <v>0</v>
      </c>
      <c r="FZ18">
        <f t="shared" si="6"/>
        <v>0</v>
      </c>
      <c r="GA18">
        <f t="shared" si="6"/>
        <v>0</v>
      </c>
      <c r="GB18">
        <f t="shared" si="6"/>
        <v>0</v>
      </c>
      <c r="GC18">
        <f t="shared" si="6"/>
        <v>0</v>
      </c>
      <c r="GD18">
        <f t="shared" si="6"/>
        <v>0</v>
      </c>
      <c r="GE18">
        <f t="shared" si="6"/>
        <v>0</v>
      </c>
      <c r="GF18">
        <f t="shared" si="6"/>
        <v>0</v>
      </c>
      <c r="GG18">
        <f t="shared" si="6"/>
        <v>0</v>
      </c>
      <c r="GH18">
        <f t="shared" si="6"/>
        <v>0</v>
      </c>
      <c r="GI18">
        <f t="shared" si="6"/>
        <v>0</v>
      </c>
      <c r="GJ18">
        <f t="shared" si="6"/>
        <v>0</v>
      </c>
      <c r="GK18">
        <f t="shared" si="6"/>
        <v>0</v>
      </c>
      <c r="GL18">
        <f t="shared" si="6"/>
        <v>0</v>
      </c>
      <c r="GM18">
        <f t="shared" si="6"/>
        <v>0</v>
      </c>
      <c r="GN18">
        <f t="shared" si="6"/>
        <v>0</v>
      </c>
      <c r="GO18">
        <f t="shared" si="6"/>
        <v>0</v>
      </c>
      <c r="GP18">
        <f t="shared" si="6"/>
        <v>0</v>
      </c>
      <c r="GQ18">
        <f t="shared" si="6"/>
        <v>0</v>
      </c>
      <c r="GR18">
        <f t="shared" si="6"/>
        <v>0</v>
      </c>
      <c r="GS18">
        <f t="shared" si="6"/>
        <v>0</v>
      </c>
      <c r="GT18">
        <f t="shared" si="6"/>
        <v>0</v>
      </c>
      <c r="GU18">
        <f t="shared" si="6"/>
        <v>0</v>
      </c>
      <c r="GV18">
        <f t="shared" si="6"/>
        <v>0</v>
      </c>
      <c r="GW18">
        <f t="shared" si="6"/>
        <v>0</v>
      </c>
      <c r="GX18">
        <f t="shared" si="6"/>
        <v>0</v>
      </c>
    </row>
    <row r="20" spans="1:245" x14ac:dyDescent="0.2">
      <c r="A20">
        <v>3</v>
      </c>
      <c r="B20">
        <v>1</v>
      </c>
      <c r="D20">
        <f>ROW(A73)</f>
        <v>73</v>
      </c>
      <c r="F20" t="s">
        <v>104</v>
      </c>
      <c r="G20" t="s">
        <v>104</v>
      </c>
      <c r="I20">
        <v>0</v>
      </c>
      <c r="K20">
        <v>-1</v>
      </c>
      <c r="S20">
        <v>0</v>
      </c>
      <c r="T20">
        <v>0</v>
      </c>
      <c r="V20">
        <v>0</v>
      </c>
      <c r="BX20">
        <v>0</v>
      </c>
      <c r="CF20">
        <v>0</v>
      </c>
      <c r="CG20">
        <v>0</v>
      </c>
    </row>
    <row r="22" spans="1:245" x14ac:dyDescent="0.2">
      <c r="A22">
        <v>52</v>
      </c>
      <c r="B22">
        <f t="shared" ref="B22:G22" si="7">B73</f>
        <v>1</v>
      </c>
      <c r="C22">
        <f t="shared" si="7"/>
        <v>3</v>
      </c>
      <c r="D22">
        <f t="shared" si="7"/>
        <v>20</v>
      </c>
      <c r="E22">
        <f t="shared" si="7"/>
        <v>0</v>
      </c>
      <c r="F22" t="str">
        <f t="shared" si="7"/>
        <v>Ремонт ступеней</v>
      </c>
      <c r="G22" t="str">
        <f t="shared" si="7"/>
        <v>Ремонт ступеней</v>
      </c>
      <c r="O22">
        <f t="shared" ref="O22:AT22" si="8">O73</f>
        <v>26154.39</v>
      </c>
      <c r="P22">
        <f t="shared" si="8"/>
        <v>23281.58</v>
      </c>
      <c r="Q22">
        <f t="shared" si="8"/>
        <v>717.3</v>
      </c>
      <c r="R22">
        <f t="shared" si="8"/>
        <v>148.5</v>
      </c>
      <c r="S22">
        <f t="shared" si="8"/>
        <v>2155.5100000000002</v>
      </c>
      <c r="T22">
        <f t="shared" si="8"/>
        <v>0</v>
      </c>
      <c r="U22">
        <f t="shared" si="8"/>
        <v>250.0861147</v>
      </c>
      <c r="V22">
        <f t="shared" si="8"/>
        <v>13.531219999999999</v>
      </c>
      <c r="W22">
        <f t="shared" si="8"/>
        <v>71.45</v>
      </c>
      <c r="X22">
        <f t="shared" si="8"/>
        <v>2347.58</v>
      </c>
      <c r="Y22">
        <f t="shared" si="8"/>
        <v>1606.01</v>
      </c>
      <c r="Z22">
        <f t="shared" si="8"/>
        <v>0</v>
      </c>
      <c r="AA22">
        <f t="shared" si="8"/>
        <v>0</v>
      </c>
      <c r="AB22">
        <f t="shared" si="8"/>
        <v>26154.39</v>
      </c>
      <c r="AC22">
        <f t="shared" si="8"/>
        <v>23281.58</v>
      </c>
      <c r="AD22">
        <f t="shared" si="8"/>
        <v>717.3</v>
      </c>
      <c r="AE22">
        <f t="shared" si="8"/>
        <v>148.5</v>
      </c>
      <c r="AF22">
        <f t="shared" si="8"/>
        <v>2155.5100000000002</v>
      </c>
      <c r="AG22">
        <f t="shared" si="8"/>
        <v>0</v>
      </c>
      <c r="AH22">
        <f t="shared" si="8"/>
        <v>250.0861147</v>
      </c>
      <c r="AI22">
        <f t="shared" si="8"/>
        <v>13.531219999999999</v>
      </c>
      <c r="AJ22">
        <f t="shared" si="8"/>
        <v>71.45</v>
      </c>
      <c r="AK22">
        <f t="shared" si="8"/>
        <v>2347.58</v>
      </c>
      <c r="AL22">
        <f t="shared" si="8"/>
        <v>1606.01</v>
      </c>
      <c r="AM22">
        <f t="shared" si="8"/>
        <v>0</v>
      </c>
      <c r="AN22">
        <f t="shared" si="8"/>
        <v>0</v>
      </c>
      <c r="AO22">
        <f t="shared" si="8"/>
        <v>0</v>
      </c>
      <c r="AP22">
        <f t="shared" si="8"/>
        <v>0</v>
      </c>
      <c r="AQ22">
        <f t="shared" si="8"/>
        <v>0</v>
      </c>
      <c r="AR22">
        <f t="shared" si="8"/>
        <v>30107.98</v>
      </c>
      <c r="AS22">
        <f t="shared" si="8"/>
        <v>30107.98</v>
      </c>
      <c r="AT22">
        <f t="shared" si="8"/>
        <v>0</v>
      </c>
      <c r="AU22">
        <f t="shared" ref="AU22:BZ22" si="9">AU73</f>
        <v>0</v>
      </c>
      <c r="AV22">
        <f t="shared" si="9"/>
        <v>23281.58</v>
      </c>
      <c r="AW22">
        <f t="shared" si="9"/>
        <v>23281.58</v>
      </c>
      <c r="AX22">
        <f t="shared" si="9"/>
        <v>0</v>
      </c>
      <c r="AY22">
        <f t="shared" si="9"/>
        <v>23281.58</v>
      </c>
      <c r="AZ22">
        <f t="shared" si="9"/>
        <v>0</v>
      </c>
      <c r="BA22">
        <f t="shared" si="9"/>
        <v>0</v>
      </c>
      <c r="BB22">
        <f t="shared" si="9"/>
        <v>0</v>
      </c>
      <c r="BC22">
        <f t="shared" si="9"/>
        <v>0</v>
      </c>
      <c r="BD22">
        <f t="shared" si="9"/>
        <v>73.3</v>
      </c>
      <c r="BE22">
        <f t="shared" si="9"/>
        <v>0</v>
      </c>
      <c r="BF22">
        <f t="shared" si="9"/>
        <v>0</v>
      </c>
      <c r="BG22">
        <f t="shared" si="9"/>
        <v>0</v>
      </c>
      <c r="BH22">
        <f t="shared" si="9"/>
        <v>0</v>
      </c>
      <c r="BI22">
        <f t="shared" si="9"/>
        <v>0</v>
      </c>
      <c r="BJ22">
        <f t="shared" si="9"/>
        <v>0</v>
      </c>
      <c r="BK22">
        <f t="shared" si="9"/>
        <v>0</v>
      </c>
      <c r="BL22">
        <f t="shared" si="9"/>
        <v>0</v>
      </c>
      <c r="BM22">
        <f t="shared" si="9"/>
        <v>0</v>
      </c>
      <c r="BN22">
        <f t="shared" si="9"/>
        <v>0</v>
      </c>
      <c r="BO22">
        <f t="shared" si="9"/>
        <v>0</v>
      </c>
      <c r="BP22">
        <f t="shared" si="9"/>
        <v>0</v>
      </c>
      <c r="BQ22">
        <f t="shared" si="9"/>
        <v>0</v>
      </c>
      <c r="BR22">
        <f t="shared" si="9"/>
        <v>0</v>
      </c>
      <c r="BS22">
        <f t="shared" si="9"/>
        <v>0</v>
      </c>
      <c r="BT22">
        <f t="shared" si="9"/>
        <v>0</v>
      </c>
      <c r="BU22">
        <f t="shared" si="9"/>
        <v>0</v>
      </c>
      <c r="BV22">
        <f t="shared" si="9"/>
        <v>0</v>
      </c>
      <c r="BW22">
        <f t="shared" si="9"/>
        <v>0</v>
      </c>
      <c r="BX22">
        <f t="shared" si="9"/>
        <v>0</v>
      </c>
      <c r="BY22">
        <f t="shared" si="9"/>
        <v>0</v>
      </c>
      <c r="BZ22">
        <f t="shared" si="9"/>
        <v>0</v>
      </c>
      <c r="CA22">
        <f t="shared" ref="CA22:DF22" si="10">CA73</f>
        <v>30107.98</v>
      </c>
      <c r="CB22">
        <f t="shared" si="10"/>
        <v>30107.98</v>
      </c>
      <c r="CC22">
        <f t="shared" si="10"/>
        <v>0</v>
      </c>
      <c r="CD22">
        <f t="shared" si="10"/>
        <v>0</v>
      </c>
      <c r="CE22">
        <f t="shared" si="10"/>
        <v>23281.58</v>
      </c>
      <c r="CF22">
        <f t="shared" si="10"/>
        <v>23281.58</v>
      </c>
      <c r="CG22">
        <f t="shared" si="10"/>
        <v>0</v>
      </c>
      <c r="CH22">
        <f t="shared" si="10"/>
        <v>23281.58</v>
      </c>
      <c r="CI22">
        <f t="shared" si="10"/>
        <v>0</v>
      </c>
      <c r="CJ22">
        <f t="shared" si="10"/>
        <v>0</v>
      </c>
      <c r="CK22">
        <f t="shared" si="10"/>
        <v>0</v>
      </c>
      <c r="CL22">
        <f t="shared" si="10"/>
        <v>0</v>
      </c>
      <c r="CM22">
        <f t="shared" si="10"/>
        <v>73.3</v>
      </c>
      <c r="CN22">
        <f t="shared" si="10"/>
        <v>0</v>
      </c>
      <c r="CO22">
        <f t="shared" si="10"/>
        <v>0</v>
      </c>
      <c r="CP22">
        <f t="shared" si="10"/>
        <v>0</v>
      </c>
      <c r="CQ22">
        <f t="shared" si="10"/>
        <v>0</v>
      </c>
      <c r="CR22">
        <f t="shared" si="10"/>
        <v>0</v>
      </c>
      <c r="CS22">
        <f t="shared" si="10"/>
        <v>0</v>
      </c>
      <c r="CT22">
        <f t="shared" si="10"/>
        <v>0</v>
      </c>
      <c r="CU22">
        <f t="shared" si="10"/>
        <v>0</v>
      </c>
      <c r="CV22">
        <f t="shared" si="10"/>
        <v>0</v>
      </c>
      <c r="CW22">
        <f t="shared" si="10"/>
        <v>0</v>
      </c>
      <c r="CX22">
        <f t="shared" si="10"/>
        <v>0</v>
      </c>
      <c r="CY22">
        <f t="shared" si="10"/>
        <v>0</v>
      </c>
      <c r="CZ22">
        <f t="shared" si="10"/>
        <v>0</v>
      </c>
      <c r="DA22">
        <f t="shared" si="10"/>
        <v>0</v>
      </c>
      <c r="DB22">
        <f t="shared" si="10"/>
        <v>0</v>
      </c>
      <c r="DC22">
        <f t="shared" si="10"/>
        <v>0</v>
      </c>
      <c r="DD22">
        <f t="shared" si="10"/>
        <v>0</v>
      </c>
      <c r="DE22">
        <f t="shared" si="10"/>
        <v>0</v>
      </c>
      <c r="DF22">
        <f t="shared" si="10"/>
        <v>0</v>
      </c>
      <c r="DG22">
        <f t="shared" ref="DG22:EL22" si="11">DG73</f>
        <v>138712.72</v>
      </c>
      <c r="DH22">
        <f t="shared" si="11"/>
        <v>58554.05</v>
      </c>
      <c r="DI22">
        <f t="shared" si="11"/>
        <v>8284.58</v>
      </c>
      <c r="DJ22">
        <f t="shared" si="11"/>
        <v>4968.8999999999996</v>
      </c>
      <c r="DK22">
        <f t="shared" si="11"/>
        <v>71874.09</v>
      </c>
      <c r="DL22">
        <f t="shared" si="11"/>
        <v>0</v>
      </c>
      <c r="DM22">
        <f t="shared" si="11"/>
        <v>250.0861147</v>
      </c>
      <c r="DN22">
        <f t="shared" si="11"/>
        <v>13.531219999999999</v>
      </c>
      <c r="DO22">
        <f t="shared" si="11"/>
        <v>71.45</v>
      </c>
      <c r="DP22">
        <f t="shared" si="11"/>
        <v>78549.87</v>
      </c>
      <c r="DQ22">
        <f t="shared" si="11"/>
        <v>53736.72</v>
      </c>
      <c r="DR22">
        <f t="shared" si="11"/>
        <v>0</v>
      </c>
      <c r="DS22">
        <f t="shared" si="11"/>
        <v>0</v>
      </c>
      <c r="DT22">
        <f t="shared" si="11"/>
        <v>138712.72</v>
      </c>
      <c r="DU22">
        <f t="shared" si="11"/>
        <v>58554.05</v>
      </c>
      <c r="DV22">
        <f t="shared" si="11"/>
        <v>8284.58</v>
      </c>
      <c r="DW22">
        <f t="shared" si="11"/>
        <v>4968.8999999999996</v>
      </c>
      <c r="DX22">
        <f t="shared" si="11"/>
        <v>71874.09</v>
      </c>
      <c r="DY22">
        <f t="shared" si="11"/>
        <v>0</v>
      </c>
      <c r="DZ22">
        <f t="shared" si="11"/>
        <v>250.0861147</v>
      </c>
      <c r="EA22">
        <f t="shared" si="11"/>
        <v>13.531219999999999</v>
      </c>
      <c r="EB22">
        <f t="shared" si="11"/>
        <v>71.45</v>
      </c>
      <c r="EC22">
        <f t="shared" si="11"/>
        <v>78549.87</v>
      </c>
      <c r="ED22">
        <f t="shared" si="11"/>
        <v>53736.72</v>
      </c>
      <c r="EE22">
        <f t="shared" si="11"/>
        <v>0</v>
      </c>
      <c r="EF22">
        <f t="shared" si="11"/>
        <v>0</v>
      </c>
      <c r="EG22">
        <f t="shared" si="11"/>
        <v>0</v>
      </c>
      <c r="EH22">
        <f t="shared" si="11"/>
        <v>0</v>
      </c>
      <c r="EI22">
        <f t="shared" si="11"/>
        <v>0</v>
      </c>
      <c r="EJ22">
        <f t="shared" si="11"/>
        <v>270999.31</v>
      </c>
      <c r="EK22">
        <f t="shared" si="11"/>
        <v>270999.31</v>
      </c>
      <c r="EL22">
        <f t="shared" si="11"/>
        <v>0</v>
      </c>
      <c r="EM22">
        <f t="shared" ref="EM22:FR22" si="12">EM73</f>
        <v>0</v>
      </c>
      <c r="EN22">
        <f t="shared" si="12"/>
        <v>58554.05</v>
      </c>
      <c r="EO22">
        <f t="shared" si="12"/>
        <v>58554.05</v>
      </c>
      <c r="EP22">
        <f t="shared" si="12"/>
        <v>0</v>
      </c>
      <c r="EQ22">
        <f t="shared" si="12"/>
        <v>58554.05</v>
      </c>
      <c r="ER22">
        <f t="shared" si="12"/>
        <v>0</v>
      </c>
      <c r="ES22">
        <f t="shared" si="12"/>
        <v>0</v>
      </c>
      <c r="ET22">
        <f t="shared" si="12"/>
        <v>0</v>
      </c>
      <c r="EU22">
        <f t="shared" si="12"/>
        <v>0</v>
      </c>
      <c r="EV22">
        <f t="shared" si="12"/>
        <v>969.05</v>
      </c>
      <c r="EW22">
        <f t="shared" si="12"/>
        <v>0</v>
      </c>
      <c r="EX22">
        <f t="shared" si="12"/>
        <v>0</v>
      </c>
      <c r="EY22">
        <f t="shared" si="12"/>
        <v>0</v>
      </c>
      <c r="EZ22">
        <f t="shared" si="12"/>
        <v>0</v>
      </c>
      <c r="FA22">
        <f t="shared" si="12"/>
        <v>0</v>
      </c>
      <c r="FB22">
        <f t="shared" si="12"/>
        <v>0</v>
      </c>
      <c r="FC22">
        <f t="shared" si="12"/>
        <v>0</v>
      </c>
      <c r="FD22">
        <f t="shared" si="12"/>
        <v>0</v>
      </c>
      <c r="FE22">
        <f t="shared" si="12"/>
        <v>0</v>
      </c>
      <c r="FF22">
        <f t="shared" si="12"/>
        <v>0</v>
      </c>
      <c r="FG22">
        <f t="shared" si="12"/>
        <v>0</v>
      </c>
      <c r="FH22">
        <f t="shared" si="12"/>
        <v>0</v>
      </c>
      <c r="FI22">
        <f t="shared" si="12"/>
        <v>0</v>
      </c>
      <c r="FJ22">
        <f t="shared" si="12"/>
        <v>0</v>
      </c>
      <c r="FK22">
        <f t="shared" si="12"/>
        <v>0</v>
      </c>
      <c r="FL22">
        <f t="shared" si="12"/>
        <v>0</v>
      </c>
      <c r="FM22">
        <f t="shared" si="12"/>
        <v>0</v>
      </c>
      <c r="FN22">
        <f t="shared" si="12"/>
        <v>0</v>
      </c>
      <c r="FO22">
        <f t="shared" si="12"/>
        <v>0</v>
      </c>
      <c r="FP22">
        <f t="shared" si="12"/>
        <v>0</v>
      </c>
      <c r="FQ22">
        <f t="shared" si="12"/>
        <v>0</v>
      </c>
      <c r="FR22">
        <f t="shared" si="12"/>
        <v>0</v>
      </c>
      <c r="FS22">
        <f t="shared" ref="FS22:GX22" si="13">FS73</f>
        <v>270999.31</v>
      </c>
      <c r="FT22">
        <f t="shared" si="13"/>
        <v>270999.31</v>
      </c>
      <c r="FU22">
        <f t="shared" si="13"/>
        <v>0</v>
      </c>
      <c r="FV22">
        <f t="shared" si="13"/>
        <v>0</v>
      </c>
      <c r="FW22">
        <f t="shared" si="13"/>
        <v>58554.05</v>
      </c>
      <c r="FX22">
        <f t="shared" si="13"/>
        <v>58554.05</v>
      </c>
      <c r="FY22">
        <f t="shared" si="13"/>
        <v>0</v>
      </c>
      <c r="FZ22">
        <f t="shared" si="13"/>
        <v>58554.05</v>
      </c>
      <c r="GA22">
        <f t="shared" si="13"/>
        <v>0</v>
      </c>
      <c r="GB22">
        <f t="shared" si="13"/>
        <v>0</v>
      </c>
      <c r="GC22">
        <f t="shared" si="13"/>
        <v>0</v>
      </c>
      <c r="GD22">
        <f t="shared" si="13"/>
        <v>0</v>
      </c>
      <c r="GE22">
        <f t="shared" si="13"/>
        <v>969.05</v>
      </c>
      <c r="GF22">
        <f t="shared" si="13"/>
        <v>0</v>
      </c>
      <c r="GG22">
        <f t="shared" si="13"/>
        <v>0</v>
      </c>
      <c r="GH22">
        <f t="shared" si="13"/>
        <v>0</v>
      </c>
      <c r="GI22">
        <f t="shared" si="13"/>
        <v>0</v>
      </c>
      <c r="GJ22">
        <f t="shared" si="13"/>
        <v>0</v>
      </c>
      <c r="GK22">
        <f t="shared" si="13"/>
        <v>0</v>
      </c>
      <c r="GL22">
        <f t="shared" si="13"/>
        <v>0</v>
      </c>
      <c r="GM22">
        <f t="shared" si="13"/>
        <v>0</v>
      </c>
      <c r="GN22">
        <f t="shared" si="13"/>
        <v>0</v>
      </c>
      <c r="GO22">
        <f t="shared" si="13"/>
        <v>0</v>
      </c>
      <c r="GP22">
        <f t="shared" si="13"/>
        <v>0</v>
      </c>
      <c r="GQ22">
        <f t="shared" si="13"/>
        <v>0</v>
      </c>
      <c r="GR22">
        <f t="shared" si="13"/>
        <v>0</v>
      </c>
      <c r="GS22">
        <f t="shared" si="13"/>
        <v>0</v>
      </c>
      <c r="GT22">
        <f t="shared" si="13"/>
        <v>0</v>
      </c>
      <c r="GU22">
        <f t="shared" si="13"/>
        <v>0</v>
      </c>
      <c r="GV22">
        <f t="shared" si="13"/>
        <v>0</v>
      </c>
      <c r="GW22">
        <f t="shared" si="13"/>
        <v>0</v>
      </c>
      <c r="GX22">
        <f t="shared" si="13"/>
        <v>0</v>
      </c>
    </row>
    <row r="24" spans="1:245" x14ac:dyDescent="0.2">
      <c r="A24">
        <v>17</v>
      </c>
      <c r="B24">
        <v>1</v>
      </c>
      <c r="C24">
        <f>ROW(SmtRes!A12)</f>
        <v>12</v>
      </c>
      <c r="D24">
        <f>ROW(EtalonRes!A12)</f>
        <v>12</v>
      </c>
      <c r="E24" t="s">
        <v>8</v>
      </c>
      <c r="F24" t="s">
        <v>105</v>
      </c>
      <c r="G24" t="s">
        <v>66</v>
      </c>
      <c r="H24" t="s">
        <v>106</v>
      </c>
      <c r="I24">
        <f>ROUND(6.5/100,9)</f>
        <v>6.5000000000000002E-2</v>
      </c>
      <c r="J24">
        <v>0</v>
      </c>
      <c r="O24">
        <f t="shared" ref="O24:O71" si="14">ROUND(CP24,2)</f>
        <v>184.32</v>
      </c>
      <c r="P24">
        <f t="shared" ref="P24:P71" si="15">ROUND(CQ24*I24,2)</f>
        <v>0</v>
      </c>
      <c r="Q24">
        <f t="shared" ref="Q24:Q71" si="16">ROUND(CR24*I24,2)</f>
        <v>3.8</v>
      </c>
      <c r="R24">
        <f t="shared" ref="R24:R71" si="17">ROUND(CS24*I24,2)</f>
        <v>1.2</v>
      </c>
      <c r="S24">
        <f t="shared" ref="S24:S71" si="18">ROUND(CT24*I24,2)</f>
        <v>180.52</v>
      </c>
      <c r="T24">
        <f t="shared" ref="T24:T71" si="19">ROUND(CU24*I24,2)</f>
        <v>0</v>
      </c>
      <c r="U24">
        <f t="shared" ref="U24:U71" si="20">CV24*I24</f>
        <v>19.664840000000002</v>
      </c>
      <c r="V24">
        <f t="shared" ref="V24:V71" si="21">CW24*I24</f>
        <v>0.11232000000000002</v>
      </c>
      <c r="W24">
        <f t="shared" ref="W24:W71" si="22">ROUND(CX24*I24,2)</f>
        <v>0</v>
      </c>
      <c r="X24">
        <f t="shared" ref="X24:X71" si="23">ROUND(CY24,2)</f>
        <v>190.81</v>
      </c>
      <c r="Y24">
        <f t="shared" ref="Y24:Y71" si="24">ROUND(CZ24,2)</f>
        <v>99.95</v>
      </c>
      <c r="AA24">
        <v>939971439</v>
      </c>
      <c r="AB24">
        <f t="shared" ref="AB24:AB71" si="25">ROUND((AC24+AD24+AF24),6)</f>
        <v>2835.672</v>
      </c>
      <c r="AC24">
        <f>ROUND(((ES24*0)),6)</f>
        <v>0</v>
      </c>
      <c r="AD24">
        <f>ROUND(((((ET24*0.8))-((EU24*0.8)))+AE24),6)</f>
        <v>58.392000000000003</v>
      </c>
      <c r="AE24">
        <f>ROUND(((EU24*0.8)),6)</f>
        <v>18.472000000000001</v>
      </c>
      <c r="AF24">
        <f>ROUND(((EV24*0.8)),6)</f>
        <v>2777.28</v>
      </c>
      <c r="AG24">
        <f t="shared" ref="AG24:AG71" si="26">ROUND((AP24),6)</f>
        <v>0</v>
      </c>
      <c r="AH24">
        <f>((EW24*0.8))</f>
        <v>302.536</v>
      </c>
      <c r="AI24">
        <f>((EX24*0.8))</f>
        <v>1.7280000000000002</v>
      </c>
      <c r="AJ24">
        <f t="shared" ref="AJ24:AJ71" si="27">(AS24)</f>
        <v>0</v>
      </c>
      <c r="AK24">
        <v>21222.97</v>
      </c>
      <c r="AL24">
        <v>17678.38</v>
      </c>
      <c r="AM24">
        <v>72.989999999999995</v>
      </c>
      <c r="AN24">
        <v>23.09</v>
      </c>
      <c r="AO24">
        <v>3471.6</v>
      </c>
      <c r="AP24">
        <v>0</v>
      </c>
      <c r="AQ24">
        <v>378.17</v>
      </c>
      <c r="AR24">
        <v>2.16</v>
      </c>
      <c r="AS24">
        <v>0</v>
      </c>
      <c r="AT24">
        <v>105</v>
      </c>
      <c r="AU24">
        <v>55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H24">
        <v>0</v>
      </c>
      <c r="BI24">
        <v>1</v>
      </c>
      <c r="BJ24" t="s">
        <v>107</v>
      </c>
      <c r="BM24">
        <v>15001</v>
      </c>
      <c r="BN24">
        <v>0</v>
      </c>
      <c r="BP24">
        <v>0</v>
      </c>
      <c r="BQ24">
        <v>2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Z24">
        <v>105</v>
      </c>
      <c r="CA24">
        <v>55</v>
      </c>
      <c r="CE24">
        <v>0</v>
      </c>
      <c r="CF24">
        <v>0</v>
      </c>
      <c r="CG24">
        <v>0</v>
      </c>
      <c r="CM24">
        <v>0</v>
      </c>
      <c r="CN24" t="s">
        <v>108</v>
      </c>
      <c r="CO24">
        <v>0</v>
      </c>
      <c r="CP24">
        <f t="shared" ref="CP24:CP71" si="28">(P24+Q24+S24)</f>
        <v>184.32000000000002</v>
      </c>
      <c r="CQ24">
        <f t="shared" ref="CQ24:CQ71" si="29">AC24*BC24</f>
        <v>0</v>
      </c>
      <c r="CR24">
        <f t="shared" ref="CR24:CR71" si="30">AD24*BB24</f>
        <v>58.392000000000003</v>
      </c>
      <c r="CS24">
        <f t="shared" ref="CS24:CS71" si="31">AE24*BS24</f>
        <v>18.472000000000001</v>
      </c>
      <c r="CT24">
        <f t="shared" ref="CT24:CT71" si="32">AF24*BA24</f>
        <v>2777.28</v>
      </c>
      <c r="CU24">
        <f t="shared" ref="CU24:CU71" si="33">AG24</f>
        <v>0</v>
      </c>
      <c r="CV24">
        <f t="shared" ref="CV24:CV71" si="34">AH24</f>
        <v>302.536</v>
      </c>
      <c r="CW24">
        <f t="shared" ref="CW24:CW71" si="35">AI24</f>
        <v>1.7280000000000002</v>
      </c>
      <c r="CX24">
        <f t="shared" ref="CX24:CX71" si="36">AJ24</f>
        <v>0</v>
      </c>
      <c r="CY24">
        <f t="shared" ref="CY24:CY71" si="37">(((S24+R24)*AT24)/100)</f>
        <v>190.80599999999998</v>
      </c>
      <c r="CZ24">
        <f t="shared" ref="CZ24:CZ71" si="38">(((S24+R24)*AU24)/100)</f>
        <v>99.945999999999998</v>
      </c>
      <c r="DD24" t="s">
        <v>109</v>
      </c>
      <c r="DE24" t="s">
        <v>110</v>
      </c>
      <c r="DF24" t="s">
        <v>110</v>
      </c>
      <c r="DG24" t="s">
        <v>110</v>
      </c>
      <c r="DI24" t="s">
        <v>110</v>
      </c>
      <c r="DJ24" t="s">
        <v>110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106</v>
      </c>
      <c r="DW24" t="s">
        <v>106</v>
      </c>
      <c r="DX24">
        <v>1</v>
      </c>
      <c r="EE24">
        <v>958392128</v>
      </c>
      <c r="EF24">
        <v>2</v>
      </c>
      <c r="EG24" t="s">
        <v>111</v>
      </c>
      <c r="EH24">
        <v>0</v>
      </c>
      <c r="EJ24">
        <v>1</v>
      </c>
      <c r="EK24">
        <v>15001</v>
      </c>
      <c r="EL24" t="s">
        <v>112</v>
      </c>
      <c r="EM24" t="s">
        <v>113</v>
      </c>
      <c r="EO24" t="s">
        <v>114</v>
      </c>
      <c r="EQ24">
        <v>0</v>
      </c>
      <c r="ER24">
        <v>21222.97</v>
      </c>
      <c r="ES24">
        <v>17678.38</v>
      </c>
      <c r="ET24">
        <v>72.989999999999995</v>
      </c>
      <c r="EU24">
        <v>23.09</v>
      </c>
      <c r="EV24">
        <v>3471.6</v>
      </c>
      <c r="EW24">
        <v>378.17</v>
      </c>
      <c r="EX24">
        <v>2.16</v>
      </c>
      <c r="EY24">
        <v>0</v>
      </c>
      <c r="FQ24">
        <v>0</v>
      </c>
      <c r="FR24">
        <f t="shared" ref="FR24:FR71" si="39">ROUND(IF(AND(BH24=3,BI24=3),P24,0),2)</f>
        <v>0</v>
      </c>
      <c r="FS24">
        <v>0</v>
      </c>
      <c r="FX24">
        <v>105</v>
      </c>
      <c r="FY24">
        <v>55</v>
      </c>
      <c r="GD24">
        <v>1</v>
      </c>
      <c r="GF24">
        <v>-707874483</v>
      </c>
      <c r="GG24">
        <v>2</v>
      </c>
      <c r="GH24">
        <v>1</v>
      </c>
      <c r="GI24">
        <v>-2</v>
      </c>
      <c r="GJ24">
        <v>0</v>
      </c>
      <c r="GK24">
        <v>0</v>
      </c>
      <c r="GL24">
        <f t="shared" ref="GL24:GL71" si="40">ROUND(IF(AND(BH24=3,BI24=3,FS24&lt;&gt;0),P24,0),2)</f>
        <v>0</v>
      </c>
      <c r="GM24">
        <f t="shared" ref="GM24:GM71" si="41">ROUND(O24+X24+Y24,2)+GX24</f>
        <v>475.08</v>
      </c>
      <c r="GN24">
        <f t="shared" ref="GN24:GN71" si="42">IF(OR(BI24=0,BI24=1),ROUND(O24+X24+Y24,2),0)</f>
        <v>475.08</v>
      </c>
      <c r="GO24">
        <f t="shared" ref="GO24:GO71" si="43">IF(BI24=2,ROUND(O24+X24+Y24,2),0)</f>
        <v>0</v>
      </c>
      <c r="GP24">
        <f t="shared" ref="GP24:GP71" si="44">IF(BI24=4,ROUND(O24+X24+Y24,2)+GX24,0)</f>
        <v>0</v>
      </c>
      <c r="GR24">
        <v>0</v>
      </c>
      <c r="GS24">
        <v>3</v>
      </c>
      <c r="GT24">
        <v>0</v>
      </c>
      <c r="GV24">
        <f t="shared" ref="GV24:GV71" si="45">ROUND((GT24),6)</f>
        <v>0</v>
      </c>
      <c r="GW24">
        <v>1</v>
      </c>
      <c r="GX24">
        <f t="shared" ref="GX24:GX71" si="46">ROUND(HC24*I24,2)</f>
        <v>0</v>
      </c>
      <c r="HA24">
        <v>0</v>
      </c>
      <c r="HB24">
        <v>0</v>
      </c>
      <c r="HC24">
        <f t="shared" ref="HC24:HC71" si="47">GV24*GW24</f>
        <v>0</v>
      </c>
      <c r="IK24">
        <v>0</v>
      </c>
    </row>
    <row r="25" spans="1:245" x14ac:dyDescent="0.2">
      <c r="A25">
        <v>17</v>
      </c>
      <c r="B25">
        <v>1</v>
      </c>
      <c r="C25">
        <f>ROW(SmtRes!A24)</f>
        <v>24</v>
      </c>
      <c r="D25">
        <f>ROW(EtalonRes!A24)</f>
        <v>24</v>
      </c>
      <c r="E25" t="s">
        <v>8</v>
      </c>
      <c r="F25" t="s">
        <v>105</v>
      </c>
      <c r="G25" t="s">
        <v>66</v>
      </c>
      <c r="H25" t="s">
        <v>106</v>
      </c>
      <c r="I25">
        <f>ROUND(6.5/100,9)</f>
        <v>6.5000000000000002E-2</v>
      </c>
      <c r="J25">
        <v>0</v>
      </c>
      <c r="O25">
        <f t="shared" si="14"/>
        <v>6100.2</v>
      </c>
      <c r="P25">
        <f t="shared" si="15"/>
        <v>0</v>
      </c>
      <c r="Q25">
        <f t="shared" si="16"/>
        <v>59.89</v>
      </c>
      <c r="R25">
        <f t="shared" si="17"/>
        <v>40.17</v>
      </c>
      <c r="S25">
        <f t="shared" si="18"/>
        <v>6040.31</v>
      </c>
      <c r="T25">
        <f t="shared" si="19"/>
        <v>0</v>
      </c>
      <c r="U25">
        <f t="shared" si="20"/>
        <v>19.664840000000002</v>
      </c>
      <c r="V25">
        <f t="shared" si="21"/>
        <v>0.11232000000000002</v>
      </c>
      <c r="W25">
        <f t="shared" si="22"/>
        <v>0</v>
      </c>
      <c r="X25">
        <f t="shared" si="23"/>
        <v>6384.5</v>
      </c>
      <c r="Y25">
        <f t="shared" si="24"/>
        <v>3344.26</v>
      </c>
      <c r="AA25">
        <v>939971440</v>
      </c>
      <c r="AB25">
        <f t="shared" si="25"/>
        <v>2835.672</v>
      </c>
      <c r="AC25">
        <f>ROUND(((ES25*0)),6)</f>
        <v>0</v>
      </c>
      <c r="AD25">
        <f>ROUND(((((ET25*0.8))-((EU25*0.8)))+AE25),6)</f>
        <v>58.392000000000003</v>
      </c>
      <c r="AE25">
        <f>ROUND(((EU25*0.8)),6)</f>
        <v>18.472000000000001</v>
      </c>
      <c r="AF25">
        <f>ROUND(((EV25*0.8)),6)</f>
        <v>2777.28</v>
      </c>
      <c r="AG25">
        <f t="shared" si="26"/>
        <v>0</v>
      </c>
      <c r="AH25">
        <f>((EW25*0.8))</f>
        <v>302.536</v>
      </c>
      <c r="AI25">
        <f>((EX25*0.8))</f>
        <v>1.7280000000000002</v>
      </c>
      <c r="AJ25">
        <f t="shared" si="27"/>
        <v>0</v>
      </c>
      <c r="AK25">
        <v>21222.97</v>
      </c>
      <c r="AL25">
        <v>17678.38</v>
      </c>
      <c r="AM25">
        <v>72.989999999999995</v>
      </c>
      <c r="AN25">
        <v>23.09</v>
      </c>
      <c r="AO25">
        <v>3471.6</v>
      </c>
      <c r="AP25">
        <v>0</v>
      </c>
      <c r="AQ25">
        <v>378.17</v>
      </c>
      <c r="AR25">
        <v>2.16</v>
      </c>
      <c r="AS25">
        <v>0</v>
      </c>
      <c r="AT25">
        <v>105</v>
      </c>
      <c r="AU25">
        <v>55</v>
      </c>
      <c r="AV25">
        <v>1</v>
      </c>
      <c r="AW25">
        <v>1</v>
      </c>
      <c r="AZ25">
        <v>1</v>
      </c>
      <c r="BA25">
        <v>33.46</v>
      </c>
      <c r="BB25">
        <v>15.78</v>
      </c>
      <c r="BC25">
        <v>3.65</v>
      </c>
      <c r="BH25">
        <v>0</v>
      </c>
      <c r="BI25">
        <v>1</v>
      </c>
      <c r="BJ25" t="s">
        <v>107</v>
      </c>
      <c r="BM25">
        <v>15001</v>
      </c>
      <c r="BN25">
        <v>0</v>
      </c>
      <c r="BO25" t="s">
        <v>105</v>
      </c>
      <c r="BP25">
        <v>1</v>
      </c>
      <c r="BQ25">
        <v>2</v>
      </c>
      <c r="BR25">
        <v>0</v>
      </c>
      <c r="BS25">
        <v>33.46</v>
      </c>
      <c r="BT25">
        <v>1</v>
      </c>
      <c r="BU25">
        <v>1</v>
      </c>
      <c r="BV25">
        <v>1</v>
      </c>
      <c r="BW25">
        <v>1</v>
      </c>
      <c r="BX25">
        <v>1</v>
      </c>
      <c r="BZ25">
        <v>105</v>
      </c>
      <c r="CA25">
        <v>55</v>
      </c>
      <c r="CE25">
        <v>0</v>
      </c>
      <c r="CF25">
        <v>0</v>
      </c>
      <c r="CG25">
        <v>0</v>
      </c>
      <c r="CM25">
        <v>0</v>
      </c>
      <c r="CN25" t="s">
        <v>108</v>
      </c>
      <c r="CO25">
        <v>0</v>
      </c>
      <c r="CP25">
        <f t="shared" si="28"/>
        <v>6100.2000000000007</v>
      </c>
      <c r="CQ25">
        <f t="shared" si="29"/>
        <v>0</v>
      </c>
      <c r="CR25">
        <f t="shared" si="30"/>
        <v>921.42575999999997</v>
      </c>
      <c r="CS25">
        <f t="shared" si="31"/>
        <v>618.07312000000002</v>
      </c>
      <c r="CT25">
        <f t="shared" si="32"/>
        <v>92927.788800000009</v>
      </c>
      <c r="CU25">
        <f t="shared" si="33"/>
        <v>0</v>
      </c>
      <c r="CV25">
        <f t="shared" si="34"/>
        <v>302.536</v>
      </c>
      <c r="CW25">
        <f t="shared" si="35"/>
        <v>1.7280000000000002</v>
      </c>
      <c r="CX25">
        <f t="shared" si="36"/>
        <v>0</v>
      </c>
      <c r="CY25">
        <f t="shared" si="37"/>
        <v>6384.5039999999999</v>
      </c>
      <c r="CZ25">
        <f t="shared" si="38"/>
        <v>3344.2640000000001</v>
      </c>
      <c r="DD25" t="s">
        <v>109</v>
      </c>
      <c r="DE25" t="s">
        <v>110</v>
      </c>
      <c r="DF25" t="s">
        <v>110</v>
      </c>
      <c r="DG25" t="s">
        <v>110</v>
      </c>
      <c r="DI25" t="s">
        <v>110</v>
      </c>
      <c r="DJ25" t="s">
        <v>110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106</v>
      </c>
      <c r="DW25" t="s">
        <v>106</v>
      </c>
      <c r="DX25">
        <v>1</v>
      </c>
      <c r="EE25">
        <v>958392128</v>
      </c>
      <c r="EF25">
        <v>2</v>
      </c>
      <c r="EG25" t="s">
        <v>111</v>
      </c>
      <c r="EH25">
        <v>0</v>
      </c>
      <c r="EJ25">
        <v>1</v>
      </c>
      <c r="EK25">
        <v>15001</v>
      </c>
      <c r="EL25" t="s">
        <v>112</v>
      </c>
      <c r="EM25" t="s">
        <v>113</v>
      </c>
      <c r="EO25" t="s">
        <v>114</v>
      </c>
      <c r="EQ25">
        <v>0</v>
      </c>
      <c r="ER25">
        <v>21222.97</v>
      </c>
      <c r="ES25">
        <v>17678.38</v>
      </c>
      <c r="ET25">
        <v>72.989999999999995</v>
      </c>
      <c r="EU25">
        <v>23.09</v>
      </c>
      <c r="EV25">
        <v>3471.6</v>
      </c>
      <c r="EW25">
        <v>378.17</v>
      </c>
      <c r="EX25">
        <v>2.16</v>
      </c>
      <c r="EY25">
        <v>0</v>
      </c>
      <c r="FQ25">
        <v>0</v>
      </c>
      <c r="FR25">
        <f t="shared" si="39"/>
        <v>0</v>
      </c>
      <c r="FS25">
        <v>0</v>
      </c>
      <c r="FX25">
        <v>105</v>
      </c>
      <c r="FY25">
        <v>55</v>
      </c>
      <c r="GD25">
        <v>1</v>
      </c>
      <c r="GF25">
        <v>-707874483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40"/>
        <v>0</v>
      </c>
      <c r="GM25">
        <f t="shared" si="41"/>
        <v>15828.96</v>
      </c>
      <c r="GN25">
        <f t="shared" si="42"/>
        <v>15828.96</v>
      </c>
      <c r="GO25">
        <f t="shared" si="43"/>
        <v>0</v>
      </c>
      <c r="GP25">
        <f t="shared" si="44"/>
        <v>0</v>
      </c>
      <c r="GR25">
        <v>0</v>
      </c>
      <c r="GS25">
        <v>3</v>
      </c>
      <c r="GT25">
        <v>0</v>
      </c>
      <c r="GV25">
        <f t="shared" si="45"/>
        <v>0</v>
      </c>
      <c r="GW25">
        <v>1</v>
      </c>
      <c r="GX25">
        <f t="shared" si="46"/>
        <v>0</v>
      </c>
      <c r="HA25">
        <v>0</v>
      </c>
      <c r="HB25">
        <v>0</v>
      </c>
      <c r="HC25">
        <f t="shared" si="47"/>
        <v>0</v>
      </c>
      <c r="IK25">
        <v>0</v>
      </c>
    </row>
    <row r="26" spans="1:245" x14ac:dyDescent="0.2">
      <c r="A26">
        <v>18</v>
      </c>
      <c r="B26">
        <v>1</v>
      </c>
      <c r="C26">
        <v>11</v>
      </c>
      <c r="E26" t="s">
        <v>115</v>
      </c>
      <c r="F26" t="s">
        <v>116</v>
      </c>
      <c r="G26" t="s">
        <v>117</v>
      </c>
      <c r="H26" t="s">
        <v>20</v>
      </c>
      <c r="I26">
        <f>I24*J26</f>
        <v>0</v>
      </c>
      <c r="J26">
        <v>0</v>
      </c>
      <c r="O26">
        <f t="shared" si="14"/>
        <v>0</v>
      </c>
      <c r="P26">
        <f t="shared" si="15"/>
        <v>0</v>
      </c>
      <c r="Q26">
        <f t="shared" si="16"/>
        <v>0</v>
      </c>
      <c r="R26">
        <f t="shared" si="17"/>
        <v>0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0</v>
      </c>
      <c r="X26">
        <f t="shared" si="23"/>
        <v>0</v>
      </c>
      <c r="Y26">
        <f t="shared" si="24"/>
        <v>0</v>
      </c>
      <c r="AA26">
        <v>939971439</v>
      </c>
      <c r="AB26">
        <f t="shared" si="25"/>
        <v>0</v>
      </c>
      <c r="AC26">
        <f t="shared" ref="AC26:AC71" si="48">ROUND((ES26),6)</f>
        <v>0</v>
      </c>
      <c r="AD26">
        <f t="shared" ref="AD26:AD37" si="49">ROUND((((ET26)-(EU26))+AE26),6)</f>
        <v>0</v>
      </c>
      <c r="AE26">
        <f t="shared" ref="AE26:AE37" si="50">ROUND((EU26),6)</f>
        <v>0</v>
      </c>
      <c r="AF26">
        <f t="shared" ref="AF26:AF37" si="51">ROUND((EV26),6)</f>
        <v>0</v>
      </c>
      <c r="AG26">
        <f t="shared" si="26"/>
        <v>0</v>
      </c>
      <c r="AH26">
        <f t="shared" ref="AH26:AH37" si="52">(EW26)</f>
        <v>0</v>
      </c>
      <c r="AI26">
        <f t="shared" ref="AI26:AI37" si="53">(EX26)</f>
        <v>0</v>
      </c>
      <c r="AJ26">
        <f t="shared" si="27"/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105</v>
      </c>
      <c r="AU26">
        <v>55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H26">
        <v>3</v>
      </c>
      <c r="BI26">
        <v>1</v>
      </c>
      <c r="BJ26" t="s">
        <v>118</v>
      </c>
      <c r="BM26">
        <v>15001</v>
      </c>
      <c r="BN26">
        <v>0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Z26">
        <v>105</v>
      </c>
      <c r="CA26">
        <v>55</v>
      </c>
      <c r="CE26">
        <v>0</v>
      </c>
      <c r="CF26">
        <v>0</v>
      </c>
      <c r="CG26">
        <v>0</v>
      </c>
      <c r="CM26">
        <v>0</v>
      </c>
      <c r="CN26" t="s">
        <v>108</v>
      </c>
      <c r="CO26">
        <v>0</v>
      </c>
      <c r="CP26">
        <f t="shared" si="28"/>
        <v>0</v>
      </c>
      <c r="CQ26">
        <f t="shared" si="29"/>
        <v>0</v>
      </c>
      <c r="CR26">
        <f t="shared" si="30"/>
        <v>0</v>
      </c>
      <c r="CS26">
        <f t="shared" si="31"/>
        <v>0</v>
      </c>
      <c r="CT26">
        <f t="shared" si="32"/>
        <v>0</v>
      </c>
      <c r="CU26">
        <f t="shared" si="33"/>
        <v>0</v>
      </c>
      <c r="CV26">
        <f t="shared" si="34"/>
        <v>0</v>
      </c>
      <c r="CW26">
        <f t="shared" si="35"/>
        <v>0</v>
      </c>
      <c r="CX26">
        <f t="shared" si="36"/>
        <v>0</v>
      </c>
      <c r="CY26">
        <f t="shared" si="37"/>
        <v>0</v>
      </c>
      <c r="CZ26">
        <f t="shared" si="38"/>
        <v>0</v>
      </c>
      <c r="DN26">
        <v>0</v>
      </c>
      <c r="DO26">
        <v>0</v>
      </c>
      <c r="DP26">
        <v>1</v>
      </c>
      <c r="DQ26">
        <v>1</v>
      </c>
      <c r="DU26">
        <v>1007</v>
      </c>
      <c r="DV26" t="s">
        <v>20</v>
      </c>
      <c r="DW26" t="s">
        <v>20</v>
      </c>
      <c r="DX26">
        <v>1</v>
      </c>
      <c r="EE26">
        <v>958392128</v>
      </c>
      <c r="EF26">
        <v>2</v>
      </c>
      <c r="EG26" t="s">
        <v>111</v>
      </c>
      <c r="EH26">
        <v>0</v>
      </c>
      <c r="EJ26">
        <v>1</v>
      </c>
      <c r="EK26">
        <v>15001</v>
      </c>
      <c r="EL26" t="s">
        <v>112</v>
      </c>
      <c r="EM26" t="s">
        <v>113</v>
      </c>
      <c r="EO26" t="s">
        <v>114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f t="shared" si="39"/>
        <v>0</v>
      </c>
      <c r="FS26">
        <v>0</v>
      </c>
      <c r="FX26">
        <v>105</v>
      </c>
      <c r="FY26">
        <v>55</v>
      </c>
      <c r="GD26">
        <v>1</v>
      </c>
      <c r="GF26">
        <v>828607040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40"/>
        <v>0</v>
      </c>
      <c r="GM26">
        <f t="shared" si="41"/>
        <v>0</v>
      </c>
      <c r="GN26">
        <f t="shared" si="42"/>
        <v>0</v>
      </c>
      <c r="GO26">
        <f t="shared" si="43"/>
        <v>0</v>
      </c>
      <c r="GP26">
        <f t="shared" si="44"/>
        <v>0</v>
      </c>
      <c r="GR26">
        <v>0</v>
      </c>
      <c r="GS26">
        <v>3</v>
      </c>
      <c r="GT26">
        <v>0</v>
      </c>
      <c r="GV26">
        <f t="shared" si="45"/>
        <v>0</v>
      </c>
      <c r="GW26">
        <v>1</v>
      </c>
      <c r="GX26">
        <f t="shared" si="46"/>
        <v>0</v>
      </c>
      <c r="HA26">
        <v>0</v>
      </c>
      <c r="HB26">
        <v>0</v>
      </c>
      <c r="HC26">
        <f t="shared" si="47"/>
        <v>0</v>
      </c>
      <c r="IK26">
        <v>0</v>
      </c>
    </row>
    <row r="27" spans="1:245" x14ac:dyDescent="0.2">
      <c r="A27">
        <v>18</v>
      </c>
      <c r="B27">
        <v>1</v>
      </c>
      <c r="C27">
        <v>23</v>
      </c>
      <c r="E27" t="s">
        <v>115</v>
      </c>
      <c r="F27" t="s">
        <v>116</v>
      </c>
      <c r="G27" t="s">
        <v>117</v>
      </c>
      <c r="H27" t="s">
        <v>20</v>
      </c>
      <c r="I27">
        <f>I25*J27</f>
        <v>0</v>
      </c>
      <c r="J27">
        <v>0</v>
      </c>
      <c r="O27">
        <f t="shared" si="14"/>
        <v>0</v>
      </c>
      <c r="P27">
        <f t="shared" si="15"/>
        <v>0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939971440</v>
      </c>
      <c r="AB27">
        <f t="shared" si="25"/>
        <v>0</v>
      </c>
      <c r="AC27">
        <f t="shared" si="48"/>
        <v>0</v>
      </c>
      <c r="AD27">
        <f t="shared" si="49"/>
        <v>0</v>
      </c>
      <c r="AE27">
        <f t="shared" si="50"/>
        <v>0</v>
      </c>
      <c r="AF27">
        <f t="shared" si="51"/>
        <v>0</v>
      </c>
      <c r="AG27">
        <f t="shared" si="26"/>
        <v>0</v>
      </c>
      <c r="AH27">
        <f t="shared" si="52"/>
        <v>0</v>
      </c>
      <c r="AI27">
        <f t="shared" si="53"/>
        <v>0</v>
      </c>
      <c r="AJ27">
        <f t="shared" si="27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105</v>
      </c>
      <c r="AU27">
        <v>55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H27">
        <v>3</v>
      </c>
      <c r="BI27">
        <v>1</v>
      </c>
      <c r="BJ27" t="s">
        <v>118</v>
      </c>
      <c r="BM27">
        <v>15001</v>
      </c>
      <c r="BN27">
        <v>0</v>
      </c>
      <c r="BP27">
        <v>0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Z27">
        <v>105</v>
      </c>
      <c r="CA27">
        <v>55</v>
      </c>
      <c r="CE27">
        <v>0</v>
      </c>
      <c r="CF27">
        <v>0</v>
      </c>
      <c r="CG27">
        <v>0</v>
      </c>
      <c r="CM27">
        <v>0</v>
      </c>
      <c r="CN27" t="s">
        <v>108</v>
      </c>
      <c r="CO27">
        <v>0</v>
      </c>
      <c r="CP27">
        <f t="shared" si="28"/>
        <v>0</v>
      </c>
      <c r="CQ27">
        <f t="shared" si="29"/>
        <v>0</v>
      </c>
      <c r="CR27">
        <f t="shared" si="30"/>
        <v>0</v>
      </c>
      <c r="CS27">
        <f t="shared" si="31"/>
        <v>0</v>
      </c>
      <c r="CT27">
        <f t="shared" si="32"/>
        <v>0</v>
      </c>
      <c r="CU27">
        <f t="shared" si="33"/>
        <v>0</v>
      </c>
      <c r="CV27">
        <f t="shared" si="34"/>
        <v>0</v>
      </c>
      <c r="CW27">
        <f t="shared" si="35"/>
        <v>0</v>
      </c>
      <c r="CX27">
        <f t="shared" si="36"/>
        <v>0</v>
      </c>
      <c r="CY27">
        <f t="shared" si="37"/>
        <v>0</v>
      </c>
      <c r="CZ27">
        <f t="shared" si="38"/>
        <v>0</v>
      </c>
      <c r="DN27">
        <v>0</v>
      </c>
      <c r="DO27">
        <v>0</v>
      </c>
      <c r="DP27">
        <v>1</v>
      </c>
      <c r="DQ27">
        <v>1</v>
      </c>
      <c r="DU27">
        <v>1007</v>
      </c>
      <c r="DV27" t="s">
        <v>20</v>
      </c>
      <c r="DW27" t="s">
        <v>20</v>
      </c>
      <c r="DX27">
        <v>1</v>
      </c>
      <c r="EE27">
        <v>958392128</v>
      </c>
      <c r="EF27">
        <v>2</v>
      </c>
      <c r="EG27" t="s">
        <v>111</v>
      </c>
      <c r="EH27">
        <v>0</v>
      </c>
      <c r="EJ27">
        <v>1</v>
      </c>
      <c r="EK27">
        <v>15001</v>
      </c>
      <c r="EL27" t="s">
        <v>112</v>
      </c>
      <c r="EM27" t="s">
        <v>113</v>
      </c>
      <c r="EO27" t="s">
        <v>114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39"/>
        <v>0</v>
      </c>
      <c r="FS27">
        <v>0</v>
      </c>
      <c r="FX27">
        <v>105</v>
      </c>
      <c r="FY27">
        <v>55</v>
      </c>
      <c r="GD27">
        <v>1</v>
      </c>
      <c r="GF27">
        <v>828607040</v>
      </c>
      <c r="GG27">
        <v>2</v>
      </c>
      <c r="GH27">
        <v>1</v>
      </c>
      <c r="GI27">
        <v>-2</v>
      </c>
      <c r="GJ27">
        <v>0</v>
      </c>
      <c r="GK27">
        <v>0</v>
      </c>
      <c r="GL27">
        <f t="shared" si="40"/>
        <v>0</v>
      </c>
      <c r="GM27">
        <f t="shared" si="41"/>
        <v>0</v>
      </c>
      <c r="GN27">
        <f t="shared" si="42"/>
        <v>0</v>
      </c>
      <c r="GO27">
        <f t="shared" si="43"/>
        <v>0</v>
      </c>
      <c r="GP27">
        <f t="shared" si="44"/>
        <v>0</v>
      </c>
      <c r="GR27">
        <v>0</v>
      </c>
      <c r="GS27">
        <v>3</v>
      </c>
      <c r="GT27">
        <v>0</v>
      </c>
      <c r="GV27">
        <f t="shared" si="45"/>
        <v>0</v>
      </c>
      <c r="GW27">
        <v>1</v>
      </c>
      <c r="GX27">
        <f t="shared" si="46"/>
        <v>0</v>
      </c>
      <c r="HA27">
        <v>0</v>
      </c>
      <c r="HB27">
        <v>0</v>
      </c>
      <c r="HC27">
        <f t="shared" si="47"/>
        <v>0</v>
      </c>
      <c r="IK27">
        <v>0</v>
      </c>
    </row>
    <row r="28" spans="1:245" x14ac:dyDescent="0.2">
      <c r="A28">
        <v>17</v>
      </c>
      <c r="B28">
        <v>1</v>
      </c>
      <c r="C28">
        <f>ROW(SmtRes!A28)</f>
        <v>28</v>
      </c>
      <c r="D28">
        <f>ROW(EtalonRes!A28)</f>
        <v>28</v>
      </c>
      <c r="E28" t="s">
        <v>9</v>
      </c>
      <c r="F28" t="s">
        <v>119</v>
      </c>
      <c r="G28" t="s">
        <v>76</v>
      </c>
      <c r="H28" t="s">
        <v>120</v>
      </c>
      <c r="I28">
        <f>ROUND(46.8/100,9)</f>
        <v>0.46800000000000003</v>
      </c>
      <c r="J28">
        <v>0</v>
      </c>
      <c r="O28">
        <f t="shared" si="14"/>
        <v>299.98</v>
      </c>
      <c r="P28">
        <f t="shared" si="15"/>
        <v>0</v>
      </c>
      <c r="Q28">
        <f t="shared" si="16"/>
        <v>21.06</v>
      </c>
      <c r="R28">
        <f t="shared" si="17"/>
        <v>9.1</v>
      </c>
      <c r="S28">
        <f t="shared" si="18"/>
        <v>278.92</v>
      </c>
      <c r="T28">
        <f t="shared" si="19"/>
        <v>0</v>
      </c>
      <c r="U28">
        <f t="shared" si="20"/>
        <v>32.699160000000006</v>
      </c>
      <c r="V28">
        <f t="shared" si="21"/>
        <v>0.67391999999999996</v>
      </c>
      <c r="W28">
        <f t="shared" si="22"/>
        <v>0</v>
      </c>
      <c r="X28">
        <f t="shared" si="23"/>
        <v>230.42</v>
      </c>
      <c r="Y28">
        <f t="shared" si="24"/>
        <v>195.85</v>
      </c>
      <c r="AA28">
        <v>939971439</v>
      </c>
      <c r="AB28">
        <f t="shared" si="25"/>
        <v>641</v>
      </c>
      <c r="AC28">
        <f t="shared" si="48"/>
        <v>0</v>
      </c>
      <c r="AD28">
        <f t="shared" si="49"/>
        <v>45.01</v>
      </c>
      <c r="AE28">
        <f t="shared" si="50"/>
        <v>19.440000000000001</v>
      </c>
      <c r="AF28">
        <f t="shared" si="51"/>
        <v>595.99</v>
      </c>
      <c r="AG28">
        <f t="shared" si="26"/>
        <v>0</v>
      </c>
      <c r="AH28">
        <f t="shared" si="52"/>
        <v>69.87</v>
      </c>
      <c r="AI28">
        <f t="shared" si="53"/>
        <v>1.44</v>
      </c>
      <c r="AJ28">
        <f t="shared" si="27"/>
        <v>0</v>
      </c>
      <c r="AK28">
        <v>641</v>
      </c>
      <c r="AL28">
        <v>0</v>
      </c>
      <c r="AM28">
        <v>45.01</v>
      </c>
      <c r="AN28">
        <v>19.440000000000001</v>
      </c>
      <c r="AO28">
        <v>595.99</v>
      </c>
      <c r="AP28">
        <v>0</v>
      </c>
      <c r="AQ28">
        <v>69.87</v>
      </c>
      <c r="AR28">
        <v>1.44</v>
      </c>
      <c r="AS28">
        <v>0</v>
      </c>
      <c r="AT28">
        <v>80</v>
      </c>
      <c r="AU28">
        <v>68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H28">
        <v>0</v>
      </c>
      <c r="BI28">
        <v>1</v>
      </c>
      <c r="BJ28" t="s">
        <v>121</v>
      </c>
      <c r="BM28">
        <v>57001</v>
      </c>
      <c r="BN28">
        <v>0</v>
      </c>
      <c r="BP28">
        <v>0</v>
      </c>
      <c r="BQ28">
        <v>6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Z28">
        <v>80</v>
      </c>
      <c r="CA28">
        <v>68</v>
      </c>
      <c r="CE28">
        <v>0</v>
      </c>
      <c r="CF28">
        <v>0</v>
      </c>
      <c r="CG28">
        <v>0</v>
      </c>
      <c r="CM28">
        <v>0</v>
      </c>
      <c r="CO28">
        <v>0</v>
      </c>
      <c r="CP28">
        <f t="shared" si="28"/>
        <v>299.98</v>
      </c>
      <c r="CQ28">
        <f t="shared" si="29"/>
        <v>0</v>
      </c>
      <c r="CR28">
        <f t="shared" si="30"/>
        <v>45.01</v>
      </c>
      <c r="CS28">
        <f t="shared" si="31"/>
        <v>19.440000000000001</v>
      </c>
      <c r="CT28">
        <f t="shared" si="32"/>
        <v>595.99</v>
      </c>
      <c r="CU28">
        <f t="shared" si="33"/>
        <v>0</v>
      </c>
      <c r="CV28">
        <f t="shared" si="34"/>
        <v>69.87</v>
      </c>
      <c r="CW28">
        <f t="shared" si="35"/>
        <v>1.44</v>
      </c>
      <c r="CX28">
        <f t="shared" si="36"/>
        <v>0</v>
      </c>
      <c r="CY28">
        <f t="shared" si="37"/>
        <v>230.41600000000003</v>
      </c>
      <c r="CZ28">
        <f t="shared" si="38"/>
        <v>195.85360000000003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120</v>
      </c>
      <c r="DW28" t="s">
        <v>120</v>
      </c>
      <c r="DX28">
        <v>1</v>
      </c>
      <c r="EE28">
        <v>958392181</v>
      </c>
      <c r="EF28">
        <v>6</v>
      </c>
      <c r="EG28" t="s">
        <v>122</v>
      </c>
      <c r="EH28">
        <v>0</v>
      </c>
      <c r="EJ28">
        <v>1</v>
      </c>
      <c r="EK28">
        <v>57001</v>
      </c>
      <c r="EL28" t="s">
        <v>123</v>
      </c>
      <c r="EM28" t="s">
        <v>124</v>
      </c>
      <c r="EQ28">
        <v>0</v>
      </c>
      <c r="ER28">
        <v>641</v>
      </c>
      <c r="ES28">
        <v>0</v>
      </c>
      <c r="ET28">
        <v>45.01</v>
      </c>
      <c r="EU28">
        <v>19.440000000000001</v>
      </c>
      <c r="EV28">
        <v>595.99</v>
      </c>
      <c r="EW28">
        <v>69.87</v>
      </c>
      <c r="EX28">
        <v>1.44</v>
      </c>
      <c r="EY28">
        <v>0</v>
      </c>
      <c r="FQ28">
        <v>0</v>
      </c>
      <c r="FR28">
        <f t="shared" si="39"/>
        <v>0</v>
      </c>
      <c r="FS28">
        <v>0</v>
      </c>
      <c r="FX28">
        <v>80</v>
      </c>
      <c r="FY28">
        <v>68</v>
      </c>
      <c r="GD28">
        <v>1</v>
      </c>
      <c r="GF28">
        <v>-1654456792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si="40"/>
        <v>0</v>
      </c>
      <c r="GM28">
        <f t="shared" si="41"/>
        <v>726.25</v>
      </c>
      <c r="GN28">
        <f t="shared" si="42"/>
        <v>726.25</v>
      </c>
      <c r="GO28">
        <f t="shared" si="43"/>
        <v>0</v>
      </c>
      <c r="GP28">
        <f t="shared" si="44"/>
        <v>0</v>
      </c>
      <c r="GR28">
        <v>0</v>
      </c>
      <c r="GS28">
        <v>3</v>
      </c>
      <c r="GT28">
        <v>0</v>
      </c>
      <c r="GV28">
        <f t="shared" si="45"/>
        <v>0</v>
      </c>
      <c r="GW28">
        <v>1</v>
      </c>
      <c r="GX28">
        <f t="shared" si="46"/>
        <v>0</v>
      </c>
      <c r="HA28">
        <v>0</v>
      </c>
      <c r="HB28">
        <v>0</v>
      </c>
      <c r="HC28">
        <f t="shared" si="47"/>
        <v>0</v>
      </c>
      <c r="IK28">
        <v>0</v>
      </c>
    </row>
    <row r="29" spans="1:245" x14ac:dyDescent="0.2">
      <c r="A29">
        <v>17</v>
      </c>
      <c r="B29">
        <v>1</v>
      </c>
      <c r="C29">
        <f>ROW(SmtRes!A32)</f>
        <v>32</v>
      </c>
      <c r="D29">
        <f>ROW(EtalonRes!A32)</f>
        <v>32</v>
      </c>
      <c r="E29" t="s">
        <v>9</v>
      </c>
      <c r="F29" t="s">
        <v>119</v>
      </c>
      <c r="G29" t="s">
        <v>76</v>
      </c>
      <c r="H29" t="s">
        <v>120</v>
      </c>
      <c r="I29">
        <f>ROUND(46.8/100,9)</f>
        <v>0.46800000000000003</v>
      </c>
      <c r="J29">
        <v>0</v>
      </c>
      <c r="O29">
        <f t="shared" si="14"/>
        <v>9647.27</v>
      </c>
      <c r="P29">
        <f t="shared" si="15"/>
        <v>0</v>
      </c>
      <c r="Q29">
        <f t="shared" si="16"/>
        <v>314.5</v>
      </c>
      <c r="R29">
        <f t="shared" si="17"/>
        <v>304.42</v>
      </c>
      <c r="S29">
        <f t="shared" si="18"/>
        <v>9332.77</v>
      </c>
      <c r="T29">
        <f t="shared" si="19"/>
        <v>0</v>
      </c>
      <c r="U29">
        <f t="shared" si="20"/>
        <v>32.699160000000006</v>
      </c>
      <c r="V29">
        <f t="shared" si="21"/>
        <v>0.67391999999999996</v>
      </c>
      <c r="W29">
        <f t="shared" si="22"/>
        <v>0</v>
      </c>
      <c r="X29">
        <f t="shared" si="23"/>
        <v>7709.75</v>
      </c>
      <c r="Y29">
        <f t="shared" si="24"/>
        <v>6553.29</v>
      </c>
      <c r="AA29">
        <v>939971440</v>
      </c>
      <c r="AB29">
        <f t="shared" si="25"/>
        <v>641</v>
      </c>
      <c r="AC29">
        <f t="shared" si="48"/>
        <v>0</v>
      </c>
      <c r="AD29">
        <f t="shared" si="49"/>
        <v>45.01</v>
      </c>
      <c r="AE29">
        <f t="shared" si="50"/>
        <v>19.440000000000001</v>
      </c>
      <c r="AF29">
        <f t="shared" si="51"/>
        <v>595.99</v>
      </c>
      <c r="AG29">
        <f t="shared" si="26"/>
        <v>0</v>
      </c>
      <c r="AH29">
        <f t="shared" si="52"/>
        <v>69.87</v>
      </c>
      <c r="AI29">
        <f t="shared" si="53"/>
        <v>1.44</v>
      </c>
      <c r="AJ29">
        <f t="shared" si="27"/>
        <v>0</v>
      </c>
      <c r="AK29">
        <v>641</v>
      </c>
      <c r="AL29">
        <v>0</v>
      </c>
      <c r="AM29">
        <v>45.01</v>
      </c>
      <c r="AN29">
        <v>19.440000000000001</v>
      </c>
      <c r="AO29">
        <v>595.99</v>
      </c>
      <c r="AP29">
        <v>0</v>
      </c>
      <c r="AQ29">
        <v>69.87</v>
      </c>
      <c r="AR29">
        <v>1.44</v>
      </c>
      <c r="AS29">
        <v>0</v>
      </c>
      <c r="AT29">
        <v>80</v>
      </c>
      <c r="AU29">
        <v>68</v>
      </c>
      <c r="AV29">
        <v>1</v>
      </c>
      <c r="AW29">
        <v>1</v>
      </c>
      <c r="AZ29">
        <v>1</v>
      </c>
      <c r="BA29">
        <v>33.46</v>
      </c>
      <c r="BB29">
        <v>14.93</v>
      </c>
      <c r="BC29">
        <v>1</v>
      </c>
      <c r="BH29">
        <v>0</v>
      </c>
      <c r="BI29">
        <v>1</v>
      </c>
      <c r="BJ29" t="s">
        <v>121</v>
      </c>
      <c r="BM29">
        <v>57001</v>
      </c>
      <c r="BN29">
        <v>0</v>
      </c>
      <c r="BO29" t="s">
        <v>119</v>
      </c>
      <c r="BP29">
        <v>1</v>
      </c>
      <c r="BQ29">
        <v>6</v>
      </c>
      <c r="BR29">
        <v>0</v>
      </c>
      <c r="BS29">
        <v>33.46</v>
      </c>
      <c r="BT29">
        <v>1</v>
      </c>
      <c r="BU29">
        <v>1</v>
      </c>
      <c r="BV29">
        <v>1</v>
      </c>
      <c r="BW29">
        <v>1</v>
      </c>
      <c r="BX29">
        <v>1</v>
      </c>
      <c r="BZ29">
        <v>80</v>
      </c>
      <c r="CA29">
        <v>68</v>
      </c>
      <c r="CE29">
        <v>0</v>
      </c>
      <c r="CF29">
        <v>0</v>
      </c>
      <c r="CG29">
        <v>0</v>
      </c>
      <c r="CM29">
        <v>0</v>
      </c>
      <c r="CO29">
        <v>0</v>
      </c>
      <c r="CP29">
        <f t="shared" si="28"/>
        <v>9647.27</v>
      </c>
      <c r="CQ29">
        <f t="shared" si="29"/>
        <v>0</v>
      </c>
      <c r="CR29">
        <f t="shared" si="30"/>
        <v>671.99929999999995</v>
      </c>
      <c r="CS29">
        <f t="shared" si="31"/>
        <v>650.46240000000012</v>
      </c>
      <c r="CT29">
        <f t="shared" si="32"/>
        <v>19941.825400000002</v>
      </c>
      <c r="CU29">
        <f t="shared" si="33"/>
        <v>0</v>
      </c>
      <c r="CV29">
        <f t="shared" si="34"/>
        <v>69.87</v>
      </c>
      <c r="CW29">
        <f t="shared" si="35"/>
        <v>1.44</v>
      </c>
      <c r="CX29">
        <f t="shared" si="36"/>
        <v>0</v>
      </c>
      <c r="CY29">
        <f t="shared" si="37"/>
        <v>7709.7520000000004</v>
      </c>
      <c r="CZ29">
        <f t="shared" si="38"/>
        <v>6553.2892000000002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120</v>
      </c>
      <c r="DW29" t="s">
        <v>120</v>
      </c>
      <c r="DX29">
        <v>1</v>
      </c>
      <c r="EE29">
        <v>958392181</v>
      </c>
      <c r="EF29">
        <v>6</v>
      </c>
      <c r="EG29" t="s">
        <v>122</v>
      </c>
      <c r="EH29">
        <v>0</v>
      </c>
      <c r="EJ29">
        <v>1</v>
      </c>
      <c r="EK29">
        <v>57001</v>
      </c>
      <c r="EL29" t="s">
        <v>123</v>
      </c>
      <c r="EM29" t="s">
        <v>124</v>
      </c>
      <c r="EQ29">
        <v>0</v>
      </c>
      <c r="ER29">
        <v>641</v>
      </c>
      <c r="ES29">
        <v>0</v>
      </c>
      <c r="ET29">
        <v>45.01</v>
      </c>
      <c r="EU29">
        <v>19.440000000000001</v>
      </c>
      <c r="EV29">
        <v>595.99</v>
      </c>
      <c r="EW29">
        <v>69.87</v>
      </c>
      <c r="EX29">
        <v>1.44</v>
      </c>
      <c r="EY29">
        <v>0</v>
      </c>
      <c r="FQ29">
        <v>0</v>
      </c>
      <c r="FR29">
        <f t="shared" si="39"/>
        <v>0</v>
      </c>
      <c r="FS29">
        <v>0</v>
      </c>
      <c r="FX29">
        <v>80</v>
      </c>
      <c r="FY29">
        <v>68</v>
      </c>
      <c r="GD29">
        <v>1</v>
      </c>
      <c r="GF29">
        <v>-1654456792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0"/>
        <v>0</v>
      </c>
      <c r="GM29">
        <f t="shared" si="41"/>
        <v>23910.31</v>
      </c>
      <c r="GN29">
        <f t="shared" si="42"/>
        <v>23910.31</v>
      </c>
      <c r="GO29">
        <f t="shared" si="43"/>
        <v>0</v>
      </c>
      <c r="GP29">
        <f t="shared" si="44"/>
        <v>0</v>
      </c>
      <c r="GR29">
        <v>0</v>
      </c>
      <c r="GS29">
        <v>3</v>
      </c>
      <c r="GT29">
        <v>0</v>
      </c>
      <c r="GV29">
        <f t="shared" si="45"/>
        <v>0</v>
      </c>
      <c r="GW29">
        <v>1</v>
      </c>
      <c r="GX29">
        <f t="shared" si="46"/>
        <v>0</v>
      </c>
      <c r="HA29">
        <v>0</v>
      </c>
      <c r="HB29">
        <v>0</v>
      </c>
      <c r="HC29">
        <f t="shared" si="47"/>
        <v>0</v>
      </c>
      <c r="IK29">
        <v>0</v>
      </c>
    </row>
    <row r="30" spans="1:245" x14ac:dyDescent="0.2">
      <c r="A30">
        <v>18</v>
      </c>
      <c r="B30">
        <v>1</v>
      </c>
      <c r="C30">
        <v>28</v>
      </c>
      <c r="E30" t="s">
        <v>125</v>
      </c>
      <c r="F30" t="s">
        <v>126</v>
      </c>
      <c r="G30" t="s">
        <v>77</v>
      </c>
      <c r="H30" t="s">
        <v>26</v>
      </c>
      <c r="I30">
        <f>I28*J30</f>
        <v>2.4336000000000002</v>
      </c>
      <c r="J30">
        <v>5.2</v>
      </c>
      <c r="O30">
        <f t="shared" si="14"/>
        <v>0</v>
      </c>
      <c r="P30">
        <f t="shared" si="15"/>
        <v>0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939971439</v>
      </c>
      <c r="AB30">
        <f t="shared" si="25"/>
        <v>0</v>
      </c>
      <c r="AC30">
        <f t="shared" si="48"/>
        <v>0</v>
      </c>
      <c r="AD30">
        <f t="shared" si="49"/>
        <v>0</v>
      </c>
      <c r="AE30">
        <f t="shared" si="50"/>
        <v>0</v>
      </c>
      <c r="AF30">
        <f t="shared" si="51"/>
        <v>0</v>
      </c>
      <c r="AG30">
        <f t="shared" si="26"/>
        <v>0</v>
      </c>
      <c r="AH30">
        <f t="shared" si="52"/>
        <v>0</v>
      </c>
      <c r="AI30">
        <f t="shared" si="53"/>
        <v>0</v>
      </c>
      <c r="AJ30">
        <f t="shared" si="27"/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80</v>
      </c>
      <c r="AU30">
        <v>68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H30">
        <v>3</v>
      </c>
      <c r="BI30">
        <v>1</v>
      </c>
      <c r="BJ30" t="s">
        <v>127</v>
      </c>
      <c r="BM30">
        <v>57001</v>
      </c>
      <c r="BN30">
        <v>0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Z30">
        <v>80</v>
      </c>
      <c r="CA30">
        <v>68</v>
      </c>
      <c r="CE30">
        <v>0</v>
      </c>
      <c r="CF30">
        <v>0</v>
      </c>
      <c r="CG30">
        <v>0</v>
      </c>
      <c r="CM30">
        <v>0</v>
      </c>
      <c r="CO30">
        <v>0</v>
      </c>
      <c r="CP30">
        <f t="shared" si="28"/>
        <v>0</v>
      </c>
      <c r="CQ30">
        <f t="shared" si="29"/>
        <v>0</v>
      </c>
      <c r="CR30">
        <f t="shared" si="30"/>
        <v>0</v>
      </c>
      <c r="CS30">
        <f t="shared" si="31"/>
        <v>0</v>
      </c>
      <c r="CT30">
        <f t="shared" si="32"/>
        <v>0</v>
      </c>
      <c r="CU30">
        <f t="shared" si="33"/>
        <v>0</v>
      </c>
      <c r="CV30">
        <f t="shared" si="34"/>
        <v>0</v>
      </c>
      <c r="CW30">
        <f t="shared" si="35"/>
        <v>0</v>
      </c>
      <c r="CX30">
        <f t="shared" si="36"/>
        <v>0</v>
      </c>
      <c r="CY30">
        <f t="shared" si="37"/>
        <v>0</v>
      </c>
      <c r="CZ30">
        <f t="shared" si="38"/>
        <v>0</v>
      </c>
      <c r="DN30">
        <v>0</v>
      </c>
      <c r="DO30">
        <v>0</v>
      </c>
      <c r="DP30">
        <v>1</v>
      </c>
      <c r="DQ30">
        <v>1</v>
      </c>
      <c r="DU30">
        <v>39568864</v>
      </c>
      <c r="DV30" t="s">
        <v>26</v>
      </c>
      <c r="DW30" t="s">
        <v>26</v>
      </c>
      <c r="DX30">
        <v>1000</v>
      </c>
      <c r="EE30">
        <v>958392181</v>
      </c>
      <c r="EF30">
        <v>6</v>
      </c>
      <c r="EG30" t="s">
        <v>122</v>
      </c>
      <c r="EH30">
        <v>0</v>
      </c>
      <c r="EJ30">
        <v>1</v>
      </c>
      <c r="EK30">
        <v>57001</v>
      </c>
      <c r="EL30" t="s">
        <v>123</v>
      </c>
      <c r="EM30" t="s">
        <v>124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39"/>
        <v>0</v>
      </c>
      <c r="FS30">
        <v>0</v>
      </c>
      <c r="FX30">
        <v>80</v>
      </c>
      <c r="FY30">
        <v>68</v>
      </c>
      <c r="GD30">
        <v>1</v>
      </c>
      <c r="GF30">
        <v>1876412176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40"/>
        <v>0</v>
      </c>
      <c r="GM30">
        <f t="shared" si="41"/>
        <v>0</v>
      </c>
      <c r="GN30">
        <f t="shared" si="42"/>
        <v>0</v>
      </c>
      <c r="GO30">
        <f t="shared" si="43"/>
        <v>0</v>
      </c>
      <c r="GP30">
        <f t="shared" si="44"/>
        <v>0</v>
      </c>
      <c r="GR30">
        <v>0</v>
      </c>
      <c r="GS30">
        <v>3</v>
      </c>
      <c r="GT30">
        <v>0</v>
      </c>
      <c r="GV30">
        <f t="shared" si="45"/>
        <v>0</v>
      </c>
      <c r="GW30">
        <v>1</v>
      </c>
      <c r="GX30">
        <f t="shared" si="46"/>
        <v>0</v>
      </c>
      <c r="HA30">
        <v>0</v>
      </c>
      <c r="HB30">
        <v>0</v>
      </c>
      <c r="HC30">
        <f t="shared" si="47"/>
        <v>0</v>
      </c>
      <c r="IK30">
        <v>0</v>
      </c>
    </row>
    <row r="31" spans="1:245" x14ac:dyDescent="0.2">
      <c r="A31">
        <v>18</v>
      </c>
      <c r="B31">
        <v>1</v>
      </c>
      <c r="C31">
        <v>32</v>
      </c>
      <c r="E31" t="s">
        <v>125</v>
      </c>
      <c r="F31" t="s">
        <v>126</v>
      </c>
      <c r="G31" t="s">
        <v>77</v>
      </c>
      <c r="H31" t="s">
        <v>26</v>
      </c>
      <c r="I31">
        <f>I29*J31</f>
        <v>2.4336000000000002</v>
      </c>
      <c r="J31">
        <v>5.2</v>
      </c>
      <c r="O31">
        <f t="shared" si="14"/>
        <v>0</v>
      </c>
      <c r="P31">
        <f t="shared" si="15"/>
        <v>0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939971440</v>
      </c>
      <c r="AB31">
        <f t="shared" si="25"/>
        <v>0</v>
      </c>
      <c r="AC31">
        <f t="shared" si="48"/>
        <v>0</v>
      </c>
      <c r="AD31">
        <f t="shared" si="49"/>
        <v>0</v>
      </c>
      <c r="AE31">
        <f t="shared" si="50"/>
        <v>0</v>
      </c>
      <c r="AF31">
        <f t="shared" si="51"/>
        <v>0</v>
      </c>
      <c r="AG31">
        <f t="shared" si="26"/>
        <v>0</v>
      </c>
      <c r="AH31">
        <f t="shared" si="52"/>
        <v>0</v>
      </c>
      <c r="AI31">
        <f t="shared" si="53"/>
        <v>0</v>
      </c>
      <c r="AJ31">
        <f t="shared" si="27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68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H31">
        <v>3</v>
      </c>
      <c r="BI31">
        <v>1</v>
      </c>
      <c r="BJ31" t="s">
        <v>127</v>
      </c>
      <c r="BM31">
        <v>57001</v>
      </c>
      <c r="BN31">
        <v>0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Z31">
        <v>80</v>
      </c>
      <c r="CA31">
        <v>68</v>
      </c>
      <c r="CE31">
        <v>0</v>
      </c>
      <c r="CF31">
        <v>0</v>
      </c>
      <c r="CG31">
        <v>0</v>
      </c>
      <c r="CM31">
        <v>0</v>
      </c>
      <c r="CO31">
        <v>0</v>
      </c>
      <c r="CP31">
        <f t="shared" si="28"/>
        <v>0</v>
      </c>
      <c r="CQ31">
        <f t="shared" si="29"/>
        <v>0</v>
      </c>
      <c r="CR31">
        <f t="shared" si="30"/>
        <v>0</v>
      </c>
      <c r="CS31">
        <f t="shared" si="31"/>
        <v>0</v>
      </c>
      <c r="CT31">
        <f t="shared" si="32"/>
        <v>0</v>
      </c>
      <c r="CU31">
        <f t="shared" si="33"/>
        <v>0</v>
      </c>
      <c r="CV31">
        <f t="shared" si="34"/>
        <v>0</v>
      </c>
      <c r="CW31">
        <f t="shared" si="35"/>
        <v>0</v>
      </c>
      <c r="CX31">
        <f t="shared" si="36"/>
        <v>0</v>
      </c>
      <c r="CY31">
        <f t="shared" si="37"/>
        <v>0</v>
      </c>
      <c r="CZ31">
        <f t="shared" si="38"/>
        <v>0</v>
      </c>
      <c r="DN31">
        <v>0</v>
      </c>
      <c r="DO31">
        <v>0</v>
      </c>
      <c r="DP31">
        <v>1</v>
      </c>
      <c r="DQ31">
        <v>1</v>
      </c>
      <c r="DU31">
        <v>39568864</v>
      </c>
      <c r="DV31" t="s">
        <v>26</v>
      </c>
      <c r="DW31" t="s">
        <v>26</v>
      </c>
      <c r="DX31">
        <v>1000</v>
      </c>
      <c r="EE31">
        <v>958392181</v>
      </c>
      <c r="EF31">
        <v>6</v>
      </c>
      <c r="EG31" t="s">
        <v>122</v>
      </c>
      <c r="EH31">
        <v>0</v>
      </c>
      <c r="EJ31">
        <v>1</v>
      </c>
      <c r="EK31">
        <v>57001</v>
      </c>
      <c r="EL31" t="s">
        <v>123</v>
      </c>
      <c r="EM31" t="s">
        <v>124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39"/>
        <v>0</v>
      </c>
      <c r="FS31">
        <v>0</v>
      </c>
      <c r="FX31">
        <v>80</v>
      </c>
      <c r="FY31">
        <v>68</v>
      </c>
      <c r="GD31">
        <v>1</v>
      </c>
      <c r="GF31">
        <v>1876412176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40"/>
        <v>0</v>
      </c>
      <c r="GM31">
        <f t="shared" si="41"/>
        <v>0</v>
      </c>
      <c r="GN31">
        <f t="shared" si="42"/>
        <v>0</v>
      </c>
      <c r="GO31">
        <f t="shared" si="43"/>
        <v>0</v>
      </c>
      <c r="GP31">
        <f t="shared" si="44"/>
        <v>0</v>
      </c>
      <c r="GR31">
        <v>0</v>
      </c>
      <c r="GS31">
        <v>3</v>
      </c>
      <c r="GT31">
        <v>0</v>
      </c>
      <c r="GV31">
        <f t="shared" si="45"/>
        <v>0</v>
      </c>
      <c r="GW31">
        <v>1</v>
      </c>
      <c r="GX31">
        <f t="shared" si="46"/>
        <v>0</v>
      </c>
      <c r="HA31">
        <v>0</v>
      </c>
      <c r="HB31">
        <v>0</v>
      </c>
      <c r="HC31">
        <f t="shared" si="47"/>
        <v>0</v>
      </c>
      <c r="IK31">
        <v>0</v>
      </c>
    </row>
    <row r="32" spans="1:245" x14ac:dyDescent="0.2">
      <c r="A32">
        <v>17</v>
      </c>
      <c r="B32">
        <v>1</v>
      </c>
      <c r="C32">
        <f>ROW(SmtRes!A38)</f>
        <v>38</v>
      </c>
      <c r="D32">
        <f>ROW(EtalonRes!A38)</f>
        <v>38</v>
      </c>
      <c r="E32" t="s">
        <v>10</v>
      </c>
      <c r="F32" t="s">
        <v>128</v>
      </c>
      <c r="G32" t="s">
        <v>78</v>
      </c>
      <c r="H32" t="s">
        <v>120</v>
      </c>
      <c r="I32">
        <f>ROUND(46.8/100,9)</f>
        <v>0.46800000000000003</v>
      </c>
      <c r="J32">
        <v>0</v>
      </c>
      <c r="O32">
        <f t="shared" si="14"/>
        <v>916.12</v>
      </c>
      <c r="P32">
        <f t="shared" si="15"/>
        <v>0</v>
      </c>
      <c r="Q32">
        <f t="shared" si="16"/>
        <v>472.2</v>
      </c>
      <c r="R32">
        <f t="shared" si="17"/>
        <v>101.72</v>
      </c>
      <c r="S32">
        <f t="shared" si="18"/>
        <v>443.92</v>
      </c>
      <c r="T32">
        <f t="shared" si="19"/>
        <v>0</v>
      </c>
      <c r="U32">
        <f t="shared" si="20"/>
        <v>52.041600000000003</v>
      </c>
      <c r="V32">
        <f t="shared" si="21"/>
        <v>9.8280000000000012</v>
      </c>
      <c r="W32">
        <f t="shared" si="22"/>
        <v>0</v>
      </c>
      <c r="X32">
        <f t="shared" si="23"/>
        <v>436.51</v>
      </c>
      <c r="Y32">
        <f t="shared" si="24"/>
        <v>371.04</v>
      </c>
      <c r="AA32">
        <v>939971439</v>
      </c>
      <c r="AB32">
        <f t="shared" si="25"/>
        <v>1957.51</v>
      </c>
      <c r="AC32">
        <f t="shared" si="48"/>
        <v>0</v>
      </c>
      <c r="AD32">
        <f t="shared" si="49"/>
        <v>1008.97</v>
      </c>
      <c r="AE32">
        <f t="shared" si="50"/>
        <v>217.35</v>
      </c>
      <c r="AF32">
        <f t="shared" si="51"/>
        <v>948.54</v>
      </c>
      <c r="AG32">
        <f t="shared" si="26"/>
        <v>0</v>
      </c>
      <c r="AH32">
        <f t="shared" si="52"/>
        <v>111.2</v>
      </c>
      <c r="AI32">
        <f t="shared" si="53"/>
        <v>21</v>
      </c>
      <c r="AJ32">
        <f t="shared" si="27"/>
        <v>0</v>
      </c>
      <c r="AK32">
        <v>1957.51</v>
      </c>
      <c r="AL32">
        <v>0</v>
      </c>
      <c r="AM32">
        <v>1008.97</v>
      </c>
      <c r="AN32">
        <v>217.35</v>
      </c>
      <c r="AO32">
        <v>948.54</v>
      </c>
      <c r="AP32">
        <v>0</v>
      </c>
      <c r="AQ32">
        <v>111.2</v>
      </c>
      <c r="AR32">
        <v>21</v>
      </c>
      <c r="AS32">
        <v>0</v>
      </c>
      <c r="AT32">
        <v>80</v>
      </c>
      <c r="AU32">
        <v>68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H32">
        <v>0</v>
      </c>
      <c r="BI32">
        <v>1</v>
      </c>
      <c r="BJ32" t="s">
        <v>129</v>
      </c>
      <c r="BM32">
        <v>57001</v>
      </c>
      <c r="BN32">
        <v>0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Z32">
        <v>80</v>
      </c>
      <c r="CA32">
        <v>68</v>
      </c>
      <c r="CE32">
        <v>0</v>
      </c>
      <c r="CF32">
        <v>0</v>
      </c>
      <c r="CG32">
        <v>0</v>
      </c>
      <c r="CM32">
        <v>0</v>
      </c>
      <c r="CO32">
        <v>0</v>
      </c>
      <c r="CP32">
        <f t="shared" si="28"/>
        <v>916.12</v>
      </c>
      <c r="CQ32">
        <f t="shared" si="29"/>
        <v>0</v>
      </c>
      <c r="CR32">
        <f t="shared" si="30"/>
        <v>1008.97</v>
      </c>
      <c r="CS32">
        <f t="shared" si="31"/>
        <v>217.35</v>
      </c>
      <c r="CT32">
        <f t="shared" si="32"/>
        <v>948.54</v>
      </c>
      <c r="CU32">
        <f t="shared" si="33"/>
        <v>0</v>
      </c>
      <c r="CV32">
        <f t="shared" si="34"/>
        <v>111.2</v>
      </c>
      <c r="CW32">
        <f t="shared" si="35"/>
        <v>21</v>
      </c>
      <c r="CX32">
        <f t="shared" si="36"/>
        <v>0</v>
      </c>
      <c r="CY32">
        <f t="shared" si="37"/>
        <v>436.51199999999994</v>
      </c>
      <c r="CZ32">
        <f t="shared" si="38"/>
        <v>371.03519999999997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120</v>
      </c>
      <c r="DW32" t="s">
        <v>120</v>
      </c>
      <c r="DX32">
        <v>1</v>
      </c>
      <c r="EE32">
        <v>958392181</v>
      </c>
      <c r="EF32">
        <v>6</v>
      </c>
      <c r="EG32" t="s">
        <v>122</v>
      </c>
      <c r="EH32">
        <v>0</v>
      </c>
      <c r="EJ32">
        <v>1</v>
      </c>
      <c r="EK32">
        <v>57001</v>
      </c>
      <c r="EL32" t="s">
        <v>123</v>
      </c>
      <c r="EM32" t="s">
        <v>124</v>
      </c>
      <c r="EQ32">
        <v>0</v>
      </c>
      <c r="ER32">
        <v>1957.51</v>
      </c>
      <c r="ES32">
        <v>0</v>
      </c>
      <c r="ET32">
        <v>1008.97</v>
      </c>
      <c r="EU32">
        <v>217.35</v>
      </c>
      <c r="EV32">
        <v>948.54</v>
      </c>
      <c r="EW32">
        <v>111.2</v>
      </c>
      <c r="EX32">
        <v>21</v>
      </c>
      <c r="EY32">
        <v>0</v>
      </c>
      <c r="FQ32">
        <v>0</v>
      </c>
      <c r="FR32">
        <f t="shared" si="39"/>
        <v>0</v>
      </c>
      <c r="FS32">
        <v>0</v>
      </c>
      <c r="FX32">
        <v>80</v>
      </c>
      <c r="FY32">
        <v>68</v>
      </c>
      <c r="GD32">
        <v>1</v>
      </c>
      <c r="GF32">
        <v>661773295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40"/>
        <v>0</v>
      </c>
      <c r="GM32">
        <f t="shared" si="41"/>
        <v>1723.67</v>
      </c>
      <c r="GN32">
        <f t="shared" si="42"/>
        <v>1723.67</v>
      </c>
      <c r="GO32">
        <f t="shared" si="43"/>
        <v>0</v>
      </c>
      <c r="GP32">
        <f t="shared" si="44"/>
        <v>0</v>
      </c>
      <c r="GR32">
        <v>0</v>
      </c>
      <c r="GS32">
        <v>3</v>
      </c>
      <c r="GT32">
        <v>0</v>
      </c>
      <c r="GV32">
        <f t="shared" si="45"/>
        <v>0</v>
      </c>
      <c r="GW32">
        <v>1</v>
      </c>
      <c r="GX32">
        <f t="shared" si="46"/>
        <v>0</v>
      </c>
      <c r="HA32">
        <v>0</v>
      </c>
      <c r="HB32">
        <v>0</v>
      </c>
      <c r="HC32">
        <f t="shared" si="47"/>
        <v>0</v>
      </c>
      <c r="IK32">
        <v>0</v>
      </c>
    </row>
    <row r="33" spans="1:245" x14ac:dyDescent="0.2">
      <c r="A33">
        <v>17</v>
      </c>
      <c r="B33">
        <v>1</v>
      </c>
      <c r="C33">
        <f>ROW(SmtRes!A44)</f>
        <v>44</v>
      </c>
      <c r="D33">
        <f>ROW(EtalonRes!A44)</f>
        <v>44</v>
      </c>
      <c r="E33" t="s">
        <v>10</v>
      </c>
      <c r="F33" t="s">
        <v>128</v>
      </c>
      <c r="G33" t="s">
        <v>78</v>
      </c>
      <c r="H33" t="s">
        <v>120</v>
      </c>
      <c r="I33">
        <f>ROUND(46.8/100,9)</f>
        <v>0.46800000000000003</v>
      </c>
      <c r="J33">
        <v>0</v>
      </c>
      <c r="O33">
        <f t="shared" si="14"/>
        <v>20179.84</v>
      </c>
      <c r="P33">
        <f t="shared" si="15"/>
        <v>0</v>
      </c>
      <c r="Q33">
        <f t="shared" si="16"/>
        <v>5326.39</v>
      </c>
      <c r="R33">
        <f t="shared" si="17"/>
        <v>3403.54</v>
      </c>
      <c r="S33">
        <f t="shared" si="18"/>
        <v>14853.45</v>
      </c>
      <c r="T33">
        <f t="shared" si="19"/>
        <v>0</v>
      </c>
      <c r="U33">
        <f t="shared" si="20"/>
        <v>52.041600000000003</v>
      </c>
      <c r="V33">
        <f t="shared" si="21"/>
        <v>9.8280000000000012</v>
      </c>
      <c r="W33">
        <f t="shared" si="22"/>
        <v>0</v>
      </c>
      <c r="X33">
        <f t="shared" si="23"/>
        <v>14605.59</v>
      </c>
      <c r="Y33">
        <f t="shared" si="24"/>
        <v>12414.75</v>
      </c>
      <c r="AA33">
        <v>939971440</v>
      </c>
      <c r="AB33">
        <f t="shared" si="25"/>
        <v>1957.51</v>
      </c>
      <c r="AC33">
        <f t="shared" si="48"/>
        <v>0</v>
      </c>
      <c r="AD33">
        <f t="shared" si="49"/>
        <v>1008.97</v>
      </c>
      <c r="AE33">
        <f t="shared" si="50"/>
        <v>217.35</v>
      </c>
      <c r="AF33">
        <f t="shared" si="51"/>
        <v>948.54</v>
      </c>
      <c r="AG33">
        <f t="shared" si="26"/>
        <v>0</v>
      </c>
      <c r="AH33">
        <f t="shared" si="52"/>
        <v>111.2</v>
      </c>
      <c r="AI33">
        <f t="shared" si="53"/>
        <v>21</v>
      </c>
      <c r="AJ33">
        <f t="shared" si="27"/>
        <v>0</v>
      </c>
      <c r="AK33">
        <v>1957.51</v>
      </c>
      <c r="AL33">
        <v>0</v>
      </c>
      <c r="AM33">
        <v>1008.97</v>
      </c>
      <c r="AN33">
        <v>217.35</v>
      </c>
      <c r="AO33">
        <v>948.54</v>
      </c>
      <c r="AP33">
        <v>0</v>
      </c>
      <c r="AQ33">
        <v>111.2</v>
      </c>
      <c r="AR33">
        <v>21</v>
      </c>
      <c r="AS33">
        <v>0</v>
      </c>
      <c r="AT33">
        <v>80</v>
      </c>
      <c r="AU33">
        <v>68</v>
      </c>
      <c r="AV33">
        <v>1</v>
      </c>
      <c r="AW33">
        <v>1</v>
      </c>
      <c r="AZ33">
        <v>1</v>
      </c>
      <c r="BA33">
        <v>33.46</v>
      </c>
      <c r="BB33">
        <v>11.28</v>
      </c>
      <c r="BC33">
        <v>1</v>
      </c>
      <c r="BH33">
        <v>0</v>
      </c>
      <c r="BI33">
        <v>1</v>
      </c>
      <c r="BJ33" t="s">
        <v>129</v>
      </c>
      <c r="BM33">
        <v>57001</v>
      </c>
      <c r="BN33">
        <v>0</v>
      </c>
      <c r="BO33" t="s">
        <v>128</v>
      </c>
      <c r="BP33">
        <v>1</v>
      </c>
      <c r="BQ33">
        <v>6</v>
      </c>
      <c r="BR33">
        <v>0</v>
      </c>
      <c r="BS33">
        <v>33.46</v>
      </c>
      <c r="BT33">
        <v>1</v>
      </c>
      <c r="BU33">
        <v>1</v>
      </c>
      <c r="BV33">
        <v>1</v>
      </c>
      <c r="BW33">
        <v>1</v>
      </c>
      <c r="BX33">
        <v>1</v>
      </c>
      <c r="BZ33">
        <v>80</v>
      </c>
      <c r="CA33">
        <v>68</v>
      </c>
      <c r="CE33">
        <v>0</v>
      </c>
      <c r="CF33">
        <v>0</v>
      </c>
      <c r="CG33">
        <v>0</v>
      </c>
      <c r="CM33">
        <v>0</v>
      </c>
      <c r="CO33">
        <v>0</v>
      </c>
      <c r="CP33">
        <f t="shared" si="28"/>
        <v>20179.84</v>
      </c>
      <c r="CQ33">
        <f t="shared" si="29"/>
        <v>0</v>
      </c>
      <c r="CR33">
        <f t="shared" si="30"/>
        <v>11381.1816</v>
      </c>
      <c r="CS33">
        <f t="shared" si="31"/>
        <v>7272.5309999999999</v>
      </c>
      <c r="CT33">
        <f t="shared" si="32"/>
        <v>31738.148399999998</v>
      </c>
      <c r="CU33">
        <f t="shared" si="33"/>
        <v>0</v>
      </c>
      <c r="CV33">
        <f t="shared" si="34"/>
        <v>111.2</v>
      </c>
      <c r="CW33">
        <f t="shared" si="35"/>
        <v>21</v>
      </c>
      <c r="CX33">
        <f t="shared" si="36"/>
        <v>0</v>
      </c>
      <c r="CY33">
        <f t="shared" si="37"/>
        <v>14605.592000000002</v>
      </c>
      <c r="CZ33">
        <f t="shared" si="38"/>
        <v>12414.753200000001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120</v>
      </c>
      <c r="DW33" t="s">
        <v>120</v>
      </c>
      <c r="DX33">
        <v>1</v>
      </c>
      <c r="EE33">
        <v>958392181</v>
      </c>
      <c r="EF33">
        <v>6</v>
      </c>
      <c r="EG33" t="s">
        <v>122</v>
      </c>
      <c r="EH33">
        <v>0</v>
      </c>
      <c r="EJ33">
        <v>1</v>
      </c>
      <c r="EK33">
        <v>57001</v>
      </c>
      <c r="EL33" t="s">
        <v>123</v>
      </c>
      <c r="EM33" t="s">
        <v>124</v>
      </c>
      <c r="EQ33">
        <v>0</v>
      </c>
      <c r="ER33">
        <v>1957.51</v>
      </c>
      <c r="ES33">
        <v>0</v>
      </c>
      <c r="ET33">
        <v>1008.97</v>
      </c>
      <c r="EU33">
        <v>217.35</v>
      </c>
      <c r="EV33">
        <v>948.54</v>
      </c>
      <c r="EW33">
        <v>111.2</v>
      </c>
      <c r="EX33">
        <v>21</v>
      </c>
      <c r="EY33">
        <v>0</v>
      </c>
      <c r="FQ33">
        <v>0</v>
      </c>
      <c r="FR33">
        <f t="shared" si="39"/>
        <v>0</v>
      </c>
      <c r="FS33">
        <v>0</v>
      </c>
      <c r="FX33">
        <v>80</v>
      </c>
      <c r="FY33">
        <v>68</v>
      </c>
      <c r="GD33">
        <v>1</v>
      </c>
      <c r="GF33">
        <v>661773295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0"/>
        <v>0</v>
      </c>
      <c r="GM33">
        <f t="shared" si="41"/>
        <v>47200.18</v>
      </c>
      <c r="GN33">
        <f t="shared" si="42"/>
        <v>47200.18</v>
      </c>
      <c r="GO33">
        <f t="shared" si="43"/>
        <v>0</v>
      </c>
      <c r="GP33">
        <f t="shared" si="44"/>
        <v>0</v>
      </c>
      <c r="GR33">
        <v>0</v>
      </c>
      <c r="GS33">
        <v>3</v>
      </c>
      <c r="GT33">
        <v>0</v>
      </c>
      <c r="GV33">
        <f t="shared" si="45"/>
        <v>0</v>
      </c>
      <c r="GW33">
        <v>1</v>
      </c>
      <c r="GX33">
        <f t="shared" si="46"/>
        <v>0</v>
      </c>
      <c r="HA33">
        <v>0</v>
      </c>
      <c r="HB33">
        <v>0</v>
      </c>
      <c r="HC33">
        <f t="shared" si="47"/>
        <v>0</v>
      </c>
      <c r="IK33">
        <v>0</v>
      </c>
    </row>
    <row r="34" spans="1:245" x14ac:dyDescent="0.2">
      <c r="A34">
        <v>18</v>
      </c>
      <c r="B34">
        <v>1</v>
      </c>
      <c r="C34">
        <v>38</v>
      </c>
      <c r="E34" t="s">
        <v>130</v>
      </c>
      <c r="F34" t="s">
        <v>126</v>
      </c>
      <c r="G34" t="s">
        <v>77</v>
      </c>
      <c r="H34" t="s">
        <v>26</v>
      </c>
      <c r="I34">
        <f>I32*J34</f>
        <v>3.0888</v>
      </c>
      <c r="J34">
        <v>6.6</v>
      </c>
      <c r="O34">
        <f t="shared" si="14"/>
        <v>0</v>
      </c>
      <c r="P34">
        <f t="shared" si="15"/>
        <v>0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939971439</v>
      </c>
      <c r="AB34">
        <f t="shared" si="25"/>
        <v>0</v>
      </c>
      <c r="AC34">
        <f t="shared" si="48"/>
        <v>0</v>
      </c>
      <c r="AD34">
        <f t="shared" si="49"/>
        <v>0</v>
      </c>
      <c r="AE34">
        <f t="shared" si="50"/>
        <v>0</v>
      </c>
      <c r="AF34">
        <f t="shared" si="51"/>
        <v>0</v>
      </c>
      <c r="AG34">
        <f t="shared" si="26"/>
        <v>0</v>
      </c>
      <c r="AH34">
        <f t="shared" si="52"/>
        <v>0</v>
      </c>
      <c r="AI34">
        <f t="shared" si="53"/>
        <v>0</v>
      </c>
      <c r="AJ34">
        <f t="shared" si="27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80</v>
      </c>
      <c r="AU34">
        <v>68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H34">
        <v>3</v>
      </c>
      <c r="BI34">
        <v>1</v>
      </c>
      <c r="BJ34" t="s">
        <v>127</v>
      </c>
      <c r="BM34">
        <v>57001</v>
      </c>
      <c r="BN34">
        <v>0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Z34">
        <v>80</v>
      </c>
      <c r="CA34">
        <v>68</v>
      </c>
      <c r="CE34">
        <v>0</v>
      </c>
      <c r="CF34">
        <v>0</v>
      </c>
      <c r="CG34">
        <v>0</v>
      </c>
      <c r="CM34">
        <v>0</v>
      </c>
      <c r="CO34">
        <v>0</v>
      </c>
      <c r="CP34">
        <f t="shared" si="28"/>
        <v>0</v>
      </c>
      <c r="CQ34">
        <f t="shared" si="29"/>
        <v>0</v>
      </c>
      <c r="CR34">
        <f t="shared" si="30"/>
        <v>0</v>
      </c>
      <c r="CS34">
        <f t="shared" si="31"/>
        <v>0</v>
      </c>
      <c r="CT34">
        <f t="shared" si="32"/>
        <v>0</v>
      </c>
      <c r="CU34">
        <f t="shared" si="33"/>
        <v>0</v>
      </c>
      <c r="CV34">
        <f t="shared" si="34"/>
        <v>0</v>
      </c>
      <c r="CW34">
        <f t="shared" si="35"/>
        <v>0</v>
      </c>
      <c r="CX34">
        <f t="shared" si="36"/>
        <v>0</v>
      </c>
      <c r="CY34">
        <f t="shared" si="37"/>
        <v>0</v>
      </c>
      <c r="CZ34">
        <f t="shared" si="38"/>
        <v>0</v>
      </c>
      <c r="DN34">
        <v>0</v>
      </c>
      <c r="DO34">
        <v>0</v>
      </c>
      <c r="DP34">
        <v>1</v>
      </c>
      <c r="DQ34">
        <v>1</v>
      </c>
      <c r="DU34">
        <v>39568864</v>
      </c>
      <c r="DV34" t="s">
        <v>26</v>
      </c>
      <c r="DW34" t="s">
        <v>26</v>
      </c>
      <c r="DX34">
        <v>1000</v>
      </c>
      <c r="EE34">
        <v>958392181</v>
      </c>
      <c r="EF34">
        <v>6</v>
      </c>
      <c r="EG34" t="s">
        <v>122</v>
      </c>
      <c r="EH34">
        <v>0</v>
      </c>
      <c r="EJ34">
        <v>1</v>
      </c>
      <c r="EK34">
        <v>57001</v>
      </c>
      <c r="EL34" t="s">
        <v>123</v>
      </c>
      <c r="EM34" t="s">
        <v>124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39"/>
        <v>0</v>
      </c>
      <c r="FS34">
        <v>0</v>
      </c>
      <c r="FX34">
        <v>80</v>
      </c>
      <c r="FY34">
        <v>68</v>
      </c>
      <c r="GD34">
        <v>1</v>
      </c>
      <c r="GF34">
        <v>1876412176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40"/>
        <v>0</v>
      </c>
      <c r="GM34">
        <f t="shared" si="41"/>
        <v>0</v>
      </c>
      <c r="GN34">
        <f t="shared" si="42"/>
        <v>0</v>
      </c>
      <c r="GO34">
        <f t="shared" si="43"/>
        <v>0</v>
      </c>
      <c r="GP34">
        <f t="shared" si="44"/>
        <v>0</v>
      </c>
      <c r="GR34">
        <v>0</v>
      </c>
      <c r="GS34">
        <v>3</v>
      </c>
      <c r="GT34">
        <v>0</v>
      </c>
      <c r="GV34">
        <f t="shared" si="45"/>
        <v>0</v>
      </c>
      <c r="GW34">
        <v>1</v>
      </c>
      <c r="GX34">
        <f t="shared" si="46"/>
        <v>0</v>
      </c>
      <c r="HA34">
        <v>0</v>
      </c>
      <c r="HB34">
        <v>0</v>
      </c>
      <c r="HC34">
        <f t="shared" si="47"/>
        <v>0</v>
      </c>
      <c r="IK34">
        <v>0</v>
      </c>
    </row>
    <row r="35" spans="1:245" x14ac:dyDescent="0.2">
      <c r="A35">
        <v>18</v>
      </c>
      <c r="B35">
        <v>1</v>
      </c>
      <c r="C35">
        <v>44</v>
      </c>
      <c r="E35" t="s">
        <v>130</v>
      </c>
      <c r="F35" t="s">
        <v>126</v>
      </c>
      <c r="G35" t="s">
        <v>77</v>
      </c>
      <c r="H35" t="s">
        <v>26</v>
      </c>
      <c r="I35">
        <f>I33*J35</f>
        <v>3.0888</v>
      </c>
      <c r="J35">
        <v>6.6</v>
      </c>
      <c r="O35">
        <f t="shared" si="14"/>
        <v>0</v>
      </c>
      <c r="P35">
        <f t="shared" si="15"/>
        <v>0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939971440</v>
      </c>
      <c r="AB35">
        <f t="shared" si="25"/>
        <v>0</v>
      </c>
      <c r="AC35">
        <f t="shared" si="48"/>
        <v>0</v>
      </c>
      <c r="AD35">
        <f t="shared" si="49"/>
        <v>0</v>
      </c>
      <c r="AE35">
        <f t="shared" si="50"/>
        <v>0</v>
      </c>
      <c r="AF35">
        <f t="shared" si="51"/>
        <v>0</v>
      </c>
      <c r="AG35">
        <f t="shared" si="26"/>
        <v>0</v>
      </c>
      <c r="AH35">
        <f t="shared" si="52"/>
        <v>0</v>
      </c>
      <c r="AI35">
        <f t="shared" si="53"/>
        <v>0</v>
      </c>
      <c r="AJ35">
        <f t="shared" si="27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80</v>
      </c>
      <c r="AU35">
        <v>68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H35">
        <v>3</v>
      </c>
      <c r="BI35">
        <v>1</v>
      </c>
      <c r="BJ35" t="s">
        <v>127</v>
      </c>
      <c r="BM35">
        <v>57001</v>
      </c>
      <c r="BN35">
        <v>0</v>
      </c>
      <c r="BP35">
        <v>0</v>
      </c>
      <c r="BQ35">
        <v>6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Z35">
        <v>80</v>
      </c>
      <c r="CA35">
        <v>68</v>
      </c>
      <c r="CE35">
        <v>0</v>
      </c>
      <c r="CF35">
        <v>0</v>
      </c>
      <c r="CG35">
        <v>0</v>
      </c>
      <c r="CM35">
        <v>0</v>
      </c>
      <c r="CO35">
        <v>0</v>
      </c>
      <c r="CP35">
        <f t="shared" si="28"/>
        <v>0</v>
      </c>
      <c r="CQ35">
        <f t="shared" si="29"/>
        <v>0</v>
      </c>
      <c r="CR35">
        <f t="shared" si="30"/>
        <v>0</v>
      </c>
      <c r="CS35">
        <f t="shared" si="31"/>
        <v>0</v>
      </c>
      <c r="CT35">
        <f t="shared" si="32"/>
        <v>0</v>
      </c>
      <c r="CU35">
        <f t="shared" si="33"/>
        <v>0</v>
      </c>
      <c r="CV35">
        <f t="shared" si="34"/>
        <v>0</v>
      </c>
      <c r="CW35">
        <f t="shared" si="35"/>
        <v>0</v>
      </c>
      <c r="CX35">
        <f t="shared" si="36"/>
        <v>0</v>
      </c>
      <c r="CY35">
        <f t="shared" si="37"/>
        <v>0</v>
      </c>
      <c r="CZ35">
        <f t="shared" si="38"/>
        <v>0</v>
      </c>
      <c r="DN35">
        <v>0</v>
      </c>
      <c r="DO35">
        <v>0</v>
      </c>
      <c r="DP35">
        <v>1</v>
      </c>
      <c r="DQ35">
        <v>1</v>
      </c>
      <c r="DU35">
        <v>39568864</v>
      </c>
      <c r="DV35" t="s">
        <v>26</v>
      </c>
      <c r="DW35" t="s">
        <v>26</v>
      </c>
      <c r="DX35">
        <v>1000</v>
      </c>
      <c r="EE35">
        <v>958392181</v>
      </c>
      <c r="EF35">
        <v>6</v>
      </c>
      <c r="EG35" t="s">
        <v>122</v>
      </c>
      <c r="EH35">
        <v>0</v>
      </c>
      <c r="EJ35">
        <v>1</v>
      </c>
      <c r="EK35">
        <v>57001</v>
      </c>
      <c r="EL35" t="s">
        <v>123</v>
      </c>
      <c r="EM35" t="s">
        <v>124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39"/>
        <v>0</v>
      </c>
      <c r="FS35">
        <v>0</v>
      </c>
      <c r="FX35">
        <v>80</v>
      </c>
      <c r="FY35">
        <v>68</v>
      </c>
      <c r="GD35">
        <v>1</v>
      </c>
      <c r="GF35">
        <v>1876412176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40"/>
        <v>0</v>
      </c>
      <c r="GM35">
        <f t="shared" si="41"/>
        <v>0</v>
      </c>
      <c r="GN35">
        <f t="shared" si="42"/>
        <v>0</v>
      </c>
      <c r="GO35">
        <f t="shared" si="43"/>
        <v>0</v>
      </c>
      <c r="GP35">
        <f t="shared" si="44"/>
        <v>0</v>
      </c>
      <c r="GR35">
        <v>0</v>
      </c>
      <c r="GS35">
        <v>3</v>
      </c>
      <c r="GT35">
        <v>0</v>
      </c>
      <c r="GV35">
        <f t="shared" si="45"/>
        <v>0</v>
      </c>
      <c r="GW35">
        <v>1</v>
      </c>
      <c r="GX35">
        <f t="shared" si="46"/>
        <v>0</v>
      </c>
      <c r="HA35">
        <v>0</v>
      </c>
      <c r="HB35">
        <v>0</v>
      </c>
      <c r="HC35">
        <f t="shared" si="47"/>
        <v>0</v>
      </c>
      <c r="IK35">
        <v>0</v>
      </c>
    </row>
    <row r="36" spans="1:245" x14ac:dyDescent="0.2">
      <c r="A36">
        <v>17</v>
      </c>
      <c r="B36">
        <v>1</v>
      </c>
      <c r="C36">
        <f>ROW(SmtRes!A48)</f>
        <v>48</v>
      </c>
      <c r="D36">
        <f>ROW(EtalonRes!A48)</f>
        <v>48</v>
      </c>
      <c r="E36" t="s">
        <v>12</v>
      </c>
      <c r="F36" t="s">
        <v>131</v>
      </c>
      <c r="G36" t="s">
        <v>79</v>
      </c>
      <c r="H36" t="s">
        <v>132</v>
      </c>
      <c r="I36">
        <f>ROUND(50.5/100,9)</f>
        <v>0.505</v>
      </c>
      <c r="J36">
        <v>0</v>
      </c>
      <c r="O36">
        <f t="shared" si="14"/>
        <v>428.89</v>
      </c>
      <c r="P36">
        <f t="shared" si="15"/>
        <v>0</v>
      </c>
      <c r="Q36">
        <f t="shared" si="16"/>
        <v>32.07</v>
      </c>
      <c r="R36">
        <f t="shared" si="17"/>
        <v>6.5</v>
      </c>
      <c r="S36">
        <f t="shared" si="18"/>
        <v>396.82</v>
      </c>
      <c r="T36">
        <f t="shared" si="19"/>
        <v>0</v>
      </c>
      <c r="U36">
        <f t="shared" si="20"/>
        <v>46.520600000000002</v>
      </c>
      <c r="V36">
        <f t="shared" si="21"/>
        <v>0.64639999999999997</v>
      </c>
      <c r="W36">
        <f t="shared" si="22"/>
        <v>0</v>
      </c>
      <c r="X36">
        <f t="shared" si="23"/>
        <v>443.65</v>
      </c>
      <c r="Y36">
        <f t="shared" si="24"/>
        <v>282.32</v>
      </c>
      <c r="AA36">
        <v>939971439</v>
      </c>
      <c r="AB36">
        <f t="shared" si="25"/>
        <v>849.29</v>
      </c>
      <c r="AC36">
        <f t="shared" si="48"/>
        <v>0</v>
      </c>
      <c r="AD36">
        <f t="shared" si="49"/>
        <v>63.51</v>
      </c>
      <c r="AE36">
        <f t="shared" si="50"/>
        <v>12.88</v>
      </c>
      <c r="AF36">
        <f t="shared" si="51"/>
        <v>785.78</v>
      </c>
      <c r="AG36">
        <f t="shared" si="26"/>
        <v>0</v>
      </c>
      <c r="AH36">
        <f t="shared" si="52"/>
        <v>92.12</v>
      </c>
      <c r="AI36">
        <f t="shared" si="53"/>
        <v>1.28</v>
      </c>
      <c r="AJ36">
        <f t="shared" si="27"/>
        <v>0</v>
      </c>
      <c r="AK36">
        <v>849.29</v>
      </c>
      <c r="AL36">
        <v>0</v>
      </c>
      <c r="AM36">
        <v>63.51</v>
      </c>
      <c r="AN36">
        <v>12.88</v>
      </c>
      <c r="AO36">
        <v>785.78</v>
      </c>
      <c r="AP36">
        <v>0</v>
      </c>
      <c r="AQ36">
        <v>92.12</v>
      </c>
      <c r="AR36">
        <v>1.28</v>
      </c>
      <c r="AS36">
        <v>0</v>
      </c>
      <c r="AT36">
        <v>110</v>
      </c>
      <c r="AU36">
        <v>70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H36">
        <v>0</v>
      </c>
      <c r="BI36">
        <v>1</v>
      </c>
      <c r="BJ36" t="s">
        <v>133</v>
      </c>
      <c r="BM36">
        <v>46001</v>
      </c>
      <c r="BN36">
        <v>0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Z36">
        <v>110</v>
      </c>
      <c r="CA36">
        <v>70</v>
      </c>
      <c r="CE36">
        <v>0</v>
      </c>
      <c r="CF36">
        <v>0</v>
      </c>
      <c r="CG36">
        <v>0</v>
      </c>
      <c r="CM36">
        <v>0</v>
      </c>
      <c r="CO36">
        <v>0</v>
      </c>
      <c r="CP36">
        <f t="shared" si="28"/>
        <v>428.89</v>
      </c>
      <c r="CQ36">
        <f t="shared" si="29"/>
        <v>0</v>
      </c>
      <c r="CR36">
        <f t="shared" si="30"/>
        <v>63.51</v>
      </c>
      <c r="CS36">
        <f t="shared" si="31"/>
        <v>12.88</v>
      </c>
      <c r="CT36">
        <f t="shared" si="32"/>
        <v>785.78</v>
      </c>
      <c r="CU36">
        <f t="shared" si="33"/>
        <v>0</v>
      </c>
      <c r="CV36">
        <f t="shared" si="34"/>
        <v>92.12</v>
      </c>
      <c r="CW36">
        <f t="shared" si="35"/>
        <v>1.28</v>
      </c>
      <c r="CX36">
        <f t="shared" si="36"/>
        <v>0</v>
      </c>
      <c r="CY36">
        <f t="shared" si="37"/>
        <v>443.65199999999999</v>
      </c>
      <c r="CZ36">
        <f t="shared" si="38"/>
        <v>282.32399999999996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132</v>
      </c>
      <c r="DW36" t="s">
        <v>132</v>
      </c>
      <c r="DX36">
        <v>1</v>
      </c>
      <c r="EE36">
        <v>958392170</v>
      </c>
      <c r="EF36">
        <v>2</v>
      </c>
      <c r="EG36" t="s">
        <v>111</v>
      </c>
      <c r="EH36">
        <v>0</v>
      </c>
      <c r="EJ36">
        <v>1</v>
      </c>
      <c r="EK36">
        <v>46001</v>
      </c>
      <c r="EL36" t="s">
        <v>134</v>
      </c>
      <c r="EM36" t="s">
        <v>135</v>
      </c>
      <c r="EQ36">
        <v>0</v>
      </c>
      <c r="ER36">
        <v>849.29</v>
      </c>
      <c r="ES36">
        <v>0</v>
      </c>
      <c r="ET36">
        <v>63.51</v>
      </c>
      <c r="EU36">
        <v>12.88</v>
      </c>
      <c r="EV36">
        <v>785.78</v>
      </c>
      <c r="EW36">
        <v>92.12</v>
      </c>
      <c r="EX36">
        <v>1.28</v>
      </c>
      <c r="EY36">
        <v>0</v>
      </c>
      <c r="FQ36">
        <v>0</v>
      </c>
      <c r="FR36">
        <f t="shared" si="39"/>
        <v>0</v>
      </c>
      <c r="FS36">
        <v>0</v>
      </c>
      <c r="FX36">
        <v>110</v>
      </c>
      <c r="FY36">
        <v>70</v>
      </c>
      <c r="GD36">
        <v>1</v>
      </c>
      <c r="GF36">
        <v>-2118630907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40"/>
        <v>0</v>
      </c>
      <c r="GM36">
        <f t="shared" si="41"/>
        <v>1154.8599999999999</v>
      </c>
      <c r="GN36">
        <f t="shared" si="42"/>
        <v>1154.8599999999999</v>
      </c>
      <c r="GO36">
        <f t="shared" si="43"/>
        <v>0</v>
      </c>
      <c r="GP36">
        <f t="shared" si="44"/>
        <v>0</v>
      </c>
      <c r="GR36">
        <v>0</v>
      </c>
      <c r="GS36">
        <v>3</v>
      </c>
      <c r="GT36">
        <v>0</v>
      </c>
      <c r="GV36">
        <f t="shared" si="45"/>
        <v>0</v>
      </c>
      <c r="GW36">
        <v>1</v>
      </c>
      <c r="GX36">
        <f t="shared" si="46"/>
        <v>0</v>
      </c>
      <c r="HA36">
        <v>0</v>
      </c>
      <c r="HB36">
        <v>0</v>
      </c>
      <c r="HC36">
        <f t="shared" si="47"/>
        <v>0</v>
      </c>
      <c r="IK36">
        <v>0</v>
      </c>
    </row>
    <row r="37" spans="1:245" x14ac:dyDescent="0.2">
      <c r="A37">
        <v>17</v>
      </c>
      <c r="B37">
        <v>1</v>
      </c>
      <c r="C37">
        <f>ROW(SmtRes!A52)</f>
        <v>52</v>
      </c>
      <c r="D37">
        <f>ROW(EtalonRes!A52)</f>
        <v>52</v>
      </c>
      <c r="E37" t="s">
        <v>12</v>
      </c>
      <c r="F37" t="s">
        <v>131</v>
      </c>
      <c r="G37" t="s">
        <v>79</v>
      </c>
      <c r="H37" t="s">
        <v>132</v>
      </c>
      <c r="I37">
        <f>ROUND(50.5/100,9)</f>
        <v>0.505</v>
      </c>
      <c r="J37">
        <v>0</v>
      </c>
      <c r="O37">
        <f t="shared" si="14"/>
        <v>13632.6</v>
      </c>
      <c r="P37">
        <f t="shared" si="15"/>
        <v>0</v>
      </c>
      <c r="Q37">
        <f t="shared" si="16"/>
        <v>355.04</v>
      </c>
      <c r="R37">
        <f t="shared" si="17"/>
        <v>217.64</v>
      </c>
      <c r="S37">
        <f t="shared" si="18"/>
        <v>13277.56</v>
      </c>
      <c r="T37">
        <f t="shared" si="19"/>
        <v>0</v>
      </c>
      <c r="U37">
        <f t="shared" si="20"/>
        <v>46.520600000000002</v>
      </c>
      <c r="V37">
        <f t="shared" si="21"/>
        <v>0.64639999999999997</v>
      </c>
      <c r="W37">
        <f t="shared" si="22"/>
        <v>0</v>
      </c>
      <c r="X37">
        <f t="shared" si="23"/>
        <v>14844.72</v>
      </c>
      <c r="Y37">
        <f t="shared" si="24"/>
        <v>9446.64</v>
      </c>
      <c r="AA37">
        <v>939971440</v>
      </c>
      <c r="AB37">
        <f t="shared" si="25"/>
        <v>849.29</v>
      </c>
      <c r="AC37">
        <f t="shared" si="48"/>
        <v>0</v>
      </c>
      <c r="AD37">
        <f t="shared" si="49"/>
        <v>63.51</v>
      </c>
      <c r="AE37">
        <f t="shared" si="50"/>
        <v>12.88</v>
      </c>
      <c r="AF37">
        <f t="shared" si="51"/>
        <v>785.78</v>
      </c>
      <c r="AG37">
        <f t="shared" si="26"/>
        <v>0</v>
      </c>
      <c r="AH37">
        <f t="shared" si="52"/>
        <v>92.12</v>
      </c>
      <c r="AI37">
        <f t="shared" si="53"/>
        <v>1.28</v>
      </c>
      <c r="AJ37">
        <f t="shared" si="27"/>
        <v>0</v>
      </c>
      <c r="AK37">
        <v>849.29</v>
      </c>
      <c r="AL37">
        <v>0</v>
      </c>
      <c r="AM37">
        <v>63.51</v>
      </c>
      <c r="AN37">
        <v>12.88</v>
      </c>
      <c r="AO37">
        <v>785.78</v>
      </c>
      <c r="AP37">
        <v>0</v>
      </c>
      <c r="AQ37">
        <v>92.12</v>
      </c>
      <c r="AR37">
        <v>1.28</v>
      </c>
      <c r="AS37">
        <v>0</v>
      </c>
      <c r="AT37">
        <v>110</v>
      </c>
      <c r="AU37">
        <v>70</v>
      </c>
      <c r="AV37">
        <v>1</v>
      </c>
      <c r="AW37">
        <v>1</v>
      </c>
      <c r="AZ37">
        <v>1</v>
      </c>
      <c r="BA37">
        <v>33.46</v>
      </c>
      <c r="BB37">
        <v>11.07</v>
      </c>
      <c r="BC37">
        <v>1</v>
      </c>
      <c r="BH37">
        <v>0</v>
      </c>
      <c r="BI37">
        <v>1</v>
      </c>
      <c r="BJ37" t="s">
        <v>133</v>
      </c>
      <c r="BM37">
        <v>46001</v>
      </c>
      <c r="BN37">
        <v>0</v>
      </c>
      <c r="BO37" t="s">
        <v>131</v>
      </c>
      <c r="BP37">
        <v>1</v>
      </c>
      <c r="BQ37">
        <v>2</v>
      </c>
      <c r="BR37">
        <v>0</v>
      </c>
      <c r="BS37">
        <v>33.46</v>
      </c>
      <c r="BT37">
        <v>1</v>
      </c>
      <c r="BU37">
        <v>1</v>
      </c>
      <c r="BV37">
        <v>1</v>
      </c>
      <c r="BW37">
        <v>1</v>
      </c>
      <c r="BX37">
        <v>1</v>
      </c>
      <c r="BZ37">
        <v>110</v>
      </c>
      <c r="CA37">
        <v>70</v>
      </c>
      <c r="CE37">
        <v>0</v>
      </c>
      <c r="CF37">
        <v>0</v>
      </c>
      <c r="CG37">
        <v>0</v>
      </c>
      <c r="CM37">
        <v>0</v>
      </c>
      <c r="CO37">
        <v>0</v>
      </c>
      <c r="CP37">
        <f t="shared" si="28"/>
        <v>13632.6</v>
      </c>
      <c r="CQ37">
        <f t="shared" si="29"/>
        <v>0</v>
      </c>
      <c r="CR37">
        <f t="shared" si="30"/>
        <v>703.0557</v>
      </c>
      <c r="CS37">
        <f t="shared" si="31"/>
        <v>430.96480000000003</v>
      </c>
      <c r="CT37">
        <f t="shared" si="32"/>
        <v>26292.198799999998</v>
      </c>
      <c r="CU37">
        <f t="shared" si="33"/>
        <v>0</v>
      </c>
      <c r="CV37">
        <f t="shared" si="34"/>
        <v>92.12</v>
      </c>
      <c r="CW37">
        <f t="shared" si="35"/>
        <v>1.28</v>
      </c>
      <c r="CX37">
        <f t="shared" si="36"/>
        <v>0</v>
      </c>
      <c r="CY37">
        <f t="shared" si="37"/>
        <v>14844.719999999998</v>
      </c>
      <c r="CZ37">
        <f t="shared" si="38"/>
        <v>9446.64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132</v>
      </c>
      <c r="DW37" t="s">
        <v>132</v>
      </c>
      <c r="DX37">
        <v>1</v>
      </c>
      <c r="EE37">
        <v>958392170</v>
      </c>
      <c r="EF37">
        <v>2</v>
      </c>
      <c r="EG37" t="s">
        <v>111</v>
      </c>
      <c r="EH37">
        <v>0</v>
      </c>
      <c r="EJ37">
        <v>1</v>
      </c>
      <c r="EK37">
        <v>46001</v>
      </c>
      <c r="EL37" t="s">
        <v>134</v>
      </c>
      <c r="EM37" t="s">
        <v>135</v>
      </c>
      <c r="EQ37">
        <v>0</v>
      </c>
      <c r="ER37">
        <v>849.29</v>
      </c>
      <c r="ES37">
        <v>0</v>
      </c>
      <c r="ET37">
        <v>63.51</v>
      </c>
      <c r="EU37">
        <v>12.88</v>
      </c>
      <c r="EV37">
        <v>785.78</v>
      </c>
      <c r="EW37">
        <v>92.12</v>
      </c>
      <c r="EX37">
        <v>1.28</v>
      </c>
      <c r="EY37">
        <v>0</v>
      </c>
      <c r="FQ37">
        <v>0</v>
      </c>
      <c r="FR37">
        <f t="shared" si="39"/>
        <v>0</v>
      </c>
      <c r="FS37">
        <v>0</v>
      </c>
      <c r="FX37">
        <v>110</v>
      </c>
      <c r="FY37">
        <v>70</v>
      </c>
      <c r="GD37">
        <v>1</v>
      </c>
      <c r="GF37">
        <v>-2118630907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0"/>
        <v>0</v>
      </c>
      <c r="GM37">
        <f t="shared" si="41"/>
        <v>37923.96</v>
      </c>
      <c r="GN37">
        <f t="shared" si="42"/>
        <v>37923.96</v>
      </c>
      <c r="GO37">
        <f t="shared" si="43"/>
        <v>0</v>
      </c>
      <c r="GP37">
        <f t="shared" si="44"/>
        <v>0</v>
      </c>
      <c r="GR37">
        <v>0</v>
      </c>
      <c r="GS37">
        <v>3</v>
      </c>
      <c r="GT37">
        <v>0</v>
      </c>
      <c r="GV37">
        <f t="shared" si="45"/>
        <v>0</v>
      </c>
      <c r="GW37">
        <v>1</v>
      </c>
      <c r="GX37">
        <f t="shared" si="46"/>
        <v>0</v>
      </c>
      <c r="HA37">
        <v>0</v>
      </c>
      <c r="HB37">
        <v>0</v>
      </c>
      <c r="HC37">
        <f t="shared" si="47"/>
        <v>0</v>
      </c>
      <c r="IK37">
        <v>0</v>
      </c>
    </row>
    <row r="38" spans="1:245" x14ac:dyDescent="0.2">
      <c r="A38">
        <v>17</v>
      </c>
      <c r="B38">
        <v>1</v>
      </c>
      <c r="C38">
        <f>ROW(SmtRes!A59)</f>
        <v>59</v>
      </c>
      <c r="D38">
        <f>ROW(EtalonRes!A58)</f>
        <v>58</v>
      </c>
      <c r="E38" t="s">
        <v>13</v>
      </c>
      <c r="F38" t="s">
        <v>136</v>
      </c>
      <c r="G38" t="s">
        <v>80</v>
      </c>
      <c r="H38" t="s">
        <v>137</v>
      </c>
      <c r="I38">
        <f>ROUND(53.3/100,9)</f>
        <v>0.53300000000000003</v>
      </c>
      <c r="J38">
        <v>0</v>
      </c>
      <c r="O38">
        <f t="shared" si="14"/>
        <v>879.31</v>
      </c>
      <c r="P38">
        <f t="shared" si="15"/>
        <v>656.94</v>
      </c>
      <c r="Q38">
        <f t="shared" si="16"/>
        <v>28.02</v>
      </c>
      <c r="R38">
        <f t="shared" si="17"/>
        <v>11.43</v>
      </c>
      <c r="S38">
        <f t="shared" si="18"/>
        <v>194.35</v>
      </c>
      <c r="T38">
        <f t="shared" si="19"/>
        <v>0</v>
      </c>
      <c r="U38">
        <f t="shared" si="20"/>
        <v>24.916417499999998</v>
      </c>
      <c r="V38">
        <f t="shared" si="21"/>
        <v>0.84613749999999999</v>
      </c>
      <c r="W38">
        <f t="shared" si="22"/>
        <v>0</v>
      </c>
      <c r="X38">
        <f t="shared" si="23"/>
        <v>253.11</v>
      </c>
      <c r="Y38">
        <f t="shared" si="24"/>
        <v>154.34</v>
      </c>
      <c r="AA38">
        <v>939971439</v>
      </c>
      <c r="AB38">
        <f t="shared" si="25"/>
        <v>1649.7329999999999</v>
      </c>
      <c r="AC38">
        <f t="shared" si="48"/>
        <v>1232.54</v>
      </c>
      <c r="AD38">
        <f>ROUND(((((ET38*1.25))-((EU38*1.25)))+AE38),6)</f>
        <v>52.5625</v>
      </c>
      <c r="AE38">
        <f>ROUND(((EU38*1.25)),6)</f>
        <v>21.4375</v>
      </c>
      <c r="AF38">
        <f>ROUND(((EV38*1.15)),6)</f>
        <v>364.63049999999998</v>
      </c>
      <c r="AG38">
        <f t="shared" si="26"/>
        <v>0</v>
      </c>
      <c r="AH38">
        <f>((EW38*1.15))</f>
        <v>46.747499999999995</v>
      </c>
      <c r="AI38">
        <f>((EX38*1.25))</f>
        <v>1.5874999999999999</v>
      </c>
      <c r="AJ38">
        <f t="shared" si="27"/>
        <v>0</v>
      </c>
      <c r="AK38">
        <v>1591.66</v>
      </c>
      <c r="AL38">
        <v>1232.54</v>
      </c>
      <c r="AM38">
        <v>42.05</v>
      </c>
      <c r="AN38">
        <v>17.149999999999999</v>
      </c>
      <c r="AO38">
        <v>317.07</v>
      </c>
      <c r="AP38">
        <v>0</v>
      </c>
      <c r="AQ38">
        <v>40.65</v>
      </c>
      <c r="AR38">
        <v>1.27</v>
      </c>
      <c r="AS38">
        <v>0</v>
      </c>
      <c r="AT38">
        <v>123</v>
      </c>
      <c r="AU38">
        <v>75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H38">
        <v>0</v>
      </c>
      <c r="BI38">
        <v>1</v>
      </c>
      <c r="BJ38" t="s">
        <v>138</v>
      </c>
      <c r="BM38">
        <v>11001</v>
      </c>
      <c r="BN38">
        <v>0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Z38">
        <v>123</v>
      </c>
      <c r="CA38">
        <v>75</v>
      </c>
      <c r="CE38">
        <v>0</v>
      </c>
      <c r="CF38">
        <v>0</v>
      </c>
      <c r="CG38">
        <v>0</v>
      </c>
      <c r="CM38">
        <v>0</v>
      </c>
      <c r="CN38" t="s">
        <v>139</v>
      </c>
      <c r="CO38">
        <v>0</v>
      </c>
      <c r="CP38">
        <f t="shared" si="28"/>
        <v>879.31000000000006</v>
      </c>
      <c r="CQ38">
        <f t="shared" si="29"/>
        <v>1232.54</v>
      </c>
      <c r="CR38">
        <f t="shared" si="30"/>
        <v>52.5625</v>
      </c>
      <c r="CS38">
        <f t="shared" si="31"/>
        <v>21.4375</v>
      </c>
      <c r="CT38">
        <f t="shared" si="32"/>
        <v>364.63049999999998</v>
      </c>
      <c r="CU38">
        <f t="shared" si="33"/>
        <v>0</v>
      </c>
      <c r="CV38">
        <f t="shared" si="34"/>
        <v>46.747499999999995</v>
      </c>
      <c r="CW38">
        <f t="shared" si="35"/>
        <v>1.5874999999999999</v>
      </c>
      <c r="CX38">
        <f t="shared" si="36"/>
        <v>0</v>
      </c>
      <c r="CY38">
        <f t="shared" si="37"/>
        <v>253.10939999999999</v>
      </c>
      <c r="CZ38">
        <f t="shared" si="38"/>
        <v>154.33500000000001</v>
      </c>
      <c r="DE38" t="s">
        <v>140</v>
      </c>
      <c r="DF38" t="s">
        <v>140</v>
      </c>
      <c r="DG38" t="s">
        <v>141</v>
      </c>
      <c r="DI38" t="s">
        <v>141</v>
      </c>
      <c r="DJ38" t="s">
        <v>140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137</v>
      </c>
      <c r="DW38" t="s">
        <v>137</v>
      </c>
      <c r="DX38">
        <v>1</v>
      </c>
      <c r="EE38">
        <v>958392103</v>
      </c>
      <c r="EF38">
        <v>2</v>
      </c>
      <c r="EG38" t="s">
        <v>111</v>
      </c>
      <c r="EH38">
        <v>0</v>
      </c>
      <c r="EJ38">
        <v>1</v>
      </c>
      <c r="EK38">
        <v>11001</v>
      </c>
      <c r="EL38" t="s">
        <v>123</v>
      </c>
      <c r="EM38" t="s">
        <v>142</v>
      </c>
      <c r="EO38" t="s">
        <v>143</v>
      </c>
      <c r="EQ38">
        <v>0</v>
      </c>
      <c r="ER38">
        <v>1591.66</v>
      </c>
      <c r="ES38">
        <v>1232.54</v>
      </c>
      <c r="ET38">
        <v>42.05</v>
      </c>
      <c r="EU38">
        <v>17.149999999999999</v>
      </c>
      <c r="EV38">
        <v>317.07</v>
      </c>
      <c r="EW38">
        <v>40.65</v>
      </c>
      <c r="EX38">
        <v>1.27</v>
      </c>
      <c r="EY38">
        <v>0</v>
      </c>
      <c r="FQ38">
        <v>0</v>
      </c>
      <c r="FR38">
        <f t="shared" si="39"/>
        <v>0</v>
      </c>
      <c r="FS38">
        <v>0</v>
      </c>
      <c r="FX38">
        <v>123</v>
      </c>
      <c r="FY38">
        <v>75</v>
      </c>
      <c r="GD38">
        <v>1</v>
      </c>
      <c r="GF38">
        <v>939451294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40"/>
        <v>0</v>
      </c>
      <c r="GM38">
        <f t="shared" si="41"/>
        <v>1286.76</v>
      </c>
      <c r="GN38">
        <f t="shared" si="42"/>
        <v>1286.76</v>
      </c>
      <c r="GO38">
        <f t="shared" si="43"/>
        <v>0</v>
      </c>
      <c r="GP38">
        <f t="shared" si="44"/>
        <v>0</v>
      </c>
      <c r="GR38">
        <v>0</v>
      </c>
      <c r="GS38">
        <v>3</v>
      </c>
      <c r="GT38">
        <v>0</v>
      </c>
      <c r="GV38">
        <f t="shared" si="45"/>
        <v>0</v>
      </c>
      <c r="GW38">
        <v>1</v>
      </c>
      <c r="GX38">
        <f t="shared" si="46"/>
        <v>0</v>
      </c>
      <c r="HA38">
        <v>0</v>
      </c>
      <c r="HB38">
        <v>0</v>
      </c>
      <c r="HC38">
        <f t="shared" si="47"/>
        <v>0</v>
      </c>
      <c r="IK38">
        <v>0</v>
      </c>
    </row>
    <row r="39" spans="1:245" x14ac:dyDescent="0.2">
      <c r="A39">
        <v>17</v>
      </c>
      <c r="B39">
        <v>1</v>
      </c>
      <c r="C39">
        <f>ROW(SmtRes!A66)</f>
        <v>66</v>
      </c>
      <c r="D39">
        <f>ROW(EtalonRes!A64)</f>
        <v>64</v>
      </c>
      <c r="E39" t="s">
        <v>13</v>
      </c>
      <c r="F39" t="s">
        <v>136</v>
      </c>
      <c r="G39" t="s">
        <v>80</v>
      </c>
      <c r="H39" t="s">
        <v>137</v>
      </c>
      <c r="I39">
        <f>ROUND(53.3/100,9)</f>
        <v>0.53300000000000003</v>
      </c>
      <c r="J39">
        <v>0</v>
      </c>
      <c r="O39">
        <f t="shared" si="14"/>
        <v>11200.64</v>
      </c>
      <c r="P39">
        <f t="shared" si="15"/>
        <v>4289.84</v>
      </c>
      <c r="Q39">
        <f t="shared" si="16"/>
        <v>407.91</v>
      </c>
      <c r="R39">
        <f t="shared" si="17"/>
        <v>382.32</v>
      </c>
      <c r="S39">
        <f t="shared" si="18"/>
        <v>6502.89</v>
      </c>
      <c r="T39">
        <f t="shared" si="19"/>
        <v>0</v>
      </c>
      <c r="U39">
        <f t="shared" si="20"/>
        <v>24.916417499999998</v>
      </c>
      <c r="V39">
        <f t="shared" si="21"/>
        <v>0.84613749999999999</v>
      </c>
      <c r="W39">
        <f t="shared" si="22"/>
        <v>0</v>
      </c>
      <c r="X39">
        <f t="shared" si="23"/>
        <v>8468.81</v>
      </c>
      <c r="Y39">
        <f t="shared" si="24"/>
        <v>5163.91</v>
      </c>
      <c r="AA39">
        <v>939971440</v>
      </c>
      <c r="AB39">
        <f t="shared" si="25"/>
        <v>1649.7329999999999</v>
      </c>
      <c r="AC39">
        <f t="shared" si="48"/>
        <v>1232.54</v>
      </c>
      <c r="AD39">
        <f>ROUND(((((ET39*1.25))-((EU39*1.25)))+AE39),6)</f>
        <v>52.5625</v>
      </c>
      <c r="AE39">
        <f>ROUND(((EU39*1.25)),6)</f>
        <v>21.4375</v>
      </c>
      <c r="AF39">
        <f>ROUND(((EV39*1.15)),6)</f>
        <v>364.63049999999998</v>
      </c>
      <c r="AG39">
        <f t="shared" si="26"/>
        <v>0</v>
      </c>
      <c r="AH39">
        <f>((EW39*1.15))</f>
        <v>46.747499999999995</v>
      </c>
      <c r="AI39">
        <f>((EX39*1.25))</f>
        <v>1.5874999999999999</v>
      </c>
      <c r="AJ39">
        <f t="shared" si="27"/>
        <v>0</v>
      </c>
      <c r="AK39">
        <v>1591.66</v>
      </c>
      <c r="AL39">
        <v>1232.54</v>
      </c>
      <c r="AM39">
        <v>42.05</v>
      </c>
      <c r="AN39">
        <v>17.149999999999999</v>
      </c>
      <c r="AO39">
        <v>317.07</v>
      </c>
      <c r="AP39">
        <v>0</v>
      </c>
      <c r="AQ39">
        <v>40.65</v>
      </c>
      <c r="AR39">
        <v>1.27</v>
      </c>
      <c r="AS39">
        <v>0</v>
      </c>
      <c r="AT39">
        <v>123</v>
      </c>
      <c r="AU39">
        <v>75</v>
      </c>
      <c r="AV39">
        <v>1</v>
      </c>
      <c r="AW39">
        <v>1</v>
      </c>
      <c r="AZ39">
        <v>1</v>
      </c>
      <c r="BA39">
        <v>33.46</v>
      </c>
      <c r="BB39">
        <v>14.56</v>
      </c>
      <c r="BC39">
        <v>6.53</v>
      </c>
      <c r="BH39">
        <v>0</v>
      </c>
      <c r="BI39">
        <v>1</v>
      </c>
      <c r="BJ39" t="s">
        <v>138</v>
      </c>
      <c r="BM39">
        <v>11001</v>
      </c>
      <c r="BN39">
        <v>0</v>
      </c>
      <c r="BO39" t="s">
        <v>136</v>
      </c>
      <c r="BP39">
        <v>1</v>
      </c>
      <c r="BQ39">
        <v>2</v>
      </c>
      <c r="BR39">
        <v>0</v>
      </c>
      <c r="BS39">
        <v>33.46</v>
      </c>
      <c r="BT39">
        <v>1</v>
      </c>
      <c r="BU39">
        <v>1</v>
      </c>
      <c r="BV39">
        <v>1</v>
      </c>
      <c r="BW39">
        <v>1</v>
      </c>
      <c r="BX39">
        <v>1</v>
      </c>
      <c r="BZ39">
        <v>123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139</v>
      </c>
      <c r="CO39">
        <v>0</v>
      </c>
      <c r="CP39">
        <f t="shared" si="28"/>
        <v>11200.64</v>
      </c>
      <c r="CQ39">
        <f t="shared" si="29"/>
        <v>8048.4862000000003</v>
      </c>
      <c r="CR39">
        <f t="shared" si="30"/>
        <v>765.31000000000006</v>
      </c>
      <c r="CS39">
        <f t="shared" si="31"/>
        <v>717.29875000000004</v>
      </c>
      <c r="CT39">
        <f t="shared" si="32"/>
        <v>12200.536529999999</v>
      </c>
      <c r="CU39">
        <f t="shared" si="33"/>
        <v>0</v>
      </c>
      <c r="CV39">
        <f t="shared" si="34"/>
        <v>46.747499999999995</v>
      </c>
      <c r="CW39">
        <f t="shared" si="35"/>
        <v>1.5874999999999999</v>
      </c>
      <c r="CX39">
        <f t="shared" si="36"/>
        <v>0</v>
      </c>
      <c r="CY39">
        <f t="shared" si="37"/>
        <v>8468.8082999999988</v>
      </c>
      <c r="CZ39">
        <f t="shared" si="38"/>
        <v>5163.9075000000003</v>
      </c>
      <c r="DE39" t="s">
        <v>140</v>
      </c>
      <c r="DF39" t="s">
        <v>140</v>
      </c>
      <c r="DG39" t="s">
        <v>141</v>
      </c>
      <c r="DI39" t="s">
        <v>141</v>
      </c>
      <c r="DJ39" t="s">
        <v>140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137</v>
      </c>
      <c r="DW39" t="s">
        <v>137</v>
      </c>
      <c r="DX39">
        <v>1</v>
      </c>
      <c r="EE39">
        <v>958392103</v>
      </c>
      <c r="EF39">
        <v>2</v>
      </c>
      <c r="EG39" t="s">
        <v>111</v>
      </c>
      <c r="EH39">
        <v>0</v>
      </c>
      <c r="EJ39">
        <v>1</v>
      </c>
      <c r="EK39">
        <v>11001</v>
      </c>
      <c r="EL39" t="s">
        <v>123</v>
      </c>
      <c r="EM39" t="s">
        <v>142</v>
      </c>
      <c r="EO39" t="s">
        <v>143</v>
      </c>
      <c r="EQ39">
        <v>0</v>
      </c>
      <c r="ER39">
        <v>1591.66</v>
      </c>
      <c r="ES39">
        <v>1232.54</v>
      </c>
      <c r="ET39">
        <v>42.05</v>
      </c>
      <c r="EU39">
        <v>17.149999999999999</v>
      </c>
      <c r="EV39">
        <v>317.07</v>
      </c>
      <c r="EW39">
        <v>40.65</v>
      </c>
      <c r="EX39">
        <v>1.27</v>
      </c>
      <c r="EY39">
        <v>0</v>
      </c>
      <c r="FQ39">
        <v>0</v>
      </c>
      <c r="FR39">
        <f t="shared" si="39"/>
        <v>0</v>
      </c>
      <c r="FS39">
        <v>0</v>
      </c>
      <c r="FX39">
        <v>123</v>
      </c>
      <c r="FY39">
        <v>75</v>
      </c>
      <c r="GD39">
        <v>1</v>
      </c>
      <c r="GF39">
        <v>939451294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40"/>
        <v>0</v>
      </c>
      <c r="GM39">
        <f t="shared" si="41"/>
        <v>24833.360000000001</v>
      </c>
      <c r="GN39">
        <f t="shared" si="42"/>
        <v>24833.360000000001</v>
      </c>
      <c r="GO39">
        <f t="shared" si="43"/>
        <v>0</v>
      </c>
      <c r="GP39">
        <f t="shared" si="44"/>
        <v>0</v>
      </c>
      <c r="GR39">
        <v>0</v>
      </c>
      <c r="GS39">
        <v>3</v>
      </c>
      <c r="GT39">
        <v>0</v>
      </c>
      <c r="GV39">
        <f t="shared" si="45"/>
        <v>0</v>
      </c>
      <c r="GW39">
        <v>1</v>
      </c>
      <c r="GX39">
        <f t="shared" si="46"/>
        <v>0</v>
      </c>
      <c r="HA39">
        <v>0</v>
      </c>
      <c r="HB39">
        <v>0</v>
      </c>
      <c r="HC39">
        <f t="shared" si="47"/>
        <v>0</v>
      </c>
      <c r="IK39">
        <v>0</v>
      </c>
    </row>
    <row r="40" spans="1:245" x14ac:dyDescent="0.2">
      <c r="A40">
        <v>18</v>
      </c>
      <c r="B40">
        <v>1</v>
      </c>
      <c r="C40">
        <v>57</v>
      </c>
      <c r="E40" t="s">
        <v>144</v>
      </c>
      <c r="F40" t="s">
        <v>145</v>
      </c>
      <c r="G40" t="s">
        <v>82</v>
      </c>
      <c r="H40" t="s">
        <v>20</v>
      </c>
      <c r="I40">
        <f>I38*J40</f>
        <v>-1.0873200000000001</v>
      </c>
      <c r="J40">
        <v>-2.04</v>
      </c>
      <c r="O40">
        <f t="shared" si="14"/>
        <v>-652.39</v>
      </c>
      <c r="P40">
        <f t="shared" si="15"/>
        <v>-652.39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0</v>
      </c>
      <c r="X40">
        <f t="shared" si="23"/>
        <v>0</v>
      </c>
      <c r="Y40">
        <f t="shared" si="24"/>
        <v>0</v>
      </c>
      <c r="AA40">
        <v>939971439</v>
      </c>
      <c r="AB40">
        <f t="shared" si="25"/>
        <v>600</v>
      </c>
      <c r="AC40">
        <f t="shared" si="48"/>
        <v>600</v>
      </c>
      <c r="AD40">
        <f>ROUND((((ET40)-(EU40))+AE40),6)</f>
        <v>0</v>
      </c>
      <c r="AE40">
        <f t="shared" ref="AE40:AF43" si="54">ROUND((EU40),6)</f>
        <v>0</v>
      </c>
      <c r="AF40">
        <f t="shared" si="54"/>
        <v>0</v>
      </c>
      <c r="AG40">
        <f t="shared" si="26"/>
        <v>0</v>
      </c>
      <c r="AH40">
        <f t="shared" ref="AH40:AI43" si="55">(EW40)</f>
        <v>0</v>
      </c>
      <c r="AI40">
        <f t="shared" si="55"/>
        <v>0</v>
      </c>
      <c r="AJ40">
        <f t="shared" si="27"/>
        <v>0</v>
      </c>
      <c r="AK40">
        <v>600</v>
      </c>
      <c r="AL40">
        <v>600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123</v>
      </c>
      <c r="AU40">
        <v>75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H40">
        <v>3</v>
      </c>
      <c r="BI40">
        <v>1</v>
      </c>
      <c r="BJ40" t="s">
        <v>146</v>
      </c>
      <c r="BM40">
        <v>11001</v>
      </c>
      <c r="BN40">
        <v>0</v>
      </c>
      <c r="BP40">
        <v>0</v>
      </c>
      <c r="BQ40">
        <v>2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Z40">
        <v>123</v>
      </c>
      <c r="CA40">
        <v>75</v>
      </c>
      <c r="CE40">
        <v>0</v>
      </c>
      <c r="CF40">
        <v>0</v>
      </c>
      <c r="CG40">
        <v>0</v>
      </c>
      <c r="CM40">
        <v>0</v>
      </c>
      <c r="CO40">
        <v>0</v>
      </c>
      <c r="CP40">
        <f t="shared" si="28"/>
        <v>-652.39</v>
      </c>
      <c r="CQ40">
        <f t="shared" si="29"/>
        <v>600</v>
      </c>
      <c r="CR40">
        <f t="shared" si="30"/>
        <v>0</v>
      </c>
      <c r="CS40">
        <f t="shared" si="31"/>
        <v>0</v>
      </c>
      <c r="CT40">
        <f t="shared" si="32"/>
        <v>0</v>
      </c>
      <c r="CU40">
        <f t="shared" si="33"/>
        <v>0</v>
      </c>
      <c r="CV40">
        <f t="shared" si="34"/>
        <v>0</v>
      </c>
      <c r="CW40">
        <f t="shared" si="35"/>
        <v>0</v>
      </c>
      <c r="CX40">
        <f t="shared" si="36"/>
        <v>0</v>
      </c>
      <c r="CY40">
        <f t="shared" si="37"/>
        <v>0</v>
      </c>
      <c r="CZ40">
        <f t="shared" si="38"/>
        <v>0</v>
      </c>
      <c r="DN40">
        <v>0</v>
      </c>
      <c r="DO40">
        <v>0</v>
      </c>
      <c r="DP40">
        <v>1</v>
      </c>
      <c r="DQ40">
        <v>1</v>
      </c>
      <c r="DU40">
        <v>1007</v>
      </c>
      <c r="DV40" t="s">
        <v>20</v>
      </c>
      <c r="DW40" t="s">
        <v>20</v>
      </c>
      <c r="DX40">
        <v>1</v>
      </c>
      <c r="EE40">
        <v>958392103</v>
      </c>
      <c r="EF40">
        <v>2</v>
      </c>
      <c r="EG40" t="s">
        <v>111</v>
      </c>
      <c r="EH40">
        <v>0</v>
      </c>
      <c r="EJ40">
        <v>1</v>
      </c>
      <c r="EK40">
        <v>11001</v>
      </c>
      <c r="EL40" t="s">
        <v>123</v>
      </c>
      <c r="EM40" t="s">
        <v>142</v>
      </c>
      <c r="EQ40">
        <v>0</v>
      </c>
      <c r="ER40">
        <v>600</v>
      </c>
      <c r="ES40">
        <v>600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f t="shared" si="39"/>
        <v>0</v>
      </c>
      <c r="FS40">
        <v>0</v>
      </c>
      <c r="FX40">
        <v>123</v>
      </c>
      <c r="FY40">
        <v>75</v>
      </c>
      <c r="GD40">
        <v>1</v>
      </c>
      <c r="GF40">
        <v>-767198478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40"/>
        <v>0</v>
      </c>
      <c r="GM40">
        <f t="shared" si="41"/>
        <v>-652.39</v>
      </c>
      <c r="GN40">
        <f t="shared" si="42"/>
        <v>-652.39</v>
      </c>
      <c r="GO40">
        <f t="shared" si="43"/>
        <v>0</v>
      </c>
      <c r="GP40">
        <f t="shared" si="44"/>
        <v>0</v>
      </c>
      <c r="GR40">
        <v>0</v>
      </c>
      <c r="GS40">
        <v>3</v>
      </c>
      <c r="GT40">
        <v>0</v>
      </c>
      <c r="GV40">
        <f t="shared" si="45"/>
        <v>0</v>
      </c>
      <c r="GW40">
        <v>1</v>
      </c>
      <c r="GX40">
        <f t="shared" si="46"/>
        <v>0</v>
      </c>
      <c r="HA40">
        <v>0</v>
      </c>
      <c r="HB40">
        <v>0</v>
      </c>
      <c r="HC40">
        <f t="shared" si="47"/>
        <v>0</v>
      </c>
      <c r="IK40">
        <v>0</v>
      </c>
    </row>
    <row r="41" spans="1:245" x14ac:dyDescent="0.2">
      <c r="A41">
        <v>18</v>
      </c>
      <c r="B41">
        <v>1</v>
      </c>
      <c r="C41">
        <v>64</v>
      </c>
      <c r="E41" t="s">
        <v>144</v>
      </c>
      <c r="F41" t="s">
        <v>145</v>
      </c>
      <c r="G41" t="s">
        <v>82</v>
      </c>
      <c r="H41" t="s">
        <v>20</v>
      </c>
      <c r="I41">
        <f>I39*J41</f>
        <v>-1.0873200000000001</v>
      </c>
      <c r="J41">
        <v>-2.04</v>
      </c>
      <c r="O41">
        <f t="shared" si="14"/>
        <v>-4247.07</v>
      </c>
      <c r="P41">
        <f t="shared" si="15"/>
        <v>-4247.07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939971440</v>
      </c>
      <c r="AB41">
        <f t="shared" si="25"/>
        <v>600</v>
      </c>
      <c r="AC41">
        <f t="shared" si="48"/>
        <v>600</v>
      </c>
      <c r="AD41">
        <f>ROUND((((ET41)-(EU41))+AE41),6)</f>
        <v>0</v>
      </c>
      <c r="AE41">
        <f t="shared" si="54"/>
        <v>0</v>
      </c>
      <c r="AF41">
        <f t="shared" si="54"/>
        <v>0</v>
      </c>
      <c r="AG41">
        <f t="shared" si="26"/>
        <v>0</v>
      </c>
      <c r="AH41">
        <f t="shared" si="55"/>
        <v>0</v>
      </c>
      <c r="AI41">
        <f t="shared" si="55"/>
        <v>0</v>
      </c>
      <c r="AJ41">
        <f t="shared" si="27"/>
        <v>0</v>
      </c>
      <c r="AK41">
        <v>600</v>
      </c>
      <c r="AL41">
        <v>600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123</v>
      </c>
      <c r="AU41">
        <v>75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6.51</v>
      </c>
      <c r="BH41">
        <v>3</v>
      </c>
      <c r="BI41">
        <v>1</v>
      </c>
      <c r="BJ41" t="s">
        <v>146</v>
      </c>
      <c r="BM41">
        <v>11001</v>
      </c>
      <c r="BN41">
        <v>0</v>
      </c>
      <c r="BO41" t="s">
        <v>145</v>
      </c>
      <c r="BP41">
        <v>1</v>
      </c>
      <c r="BQ41">
        <v>2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Z41">
        <v>123</v>
      </c>
      <c r="CA41">
        <v>75</v>
      </c>
      <c r="CE41">
        <v>0</v>
      </c>
      <c r="CF41">
        <v>0</v>
      </c>
      <c r="CG41">
        <v>0</v>
      </c>
      <c r="CM41">
        <v>0</v>
      </c>
      <c r="CO41">
        <v>0</v>
      </c>
      <c r="CP41">
        <f t="shared" si="28"/>
        <v>-4247.07</v>
      </c>
      <c r="CQ41">
        <f t="shared" si="29"/>
        <v>3906</v>
      </c>
      <c r="CR41">
        <f t="shared" si="30"/>
        <v>0</v>
      </c>
      <c r="CS41">
        <f t="shared" si="31"/>
        <v>0</v>
      </c>
      <c r="CT41">
        <f t="shared" si="32"/>
        <v>0</v>
      </c>
      <c r="CU41">
        <f t="shared" si="33"/>
        <v>0</v>
      </c>
      <c r="CV41">
        <f t="shared" si="34"/>
        <v>0</v>
      </c>
      <c r="CW41">
        <f t="shared" si="35"/>
        <v>0</v>
      </c>
      <c r="CX41">
        <f t="shared" si="36"/>
        <v>0</v>
      </c>
      <c r="CY41">
        <f t="shared" si="37"/>
        <v>0</v>
      </c>
      <c r="CZ41">
        <f t="shared" si="38"/>
        <v>0</v>
      </c>
      <c r="DN41">
        <v>0</v>
      </c>
      <c r="DO41">
        <v>0</v>
      </c>
      <c r="DP41">
        <v>1</v>
      </c>
      <c r="DQ41">
        <v>1</v>
      </c>
      <c r="DU41">
        <v>1007</v>
      </c>
      <c r="DV41" t="s">
        <v>20</v>
      </c>
      <c r="DW41" t="s">
        <v>20</v>
      </c>
      <c r="DX41">
        <v>1</v>
      </c>
      <c r="EE41">
        <v>958392103</v>
      </c>
      <c r="EF41">
        <v>2</v>
      </c>
      <c r="EG41" t="s">
        <v>111</v>
      </c>
      <c r="EH41">
        <v>0</v>
      </c>
      <c r="EJ41">
        <v>1</v>
      </c>
      <c r="EK41">
        <v>11001</v>
      </c>
      <c r="EL41" t="s">
        <v>123</v>
      </c>
      <c r="EM41" t="s">
        <v>142</v>
      </c>
      <c r="EQ41">
        <v>0</v>
      </c>
      <c r="ER41">
        <v>600</v>
      </c>
      <c r="ES41">
        <v>600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39"/>
        <v>0</v>
      </c>
      <c r="FS41">
        <v>0</v>
      </c>
      <c r="FX41">
        <v>123</v>
      </c>
      <c r="FY41">
        <v>75</v>
      </c>
      <c r="GD41">
        <v>1</v>
      </c>
      <c r="GF41">
        <v>-767198478</v>
      </c>
      <c r="GG41">
        <v>2</v>
      </c>
      <c r="GH41">
        <v>1</v>
      </c>
      <c r="GI41">
        <v>2</v>
      </c>
      <c r="GJ41">
        <v>0</v>
      </c>
      <c r="GK41">
        <v>0</v>
      </c>
      <c r="GL41">
        <f t="shared" si="40"/>
        <v>0</v>
      </c>
      <c r="GM41">
        <f t="shared" si="41"/>
        <v>-4247.07</v>
      </c>
      <c r="GN41">
        <f t="shared" si="42"/>
        <v>-4247.07</v>
      </c>
      <c r="GO41">
        <f t="shared" si="43"/>
        <v>0</v>
      </c>
      <c r="GP41">
        <f t="shared" si="44"/>
        <v>0</v>
      </c>
      <c r="GR41">
        <v>0</v>
      </c>
      <c r="GS41">
        <v>3</v>
      </c>
      <c r="GT41">
        <v>0</v>
      </c>
      <c r="GV41">
        <f t="shared" si="45"/>
        <v>0</v>
      </c>
      <c r="GW41">
        <v>1</v>
      </c>
      <c r="GX41">
        <f t="shared" si="46"/>
        <v>0</v>
      </c>
      <c r="HA41">
        <v>0</v>
      </c>
      <c r="HB41">
        <v>0</v>
      </c>
      <c r="HC41">
        <f t="shared" si="47"/>
        <v>0</v>
      </c>
      <c r="IK41">
        <v>0</v>
      </c>
    </row>
    <row r="42" spans="1:245" x14ac:dyDescent="0.2">
      <c r="A42">
        <v>18</v>
      </c>
      <c r="B42">
        <v>1</v>
      </c>
      <c r="C42">
        <v>58</v>
      </c>
      <c r="E42" t="s">
        <v>147</v>
      </c>
      <c r="F42" t="s">
        <v>29</v>
      </c>
      <c r="G42" t="s">
        <v>30</v>
      </c>
      <c r="H42" t="s">
        <v>20</v>
      </c>
      <c r="I42">
        <f>I38*J42</f>
        <v>1.0873200000000001</v>
      </c>
      <c r="J42">
        <v>2.04</v>
      </c>
      <c r="O42">
        <f t="shared" si="14"/>
        <v>927.86</v>
      </c>
      <c r="P42">
        <f t="shared" si="15"/>
        <v>927.86</v>
      </c>
      <c r="Q42">
        <f t="shared" si="16"/>
        <v>0</v>
      </c>
      <c r="R42">
        <f t="shared" si="17"/>
        <v>0</v>
      </c>
      <c r="S42">
        <f t="shared" si="18"/>
        <v>0</v>
      </c>
      <c r="T42">
        <f t="shared" si="19"/>
        <v>0</v>
      </c>
      <c r="U42">
        <f t="shared" si="20"/>
        <v>0</v>
      </c>
      <c r="V42">
        <f t="shared" si="21"/>
        <v>0</v>
      </c>
      <c r="W42">
        <f t="shared" si="22"/>
        <v>71.45</v>
      </c>
      <c r="X42">
        <f t="shared" si="23"/>
        <v>0</v>
      </c>
      <c r="Y42">
        <f t="shared" si="24"/>
        <v>0</v>
      </c>
      <c r="AA42">
        <v>939971439</v>
      </c>
      <c r="AB42">
        <f t="shared" si="25"/>
        <v>853.35</v>
      </c>
      <c r="AC42">
        <f t="shared" si="48"/>
        <v>853.35</v>
      </c>
      <c r="AD42">
        <f>ROUND((((ET42)-(EU42))+AE42),6)</f>
        <v>0</v>
      </c>
      <c r="AE42">
        <f t="shared" si="54"/>
        <v>0</v>
      </c>
      <c r="AF42">
        <f t="shared" si="54"/>
        <v>0</v>
      </c>
      <c r="AG42">
        <f t="shared" si="26"/>
        <v>0</v>
      </c>
      <c r="AH42">
        <f t="shared" si="55"/>
        <v>0</v>
      </c>
      <c r="AI42">
        <f t="shared" si="55"/>
        <v>0</v>
      </c>
      <c r="AJ42">
        <f t="shared" si="27"/>
        <v>65.709999999999994</v>
      </c>
      <c r="AK42">
        <v>853.35</v>
      </c>
      <c r="AL42">
        <v>853.35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65.709999999999994</v>
      </c>
      <c r="AT42">
        <v>123</v>
      </c>
      <c r="AU42">
        <v>75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H42">
        <v>3</v>
      </c>
      <c r="BI42">
        <v>1</v>
      </c>
      <c r="BJ42" t="s">
        <v>148</v>
      </c>
      <c r="BM42">
        <v>11001</v>
      </c>
      <c r="BN42">
        <v>0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Z42">
        <v>123</v>
      </c>
      <c r="CA42">
        <v>75</v>
      </c>
      <c r="CE42">
        <v>0</v>
      </c>
      <c r="CF42">
        <v>0</v>
      </c>
      <c r="CG42">
        <v>0</v>
      </c>
      <c r="CM42">
        <v>0</v>
      </c>
      <c r="CO42">
        <v>0</v>
      </c>
      <c r="CP42">
        <f t="shared" si="28"/>
        <v>927.86</v>
      </c>
      <c r="CQ42">
        <f t="shared" si="29"/>
        <v>853.35</v>
      </c>
      <c r="CR42">
        <f t="shared" si="30"/>
        <v>0</v>
      </c>
      <c r="CS42">
        <f t="shared" si="31"/>
        <v>0</v>
      </c>
      <c r="CT42">
        <f t="shared" si="32"/>
        <v>0</v>
      </c>
      <c r="CU42">
        <f t="shared" si="33"/>
        <v>0</v>
      </c>
      <c r="CV42">
        <f t="shared" si="34"/>
        <v>0</v>
      </c>
      <c r="CW42">
        <f t="shared" si="35"/>
        <v>0</v>
      </c>
      <c r="CX42">
        <f t="shared" si="36"/>
        <v>65.709999999999994</v>
      </c>
      <c r="CY42">
        <f t="shared" si="37"/>
        <v>0</v>
      </c>
      <c r="CZ42">
        <f t="shared" si="38"/>
        <v>0</v>
      </c>
      <c r="DN42">
        <v>0</v>
      </c>
      <c r="DO42">
        <v>0</v>
      </c>
      <c r="DP42">
        <v>1</v>
      </c>
      <c r="DQ42">
        <v>1</v>
      </c>
      <c r="DU42">
        <v>1007</v>
      </c>
      <c r="DV42" t="s">
        <v>20</v>
      </c>
      <c r="DW42" t="s">
        <v>20</v>
      </c>
      <c r="DX42">
        <v>1</v>
      </c>
      <c r="EE42">
        <v>958392103</v>
      </c>
      <c r="EF42">
        <v>2</v>
      </c>
      <c r="EG42" t="s">
        <v>111</v>
      </c>
      <c r="EH42">
        <v>0</v>
      </c>
      <c r="EJ42">
        <v>1</v>
      </c>
      <c r="EK42">
        <v>11001</v>
      </c>
      <c r="EL42" t="s">
        <v>123</v>
      </c>
      <c r="EM42" t="s">
        <v>142</v>
      </c>
      <c r="EQ42">
        <v>0</v>
      </c>
      <c r="ER42">
        <v>853.35</v>
      </c>
      <c r="ES42">
        <v>853.35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f t="shared" si="39"/>
        <v>0</v>
      </c>
      <c r="FS42">
        <v>0</v>
      </c>
      <c r="FX42">
        <v>123</v>
      </c>
      <c r="FY42">
        <v>75</v>
      </c>
      <c r="GD42">
        <v>1</v>
      </c>
      <c r="GF42">
        <v>-1842439743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40"/>
        <v>0</v>
      </c>
      <c r="GM42">
        <f t="shared" si="41"/>
        <v>927.86</v>
      </c>
      <c r="GN42">
        <f t="shared" si="42"/>
        <v>927.86</v>
      </c>
      <c r="GO42">
        <f t="shared" si="43"/>
        <v>0</v>
      </c>
      <c r="GP42">
        <f t="shared" si="44"/>
        <v>0</v>
      </c>
      <c r="GR42">
        <v>0</v>
      </c>
      <c r="GS42">
        <v>3</v>
      </c>
      <c r="GT42">
        <v>0</v>
      </c>
      <c r="GV42">
        <f t="shared" si="45"/>
        <v>0</v>
      </c>
      <c r="GW42">
        <v>1</v>
      </c>
      <c r="GX42">
        <f t="shared" si="46"/>
        <v>0</v>
      </c>
      <c r="HA42">
        <v>0</v>
      </c>
      <c r="HB42">
        <v>0</v>
      </c>
      <c r="HC42">
        <f t="shared" si="47"/>
        <v>0</v>
      </c>
      <c r="IK42">
        <v>0</v>
      </c>
    </row>
    <row r="43" spans="1:245" x14ac:dyDescent="0.2">
      <c r="A43">
        <v>18</v>
      </c>
      <c r="B43">
        <v>1</v>
      </c>
      <c r="C43">
        <v>65</v>
      </c>
      <c r="E43" t="s">
        <v>147</v>
      </c>
      <c r="F43" t="s">
        <v>29</v>
      </c>
      <c r="G43" t="s">
        <v>30</v>
      </c>
      <c r="H43" t="s">
        <v>20</v>
      </c>
      <c r="I43">
        <f>I39*J43</f>
        <v>1.0873200000000001</v>
      </c>
      <c r="J43">
        <v>2.04</v>
      </c>
      <c r="O43">
        <f t="shared" si="14"/>
        <v>6040.4</v>
      </c>
      <c r="P43">
        <f t="shared" si="15"/>
        <v>6040.4</v>
      </c>
      <c r="Q43">
        <f t="shared" si="16"/>
        <v>0</v>
      </c>
      <c r="R43">
        <f t="shared" si="17"/>
        <v>0</v>
      </c>
      <c r="S43">
        <f t="shared" si="18"/>
        <v>0</v>
      </c>
      <c r="T43">
        <f t="shared" si="19"/>
        <v>0</v>
      </c>
      <c r="U43">
        <f t="shared" si="20"/>
        <v>0</v>
      </c>
      <c r="V43">
        <f t="shared" si="21"/>
        <v>0</v>
      </c>
      <c r="W43">
        <f t="shared" si="22"/>
        <v>71.45</v>
      </c>
      <c r="X43">
        <f t="shared" si="23"/>
        <v>0</v>
      </c>
      <c r="Y43">
        <f t="shared" si="24"/>
        <v>0</v>
      </c>
      <c r="AA43">
        <v>939971440</v>
      </c>
      <c r="AB43">
        <f t="shared" si="25"/>
        <v>853.35</v>
      </c>
      <c r="AC43">
        <f t="shared" si="48"/>
        <v>853.35</v>
      </c>
      <c r="AD43">
        <f>ROUND((((ET43)-(EU43))+AE43),6)</f>
        <v>0</v>
      </c>
      <c r="AE43">
        <f t="shared" si="54"/>
        <v>0</v>
      </c>
      <c r="AF43">
        <f t="shared" si="54"/>
        <v>0</v>
      </c>
      <c r="AG43">
        <f t="shared" si="26"/>
        <v>0</v>
      </c>
      <c r="AH43">
        <f t="shared" si="55"/>
        <v>0</v>
      </c>
      <c r="AI43">
        <f t="shared" si="55"/>
        <v>0</v>
      </c>
      <c r="AJ43">
        <f t="shared" si="27"/>
        <v>65.709999999999994</v>
      </c>
      <c r="AK43">
        <v>853.35</v>
      </c>
      <c r="AL43">
        <v>853.35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65.709999999999994</v>
      </c>
      <c r="AT43">
        <v>123</v>
      </c>
      <c r="AU43">
        <v>75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6.51</v>
      </c>
      <c r="BH43">
        <v>3</v>
      </c>
      <c r="BI43">
        <v>1</v>
      </c>
      <c r="BJ43" t="s">
        <v>148</v>
      </c>
      <c r="BM43">
        <v>11001</v>
      </c>
      <c r="BN43">
        <v>0</v>
      </c>
      <c r="BO43" t="s">
        <v>29</v>
      </c>
      <c r="BP43">
        <v>1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Z43">
        <v>123</v>
      </c>
      <c r="CA43">
        <v>75</v>
      </c>
      <c r="CE43">
        <v>0</v>
      </c>
      <c r="CF43">
        <v>0</v>
      </c>
      <c r="CG43">
        <v>0</v>
      </c>
      <c r="CM43">
        <v>0</v>
      </c>
      <c r="CO43">
        <v>0</v>
      </c>
      <c r="CP43">
        <f t="shared" si="28"/>
        <v>6040.4</v>
      </c>
      <c r="CQ43">
        <f t="shared" si="29"/>
        <v>5555.3085000000001</v>
      </c>
      <c r="CR43">
        <f t="shared" si="30"/>
        <v>0</v>
      </c>
      <c r="CS43">
        <f t="shared" si="31"/>
        <v>0</v>
      </c>
      <c r="CT43">
        <f t="shared" si="32"/>
        <v>0</v>
      </c>
      <c r="CU43">
        <f t="shared" si="33"/>
        <v>0</v>
      </c>
      <c r="CV43">
        <f t="shared" si="34"/>
        <v>0</v>
      </c>
      <c r="CW43">
        <f t="shared" si="35"/>
        <v>0</v>
      </c>
      <c r="CX43">
        <f t="shared" si="36"/>
        <v>65.709999999999994</v>
      </c>
      <c r="CY43">
        <f t="shared" si="37"/>
        <v>0</v>
      </c>
      <c r="CZ43">
        <f t="shared" si="38"/>
        <v>0</v>
      </c>
      <c r="DN43">
        <v>0</v>
      </c>
      <c r="DO43">
        <v>0</v>
      </c>
      <c r="DP43">
        <v>1</v>
      </c>
      <c r="DQ43">
        <v>1</v>
      </c>
      <c r="DU43">
        <v>1007</v>
      </c>
      <c r="DV43" t="s">
        <v>20</v>
      </c>
      <c r="DW43" t="s">
        <v>20</v>
      </c>
      <c r="DX43">
        <v>1</v>
      </c>
      <c r="EE43">
        <v>958392103</v>
      </c>
      <c r="EF43">
        <v>2</v>
      </c>
      <c r="EG43" t="s">
        <v>111</v>
      </c>
      <c r="EH43">
        <v>0</v>
      </c>
      <c r="EJ43">
        <v>1</v>
      </c>
      <c r="EK43">
        <v>11001</v>
      </c>
      <c r="EL43" t="s">
        <v>123</v>
      </c>
      <c r="EM43" t="s">
        <v>142</v>
      </c>
      <c r="EQ43">
        <v>0</v>
      </c>
      <c r="ER43">
        <v>853.35</v>
      </c>
      <c r="ES43">
        <v>853.35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39"/>
        <v>0</v>
      </c>
      <c r="FS43">
        <v>0</v>
      </c>
      <c r="FX43">
        <v>123</v>
      </c>
      <c r="FY43">
        <v>75</v>
      </c>
      <c r="GD43">
        <v>1</v>
      </c>
      <c r="GF43">
        <v>-1842439743</v>
      </c>
      <c r="GG43">
        <v>2</v>
      </c>
      <c r="GH43">
        <v>1</v>
      </c>
      <c r="GI43">
        <v>3</v>
      </c>
      <c r="GJ43">
        <v>0</v>
      </c>
      <c r="GK43">
        <v>0</v>
      </c>
      <c r="GL43">
        <f t="shared" si="40"/>
        <v>0</v>
      </c>
      <c r="GM43">
        <f t="shared" si="41"/>
        <v>6040.4</v>
      </c>
      <c r="GN43">
        <f t="shared" si="42"/>
        <v>6040.4</v>
      </c>
      <c r="GO43">
        <f t="shared" si="43"/>
        <v>0</v>
      </c>
      <c r="GP43">
        <f t="shared" si="44"/>
        <v>0</v>
      </c>
      <c r="GR43">
        <v>0</v>
      </c>
      <c r="GS43">
        <v>3</v>
      </c>
      <c r="GT43">
        <v>0</v>
      </c>
      <c r="GV43">
        <f t="shared" si="45"/>
        <v>0</v>
      </c>
      <c r="GW43">
        <v>1</v>
      </c>
      <c r="GX43">
        <f t="shared" si="46"/>
        <v>0</v>
      </c>
      <c r="HA43">
        <v>0</v>
      </c>
      <c r="HB43">
        <v>0</v>
      </c>
      <c r="HC43">
        <f t="shared" si="47"/>
        <v>0</v>
      </c>
      <c r="IK43">
        <v>0</v>
      </c>
    </row>
    <row r="44" spans="1:245" x14ac:dyDescent="0.2">
      <c r="A44">
        <v>17</v>
      </c>
      <c r="B44">
        <v>1</v>
      </c>
      <c r="C44">
        <f>ROW(SmtRes!A73)</f>
        <v>73</v>
      </c>
      <c r="D44">
        <f>ROW(EtalonRes!A72)</f>
        <v>72</v>
      </c>
      <c r="E44" t="s">
        <v>149</v>
      </c>
      <c r="F44" t="s">
        <v>150</v>
      </c>
      <c r="G44" t="s">
        <v>83</v>
      </c>
      <c r="H44" t="s">
        <v>151</v>
      </c>
      <c r="I44">
        <f>ROUND(53.3/100,9)</f>
        <v>0.53300000000000003</v>
      </c>
      <c r="J44">
        <v>0</v>
      </c>
      <c r="O44">
        <f t="shared" si="14"/>
        <v>149.30000000000001</v>
      </c>
      <c r="P44">
        <f t="shared" si="15"/>
        <v>113.22</v>
      </c>
      <c r="Q44">
        <f t="shared" si="16"/>
        <v>15.32</v>
      </c>
      <c r="R44">
        <f t="shared" si="17"/>
        <v>0.08</v>
      </c>
      <c r="S44">
        <f t="shared" si="18"/>
        <v>20.76</v>
      </c>
      <c r="T44">
        <f t="shared" si="19"/>
        <v>0</v>
      </c>
      <c r="U44">
        <f t="shared" si="20"/>
        <v>2.2617855000000002</v>
      </c>
      <c r="V44">
        <f t="shared" si="21"/>
        <v>6.6625000000000009E-3</v>
      </c>
      <c r="W44">
        <f t="shared" si="22"/>
        <v>0</v>
      </c>
      <c r="X44">
        <f t="shared" si="23"/>
        <v>21.88</v>
      </c>
      <c r="Y44">
        <f t="shared" si="24"/>
        <v>11.46</v>
      </c>
      <c r="AA44">
        <v>939971439</v>
      </c>
      <c r="AB44">
        <f t="shared" si="25"/>
        <v>280.12049999999999</v>
      </c>
      <c r="AC44">
        <f t="shared" si="48"/>
        <v>212.42</v>
      </c>
      <c r="AD44">
        <f>ROUND(((((ET44*1.25))-((EU44*1.25)))+AE44),6)</f>
        <v>28.75</v>
      </c>
      <c r="AE44">
        <f>ROUND(((EU44*1.25)),6)</f>
        <v>0.15</v>
      </c>
      <c r="AF44">
        <f>ROUND(((EV44*1.15)),6)</f>
        <v>38.950499999999998</v>
      </c>
      <c r="AG44">
        <f t="shared" si="26"/>
        <v>0</v>
      </c>
      <c r="AH44">
        <f>((EW44*1.15))</f>
        <v>4.2435</v>
      </c>
      <c r="AI44">
        <f>((EX44*1.25))</f>
        <v>1.2500000000000001E-2</v>
      </c>
      <c r="AJ44">
        <f t="shared" si="27"/>
        <v>0</v>
      </c>
      <c r="AK44">
        <v>269.29000000000002</v>
      </c>
      <c r="AL44">
        <v>212.42</v>
      </c>
      <c r="AM44">
        <v>23</v>
      </c>
      <c r="AN44">
        <v>0.12</v>
      </c>
      <c r="AO44">
        <v>33.869999999999997</v>
      </c>
      <c r="AP44">
        <v>0</v>
      </c>
      <c r="AQ44">
        <v>3.69</v>
      </c>
      <c r="AR44">
        <v>0.01</v>
      </c>
      <c r="AS44">
        <v>0</v>
      </c>
      <c r="AT44">
        <v>105</v>
      </c>
      <c r="AU44">
        <v>55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H44">
        <v>0</v>
      </c>
      <c r="BI44">
        <v>1</v>
      </c>
      <c r="BJ44" t="s">
        <v>152</v>
      </c>
      <c r="BM44">
        <v>15001</v>
      </c>
      <c r="BN44">
        <v>0</v>
      </c>
      <c r="BP44">
        <v>0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Z44">
        <v>105</v>
      </c>
      <c r="CA44">
        <v>55</v>
      </c>
      <c r="CE44">
        <v>0</v>
      </c>
      <c r="CF44">
        <v>0</v>
      </c>
      <c r="CG44">
        <v>0</v>
      </c>
      <c r="CM44">
        <v>0</v>
      </c>
      <c r="CN44" t="s">
        <v>139</v>
      </c>
      <c r="CO44">
        <v>0</v>
      </c>
      <c r="CP44">
        <f t="shared" si="28"/>
        <v>149.29999999999998</v>
      </c>
      <c r="CQ44">
        <f t="shared" si="29"/>
        <v>212.42</v>
      </c>
      <c r="CR44">
        <f t="shared" si="30"/>
        <v>28.75</v>
      </c>
      <c r="CS44">
        <f t="shared" si="31"/>
        <v>0.15</v>
      </c>
      <c r="CT44">
        <f t="shared" si="32"/>
        <v>38.950499999999998</v>
      </c>
      <c r="CU44">
        <f t="shared" si="33"/>
        <v>0</v>
      </c>
      <c r="CV44">
        <f t="shared" si="34"/>
        <v>4.2435</v>
      </c>
      <c r="CW44">
        <f t="shared" si="35"/>
        <v>1.2500000000000001E-2</v>
      </c>
      <c r="CX44">
        <f t="shared" si="36"/>
        <v>0</v>
      </c>
      <c r="CY44">
        <f t="shared" si="37"/>
        <v>21.881999999999998</v>
      </c>
      <c r="CZ44">
        <f t="shared" si="38"/>
        <v>11.462</v>
      </c>
      <c r="DE44" t="s">
        <v>140</v>
      </c>
      <c r="DF44" t="s">
        <v>140</v>
      </c>
      <c r="DG44" t="s">
        <v>141</v>
      </c>
      <c r="DI44" t="s">
        <v>141</v>
      </c>
      <c r="DJ44" t="s">
        <v>140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151</v>
      </c>
      <c r="DW44" t="s">
        <v>151</v>
      </c>
      <c r="DX44">
        <v>1</v>
      </c>
      <c r="EE44">
        <v>958392128</v>
      </c>
      <c r="EF44">
        <v>2</v>
      </c>
      <c r="EG44" t="s">
        <v>111</v>
      </c>
      <c r="EH44">
        <v>0</v>
      </c>
      <c r="EJ44">
        <v>1</v>
      </c>
      <c r="EK44">
        <v>15001</v>
      </c>
      <c r="EL44" t="s">
        <v>112</v>
      </c>
      <c r="EM44" t="s">
        <v>113</v>
      </c>
      <c r="EO44" t="s">
        <v>143</v>
      </c>
      <c r="EQ44">
        <v>0</v>
      </c>
      <c r="ER44">
        <v>269.29000000000002</v>
      </c>
      <c r="ES44">
        <v>212.42</v>
      </c>
      <c r="ET44">
        <v>23</v>
      </c>
      <c r="EU44">
        <v>0.12</v>
      </c>
      <c r="EV44">
        <v>33.869999999999997</v>
      </c>
      <c r="EW44">
        <v>3.69</v>
      </c>
      <c r="EX44">
        <v>0.01</v>
      </c>
      <c r="EY44">
        <v>0</v>
      </c>
      <c r="FQ44">
        <v>0</v>
      </c>
      <c r="FR44">
        <f t="shared" si="39"/>
        <v>0</v>
      </c>
      <c r="FS44">
        <v>0</v>
      </c>
      <c r="FX44">
        <v>105</v>
      </c>
      <c r="FY44">
        <v>55</v>
      </c>
      <c r="GD44">
        <v>1</v>
      </c>
      <c r="GF44">
        <v>-1032126665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 t="shared" si="40"/>
        <v>0</v>
      </c>
      <c r="GM44">
        <f t="shared" si="41"/>
        <v>182.64</v>
      </c>
      <c r="GN44">
        <f t="shared" si="42"/>
        <v>182.64</v>
      </c>
      <c r="GO44">
        <f t="shared" si="43"/>
        <v>0</v>
      </c>
      <c r="GP44">
        <f t="shared" si="44"/>
        <v>0</v>
      </c>
      <c r="GR44">
        <v>0</v>
      </c>
      <c r="GS44">
        <v>3</v>
      </c>
      <c r="GT44">
        <v>0</v>
      </c>
      <c r="GV44">
        <f t="shared" si="45"/>
        <v>0</v>
      </c>
      <c r="GW44">
        <v>1</v>
      </c>
      <c r="GX44">
        <f t="shared" si="46"/>
        <v>0</v>
      </c>
      <c r="HA44">
        <v>0</v>
      </c>
      <c r="HB44">
        <v>0</v>
      </c>
      <c r="HC44">
        <f t="shared" si="47"/>
        <v>0</v>
      </c>
      <c r="IK44">
        <v>0</v>
      </c>
    </row>
    <row r="45" spans="1:245" x14ac:dyDescent="0.2">
      <c r="A45">
        <v>17</v>
      </c>
      <c r="B45">
        <v>1</v>
      </c>
      <c r="C45">
        <f>ROW(SmtRes!A80)</f>
        <v>80</v>
      </c>
      <c r="D45">
        <f>ROW(EtalonRes!A80)</f>
        <v>80</v>
      </c>
      <c r="E45" t="s">
        <v>149</v>
      </c>
      <c r="F45" t="s">
        <v>150</v>
      </c>
      <c r="G45" t="s">
        <v>83</v>
      </c>
      <c r="H45" t="s">
        <v>151</v>
      </c>
      <c r="I45">
        <f>ROUND(53.3/100,9)</f>
        <v>0.53300000000000003</v>
      </c>
      <c r="J45">
        <v>0</v>
      </c>
      <c r="O45">
        <f t="shared" si="14"/>
        <v>1574.08</v>
      </c>
      <c r="P45">
        <f t="shared" si="15"/>
        <v>792.54</v>
      </c>
      <c r="Q45">
        <f t="shared" si="16"/>
        <v>86.89</v>
      </c>
      <c r="R45">
        <f t="shared" si="17"/>
        <v>2.68</v>
      </c>
      <c r="S45">
        <f t="shared" si="18"/>
        <v>694.65</v>
      </c>
      <c r="T45">
        <f t="shared" si="19"/>
        <v>0</v>
      </c>
      <c r="U45">
        <f t="shared" si="20"/>
        <v>2.2617855000000002</v>
      </c>
      <c r="V45">
        <f t="shared" si="21"/>
        <v>6.6625000000000009E-3</v>
      </c>
      <c r="W45">
        <f t="shared" si="22"/>
        <v>0</v>
      </c>
      <c r="X45">
        <f t="shared" si="23"/>
        <v>732.2</v>
      </c>
      <c r="Y45">
        <f t="shared" si="24"/>
        <v>383.53</v>
      </c>
      <c r="AA45">
        <v>939971440</v>
      </c>
      <c r="AB45">
        <f t="shared" si="25"/>
        <v>280.12049999999999</v>
      </c>
      <c r="AC45">
        <f t="shared" si="48"/>
        <v>212.42</v>
      </c>
      <c r="AD45">
        <f>ROUND(((((ET45*1.25))-((EU45*1.25)))+AE45),6)</f>
        <v>28.75</v>
      </c>
      <c r="AE45">
        <f>ROUND(((EU45*1.25)),6)</f>
        <v>0.15</v>
      </c>
      <c r="AF45">
        <f>ROUND(((EV45*1.15)),6)</f>
        <v>38.950499999999998</v>
      </c>
      <c r="AG45">
        <f t="shared" si="26"/>
        <v>0</v>
      </c>
      <c r="AH45">
        <f>((EW45*1.15))</f>
        <v>4.2435</v>
      </c>
      <c r="AI45">
        <f>((EX45*1.25))</f>
        <v>1.2500000000000001E-2</v>
      </c>
      <c r="AJ45">
        <f t="shared" si="27"/>
        <v>0</v>
      </c>
      <c r="AK45">
        <v>269.29000000000002</v>
      </c>
      <c r="AL45">
        <v>212.42</v>
      </c>
      <c r="AM45">
        <v>23</v>
      </c>
      <c r="AN45">
        <v>0.12</v>
      </c>
      <c r="AO45">
        <v>33.869999999999997</v>
      </c>
      <c r="AP45">
        <v>0</v>
      </c>
      <c r="AQ45">
        <v>3.69</v>
      </c>
      <c r="AR45">
        <v>0.01</v>
      </c>
      <c r="AS45">
        <v>0</v>
      </c>
      <c r="AT45">
        <v>105</v>
      </c>
      <c r="AU45">
        <v>55</v>
      </c>
      <c r="AV45">
        <v>1</v>
      </c>
      <c r="AW45">
        <v>1</v>
      </c>
      <c r="AZ45">
        <v>1</v>
      </c>
      <c r="BA45">
        <v>33.46</v>
      </c>
      <c r="BB45">
        <v>5.67</v>
      </c>
      <c r="BC45">
        <v>7</v>
      </c>
      <c r="BH45">
        <v>0</v>
      </c>
      <c r="BI45">
        <v>1</v>
      </c>
      <c r="BJ45" t="s">
        <v>152</v>
      </c>
      <c r="BM45">
        <v>15001</v>
      </c>
      <c r="BN45">
        <v>0</v>
      </c>
      <c r="BO45" t="s">
        <v>150</v>
      </c>
      <c r="BP45">
        <v>1</v>
      </c>
      <c r="BQ45">
        <v>2</v>
      </c>
      <c r="BR45">
        <v>0</v>
      </c>
      <c r="BS45">
        <v>33.46</v>
      </c>
      <c r="BT45">
        <v>1</v>
      </c>
      <c r="BU45">
        <v>1</v>
      </c>
      <c r="BV45">
        <v>1</v>
      </c>
      <c r="BW45">
        <v>1</v>
      </c>
      <c r="BX45">
        <v>1</v>
      </c>
      <c r="BZ45">
        <v>105</v>
      </c>
      <c r="CA45">
        <v>55</v>
      </c>
      <c r="CE45">
        <v>0</v>
      </c>
      <c r="CF45">
        <v>0</v>
      </c>
      <c r="CG45">
        <v>0</v>
      </c>
      <c r="CM45">
        <v>0</v>
      </c>
      <c r="CN45" t="s">
        <v>139</v>
      </c>
      <c r="CO45">
        <v>0</v>
      </c>
      <c r="CP45">
        <f t="shared" si="28"/>
        <v>1574.08</v>
      </c>
      <c r="CQ45">
        <f t="shared" si="29"/>
        <v>1486.9399999999998</v>
      </c>
      <c r="CR45">
        <f t="shared" si="30"/>
        <v>163.01249999999999</v>
      </c>
      <c r="CS45">
        <f t="shared" si="31"/>
        <v>5.0190000000000001</v>
      </c>
      <c r="CT45">
        <f t="shared" si="32"/>
        <v>1303.2837299999999</v>
      </c>
      <c r="CU45">
        <f t="shared" si="33"/>
        <v>0</v>
      </c>
      <c r="CV45">
        <f t="shared" si="34"/>
        <v>4.2435</v>
      </c>
      <c r="CW45">
        <f t="shared" si="35"/>
        <v>1.2500000000000001E-2</v>
      </c>
      <c r="CX45">
        <f t="shared" si="36"/>
        <v>0</v>
      </c>
      <c r="CY45">
        <f t="shared" si="37"/>
        <v>732.1964999999999</v>
      </c>
      <c r="CZ45">
        <f t="shared" si="38"/>
        <v>383.53149999999994</v>
      </c>
      <c r="DE45" t="s">
        <v>140</v>
      </c>
      <c r="DF45" t="s">
        <v>140</v>
      </c>
      <c r="DG45" t="s">
        <v>141</v>
      </c>
      <c r="DI45" t="s">
        <v>141</v>
      </c>
      <c r="DJ45" t="s">
        <v>140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151</v>
      </c>
      <c r="DW45" t="s">
        <v>151</v>
      </c>
      <c r="DX45">
        <v>1</v>
      </c>
      <c r="EE45">
        <v>958392128</v>
      </c>
      <c r="EF45">
        <v>2</v>
      </c>
      <c r="EG45" t="s">
        <v>111</v>
      </c>
      <c r="EH45">
        <v>0</v>
      </c>
      <c r="EJ45">
        <v>1</v>
      </c>
      <c r="EK45">
        <v>15001</v>
      </c>
      <c r="EL45" t="s">
        <v>112</v>
      </c>
      <c r="EM45" t="s">
        <v>113</v>
      </c>
      <c r="EO45" t="s">
        <v>143</v>
      </c>
      <c r="EQ45">
        <v>0</v>
      </c>
      <c r="ER45">
        <v>269.29000000000002</v>
      </c>
      <c r="ES45">
        <v>212.42</v>
      </c>
      <c r="ET45">
        <v>23</v>
      </c>
      <c r="EU45">
        <v>0.12</v>
      </c>
      <c r="EV45">
        <v>33.869999999999997</v>
      </c>
      <c r="EW45">
        <v>3.69</v>
      </c>
      <c r="EX45">
        <v>0.01</v>
      </c>
      <c r="EY45">
        <v>0</v>
      </c>
      <c r="FQ45">
        <v>0</v>
      </c>
      <c r="FR45">
        <f t="shared" si="39"/>
        <v>0</v>
      </c>
      <c r="FS45">
        <v>0</v>
      </c>
      <c r="FX45">
        <v>105</v>
      </c>
      <c r="FY45">
        <v>55</v>
      </c>
      <c r="GD45">
        <v>1</v>
      </c>
      <c r="GF45">
        <v>-1032126665</v>
      </c>
      <c r="GG45">
        <v>2</v>
      </c>
      <c r="GH45">
        <v>1</v>
      </c>
      <c r="GI45">
        <v>2</v>
      </c>
      <c r="GJ45">
        <v>0</v>
      </c>
      <c r="GK45">
        <v>0</v>
      </c>
      <c r="GL45">
        <f t="shared" si="40"/>
        <v>0</v>
      </c>
      <c r="GM45">
        <f t="shared" si="41"/>
        <v>2689.81</v>
      </c>
      <c r="GN45">
        <f t="shared" si="42"/>
        <v>2689.81</v>
      </c>
      <c r="GO45">
        <f t="shared" si="43"/>
        <v>0</v>
      </c>
      <c r="GP45">
        <f t="shared" si="44"/>
        <v>0</v>
      </c>
      <c r="GR45">
        <v>0</v>
      </c>
      <c r="GS45">
        <v>3</v>
      </c>
      <c r="GT45">
        <v>0</v>
      </c>
      <c r="GV45">
        <f t="shared" si="45"/>
        <v>0</v>
      </c>
      <c r="GW45">
        <v>1</v>
      </c>
      <c r="GX45">
        <f t="shared" si="46"/>
        <v>0</v>
      </c>
      <c r="HA45">
        <v>0</v>
      </c>
      <c r="HB45">
        <v>0</v>
      </c>
      <c r="HC45">
        <f t="shared" si="47"/>
        <v>0</v>
      </c>
      <c r="IK45">
        <v>0</v>
      </c>
    </row>
    <row r="46" spans="1:245" x14ac:dyDescent="0.2">
      <c r="A46">
        <v>17</v>
      </c>
      <c r="B46">
        <v>1</v>
      </c>
      <c r="C46">
        <f>ROW(SmtRes!A84)</f>
        <v>84</v>
      </c>
      <c r="D46">
        <f>ROW(EtalonRes!A84)</f>
        <v>84</v>
      </c>
      <c r="E46" t="s">
        <v>153</v>
      </c>
      <c r="F46" t="s">
        <v>154</v>
      </c>
      <c r="G46" t="s">
        <v>155</v>
      </c>
      <c r="H46" t="s">
        <v>156</v>
      </c>
      <c r="I46">
        <v>0</v>
      </c>
      <c r="J46">
        <v>0</v>
      </c>
      <c r="O46">
        <f t="shared" si="14"/>
        <v>0</v>
      </c>
      <c r="P46">
        <f t="shared" si="15"/>
        <v>0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0</v>
      </c>
      <c r="X46">
        <f t="shared" si="23"/>
        <v>0</v>
      </c>
      <c r="Y46">
        <f t="shared" si="24"/>
        <v>0</v>
      </c>
      <c r="AA46">
        <v>939971439</v>
      </c>
      <c r="AB46">
        <f t="shared" si="25"/>
        <v>21.167000000000002</v>
      </c>
      <c r="AC46">
        <f t="shared" si="48"/>
        <v>10.35</v>
      </c>
      <c r="AD46">
        <f>ROUND(((((ET46*1.25))-((EU46*1.25)))+AE46),6)</f>
        <v>5.8375000000000004</v>
      </c>
      <c r="AE46">
        <f>ROUND(((EU46*1.25)),6)</f>
        <v>2.0125000000000002</v>
      </c>
      <c r="AF46">
        <f>ROUND(((EV46*1.15)),6)</f>
        <v>4.9794999999999998</v>
      </c>
      <c r="AG46">
        <f t="shared" si="26"/>
        <v>0</v>
      </c>
      <c r="AH46">
        <f>((EW46*1.15))</f>
        <v>0.44849999999999995</v>
      </c>
      <c r="AI46">
        <f>((EX46*1.25))</f>
        <v>0.2</v>
      </c>
      <c r="AJ46">
        <f t="shared" si="27"/>
        <v>0</v>
      </c>
      <c r="AK46">
        <v>19.350000000000001</v>
      </c>
      <c r="AL46">
        <v>10.35</v>
      </c>
      <c r="AM46">
        <v>4.67</v>
      </c>
      <c r="AN46">
        <v>1.61</v>
      </c>
      <c r="AO46">
        <v>4.33</v>
      </c>
      <c r="AP46">
        <v>0</v>
      </c>
      <c r="AQ46">
        <v>0.39</v>
      </c>
      <c r="AR46">
        <v>0.16</v>
      </c>
      <c r="AS46">
        <v>0</v>
      </c>
      <c r="AT46">
        <v>142</v>
      </c>
      <c r="AU46">
        <v>95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H46">
        <v>0</v>
      </c>
      <c r="BI46">
        <v>1</v>
      </c>
      <c r="BJ46" t="s">
        <v>157</v>
      </c>
      <c r="BM46">
        <v>27001</v>
      </c>
      <c r="BN46">
        <v>0</v>
      </c>
      <c r="BP46">
        <v>0</v>
      </c>
      <c r="BQ46">
        <v>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Z46">
        <v>142</v>
      </c>
      <c r="CA46">
        <v>95</v>
      </c>
      <c r="CE46">
        <v>0</v>
      </c>
      <c r="CF46">
        <v>0</v>
      </c>
      <c r="CG46">
        <v>0</v>
      </c>
      <c r="CM46">
        <v>0</v>
      </c>
      <c r="CN46" t="s">
        <v>139</v>
      </c>
      <c r="CO46">
        <v>0</v>
      </c>
      <c r="CP46">
        <f t="shared" si="28"/>
        <v>0</v>
      </c>
      <c r="CQ46">
        <f t="shared" si="29"/>
        <v>10.35</v>
      </c>
      <c r="CR46">
        <f t="shared" si="30"/>
        <v>5.8375000000000004</v>
      </c>
      <c r="CS46">
        <f t="shared" si="31"/>
        <v>2.0125000000000002</v>
      </c>
      <c r="CT46">
        <f t="shared" si="32"/>
        <v>4.9794999999999998</v>
      </c>
      <c r="CU46">
        <f t="shared" si="33"/>
        <v>0</v>
      </c>
      <c r="CV46">
        <f t="shared" si="34"/>
        <v>0.44849999999999995</v>
      </c>
      <c r="CW46">
        <f t="shared" si="35"/>
        <v>0.2</v>
      </c>
      <c r="CX46">
        <f t="shared" si="36"/>
        <v>0</v>
      </c>
      <c r="CY46">
        <f t="shared" si="37"/>
        <v>0</v>
      </c>
      <c r="CZ46">
        <f t="shared" si="38"/>
        <v>0</v>
      </c>
      <c r="DE46" t="s">
        <v>140</v>
      </c>
      <c r="DF46" t="s">
        <v>140</v>
      </c>
      <c r="DG46" t="s">
        <v>141</v>
      </c>
      <c r="DI46" t="s">
        <v>141</v>
      </c>
      <c r="DJ46" t="s">
        <v>140</v>
      </c>
      <c r="DN46">
        <v>0</v>
      </c>
      <c r="DO46">
        <v>0</v>
      </c>
      <c r="DP46">
        <v>1</v>
      </c>
      <c r="DQ46">
        <v>1</v>
      </c>
      <c r="DU46">
        <v>1003</v>
      </c>
      <c r="DV46" t="s">
        <v>156</v>
      </c>
      <c r="DW46" t="s">
        <v>156</v>
      </c>
      <c r="DX46">
        <v>1</v>
      </c>
      <c r="EE46">
        <v>958392143</v>
      </c>
      <c r="EF46">
        <v>2</v>
      </c>
      <c r="EG46" t="s">
        <v>111</v>
      </c>
      <c r="EH46">
        <v>0</v>
      </c>
      <c r="EJ46">
        <v>1</v>
      </c>
      <c r="EK46">
        <v>27001</v>
      </c>
      <c r="EL46" t="s">
        <v>158</v>
      </c>
      <c r="EM46" t="s">
        <v>159</v>
      </c>
      <c r="EO46" t="s">
        <v>143</v>
      </c>
      <c r="EQ46">
        <v>0</v>
      </c>
      <c r="ER46">
        <v>19.350000000000001</v>
      </c>
      <c r="ES46">
        <v>10.35</v>
      </c>
      <c r="ET46">
        <v>4.67</v>
      </c>
      <c r="EU46">
        <v>1.61</v>
      </c>
      <c r="EV46">
        <v>4.33</v>
      </c>
      <c r="EW46">
        <v>0.39</v>
      </c>
      <c r="EX46">
        <v>0.16</v>
      </c>
      <c r="EY46">
        <v>0</v>
      </c>
      <c r="FQ46">
        <v>0</v>
      </c>
      <c r="FR46">
        <f t="shared" si="39"/>
        <v>0</v>
      </c>
      <c r="FS46">
        <v>0</v>
      </c>
      <c r="FX46">
        <v>142</v>
      </c>
      <c r="FY46">
        <v>95</v>
      </c>
      <c r="GD46">
        <v>1</v>
      </c>
      <c r="GF46">
        <v>-506145907</v>
      </c>
      <c r="GG46">
        <v>2</v>
      </c>
      <c r="GH46">
        <v>1</v>
      </c>
      <c r="GI46">
        <v>-2</v>
      </c>
      <c r="GJ46">
        <v>0</v>
      </c>
      <c r="GK46">
        <v>0</v>
      </c>
      <c r="GL46">
        <f t="shared" si="40"/>
        <v>0</v>
      </c>
      <c r="GM46">
        <f t="shared" si="41"/>
        <v>0</v>
      </c>
      <c r="GN46">
        <f t="shared" si="42"/>
        <v>0</v>
      </c>
      <c r="GO46">
        <f t="shared" si="43"/>
        <v>0</v>
      </c>
      <c r="GP46">
        <f t="shared" si="44"/>
        <v>0</v>
      </c>
      <c r="GR46">
        <v>0</v>
      </c>
      <c r="GS46">
        <v>3</v>
      </c>
      <c r="GT46">
        <v>0</v>
      </c>
      <c r="GV46">
        <f t="shared" si="45"/>
        <v>0</v>
      </c>
      <c r="GW46">
        <v>1</v>
      </c>
      <c r="GX46">
        <f t="shared" si="46"/>
        <v>0</v>
      </c>
      <c r="HA46">
        <v>0</v>
      </c>
      <c r="HB46">
        <v>0</v>
      </c>
      <c r="HC46">
        <f t="shared" si="47"/>
        <v>0</v>
      </c>
      <c r="IK46">
        <v>0</v>
      </c>
    </row>
    <row r="47" spans="1:245" x14ac:dyDescent="0.2">
      <c r="A47">
        <v>17</v>
      </c>
      <c r="B47">
        <v>1</v>
      </c>
      <c r="C47">
        <f>ROW(SmtRes!A88)</f>
        <v>88</v>
      </c>
      <c r="D47">
        <f>ROW(EtalonRes!A88)</f>
        <v>88</v>
      </c>
      <c r="E47" t="s">
        <v>153</v>
      </c>
      <c r="F47" t="s">
        <v>154</v>
      </c>
      <c r="G47" t="s">
        <v>155</v>
      </c>
      <c r="H47" t="s">
        <v>156</v>
      </c>
      <c r="I47">
        <v>0</v>
      </c>
      <c r="J47">
        <v>0</v>
      </c>
      <c r="O47">
        <f t="shared" si="14"/>
        <v>0</v>
      </c>
      <c r="P47">
        <f t="shared" si="15"/>
        <v>0</v>
      </c>
      <c r="Q47">
        <f t="shared" si="16"/>
        <v>0</v>
      </c>
      <c r="R47">
        <f t="shared" si="17"/>
        <v>0</v>
      </c>
      <c r="S47">
        <f t="shared" si="18"/>
        <v>0</v>
      </c>
      <c r="T47">
        <f t="shared" si="19"/>
        <v>0</v>
      </c>
      <c r="U47">
        <f t="shared" si="20"/>
        <v>0</v>
      </c>
      <c r="V47">
        <f t="shared" si="21"/>
        <v>0</v>
      </c>
      <c r="W47">
        <f t="shared" si="22"/>
        <v>0</v>
      </c>
      <c r="X47">
        <f t="shared" si="23"/>
        <v>0</v>
      </c>
      <c r="Y47">
        <f t="shared" si="24"/>
        <v>0</v>
      </c>
      <c r="AA47">
        <v>939971440</v>
      </c>
      <c r="AB47">
        <f t="shared" si="25"/>
        <v>21.167000000000002</v>
      </c>
      <c r="AC47">
        <f t="shared" si="48"/>
        <v>10.35</v>
      </c>
      <c r="AD47">
        <f>ROUND(((((ET47*1.25))-((EU47*1.25)))+AE47),6)</f>
        <v>5.8375000000000004</v>
      </c>
      <c r="AE47">
        <f>ROUND(((EU47*1.25)),6)</f>
        <v>2.0125000000000002</v>
      </c>
      <c r="AF47">
        <f>ROUND(((EV47*1.15)),6)</f>
        <v>4.9794999999999998</v>
      </c>
      <c r="AG47">
        <f t="shared" si="26"/>
        <v>0</v>
      </c>
      <c r="AH47">
        <f>((EW47*1.15))</f>
        <v>0.44849999999999995</v>
      </c>
      <c r="AI47">
        <f>((EX47*1.25))</f>
        <v>0.2</v>
      </c>
      <c r="AJ47">
        <f t="shared" si="27"/>
        <v>0</v>
      </c>
      <c r="AK47">
        <v>19.350000000000001</v>
      </c>
      <c r="AL47">
        <v>10.35</v>
      </c>
      <c r="AM47">
        <v>4.67</v>
      </c>
      <c r="AN47">
        <v>1.61</v>
      </c>
      <c r="AO47">
        <v>4.33</v>
      </c>
      <c r="AP47">
        <v>0</v>
      </c>
      <c r="AQ47">
        <v>0.39</v>
      </c>
      <c r="AR47">
        <v>0.16</v>
      </c>
      <c r="AS47">
        <v>0</v>
      </c>
      <c r="AT47">
        <v>142</v>
      </c>
      <c r="AU47">
        <v>95</v>
      </c>
      <c r="AV47">
        <v>1</v>
      </c>
      <c r="AW47">
        <v>1</v>
      </c>
      <c r="AZ47">
        <v>1</v>
      </c>
      <c r="BA47">
        <v>33.46</v>
      </c>
      <c r="BB47">
        <v>14.8</v>
      </c>
      <c r="BC47">
        <v>4.62</v>
      </c>
      <c r="BH47">
        <v>0</v>
      </c>
      <c r="BI47">
        <v>1</v>
      </c>
      <c r="BJ47" t="s">
        <v>157</v>
      </c>
      <c r="BM47">
        <v>27001</v>
      </c>
      <c r="BN47">
        <v>0</v>
      </c>
      <c r="BO47" t="s">
        <v>154</v>
      </c>
      <c r="BP47">
        <v>1</v>
      </c>
      <c r="BQ47">
        <v>2</v>
      </c>
      <c r="BR47">
        <v>0</v>
      </c>
      <c r="BS47">
        <v>33.46</v>
      </c>
      <c r="BT47">
        <v>1</v>
      </c>
      <c r="BU47">
        <v>1</v>
      </c>
      <c r="BV47">
        <v>1</v>
      </c>
      <c r="BW47">
        <v>1</v>
      </c>
      <c r="BX47">
        <v>1</v>
      </c>
      <c r="BZ47">
        <v>142</v>
      </c>
      <c r="CA47">
        <v>95</v>
      </c>
      <c r="CE47">
        <v>0</v>
      </c>
      <c r="CF47">
        <v>0</v>
      </c>
      <c r="CG47">
        <v>0</v>
      </c>
      <c r="CM47">
        <v>0</v>
      </c>
      <c r="CN47" t="s">
        <v>139</v>
      </c>
      <c r="CO47">
        <v>0</v>
      </c>
      <c r="CP47">
        <f t="shared" si="28"/>
        <v>0</v>
      </c>
      <c r="CQ47">
        <f t="shared" si="29"/>
        <v>47.817</v>
      </c>
      <c r="CR47">
        <f t="shared" si="30"/>
        <v>86.39500000000001</v>
      </c>
      <c r="CS47">
        <f t="shared" si="31"/>
        <v>67.338250000000002</v>
      </c>
      <c r="CT47">
        <f t="shared" si="32"/>
        <v>166.61407</v>
      </c>
      <c r="CU47">
        <f t="shared" si="33"/>
        <v>0</v>
      </c>
      <c r="CV47">
        <f t="shared" si="34"/>
        <v>0.44849999999999995</v>
      </c>
      <c r="CW47">
        <f t="shared" si="35"/>
        <v>0.2</v>
      </c>
      <c r="CX47">
        <f t="shared" si="36"/>
        <v>0</v>
      </c>
      <c r="CY47">
        <f t="shared" si="37"/>
        <v>0</v>
      </c>
      <c r="CZ47">
        <f t="shared" si="38"/>
        <v>0</v>
      </c>
      <c r="DE47" t="s">
        <v>140</v>
      </c>
      <c r="DF47" t="s">
        <v>140</v>
      </c>
      <c r="DG47" t="s">
        <v>141</v>
      </c>
      <c r="DI47" t="s">
        <v>141</v>
      </c>
      <c r="DJ47" t="s">
        <v>140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156</v>
      </c>
      <c r="DW47" t="s">
        <v>156</v>
      </c>
      <c r="DX47">
        <v>1</v>
      </c>
      <c r="EE47">
        <v>958392143</v>
      </c>
      <c r="EF47">
        <v>2</v>
      </c>
      <c r="EG47" t="s">
        <v>111</v>
      </c>
      <c r="EH47">
        <v>0</v>
      </c>
      <c r="EJ47">
        <v>1</v>
      </c>
      <c r="EK47">
        <v>27001</v>
      </c>
      <c r="EL47" t="s">
        <v>158</v>
      </c>
      <c r="EM47" t="s">
        <v>159</v>
      </c>
      <c r="EO47" t="s">
        <v>143</v>
      </c>
      <c r="EQ47">
        <v>0</v>
      </c>
      <c r="ER47">
        <v>19.350000000000001</v>
      </c>
      <c r="ES47">
        <v>10.35</v>
      </c>
      <c r="ET47">
        <v>4.67</v>
      </c>
      <c r="EU47">
        <v>1.61</v>
      </c>
      <c r="EV47">
        <v>4.33</v>
      </c>
      <c r="EW47">
        <v>0.39</v>
      </c>
      <c r="EX47">
        <v>0.16</v>
      </c>
      <c r="EY47">
        <v>0</v>
      </c>
      <c r="FQ47">
        <v>0</v>
      </c>
      <c r="FR47">
        <f t="shared" si="39"/>
        <v>0</v>
      </c>
      <c r="FS47">
        <v>0</v>
      </c>
      <c r="FX47">
        <v>142</v>
      </c>
      <c r="FY47">
        <v>95</v>
      </c>
      <c r="GD47">
        <v>1</v>
      </c>
      <c r="GF47">
        <v>-506145907</v>
      </c>
      <c r="GG47">
        <v>2</v>
      </c>
      <c r="GH47">
        <v>1</v>
      </c>
      <c r="GI47">
        <v>2</v>
      </c>
      <c r="GJ47">
        <v>0</v>
      </c>
      <c r="GK47">
        <v>0</v>
      </c>
      <c r="GL47">
        <f t="shared" si="40"/>
        <v>0</v>
      </c>
      <c r="GM47">
        <f t="shared" si="41"/>
        <v>0</v>
      </c>
      <c r="GN47">
        <f t="shared" si="42"/>
        <v>0</v>
      </c>
      <c r="GO47">
        <f t="shared" si="43"/>
        <v>0</v>
      </c>
      <c r="GP47">
        <f t="shared" si="44"/>
        <v>0</v>
      </c>
      <c r="GR47">
        <v>0</v>
      </c>
      <c r="GS47">
        <v>3</v>
      </c>
      <c r="GT47">
        <v>0</v>
      </c>
      <c r="GV47">
        <f t="shared" si="45"/>
        <v>0</v>
      </c>
      <c r="GW47">
        <v>1</v>
      </c>
      <c r="GX47">
        <f t="shared" si="46"/>
        <v>0</v>
      </c>
      <c r="HA47">
        <v>0</v>
      </c>
      <c r="HB47">
        <v>0</v>
      </c>
      <c r="HC47">
        <f t="shared" si="47"/>
        <v>0</v>
      </c>
      <c r="IK47">
        <v>0</v>
      </c>
    </row>
    <row r="48" spans="1:245" x14ac:dyDescent="0.2">
      <c r="A48">
        <v>17</v>
      </c>
      <c r="B48">
        <v>1</v>
      </c>
      <c r="C48">
        <f>ROW(SmtRes!A100)</f>
        <v>100</v>
      </c>
      <c r="D48">
        <f>ROW(EtalonRes!A97)</f>
        <v>97</v>
      </c>
      <c r="E48" t="s">
        <v>160</v>
      </c>
      <c r="F48" t="s">
        <v>161</v>
      </c>
      <c r="G48" t="s">
        <v>162</v>
      </c>
      <c r="H48" t="s">
        <v>120</v>
      </c>
      <c r="I48">
        <v>0</v>
      </c>
      <c r="J48">
        <v>0</v>
      </c>
      <c r="O48">
        <f t="shared" si="14"/>
        <v>0</v>
      </c>
      <c r="P48">
        <f t="shared" si="15"/>
        <v>0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0</v>
      </c>
      <c r="W48">
        <f t="shared" si="22"/>
        <v>0</v>
      </c>
      <c r="X48">
        <f t="shared" si="23"/>
        <v>0</v>
      </c>
      <c r="Y48">
        <f t="shared" si="24"/>
        <v>0</v>
      </c>
      <c r="AA48">
        <v>939971439</v>
      </c>
      <c r="AB48">
        <f t="shared" si="25"/>
        <v>8911.66</v>
      </c>
      <c r="AC48">
        <f t="shared" si="48"/>
        <v>8046.45</v>
      </c>
      <c r="AD48">
        <f t="shared" ref="AD48:AD61" si="56">ROUND((((ET48)-(EU48))+AE48),6)</f>
        <v>189.52</v>
      </c>
      <c r="AE48">
        <f t="shared" ref="AE48:AE61" si="57">ROUND((EU48),6)</f>
        <v>38.32</v>
      </c>
      <c r="AF48">
        <f t="shared" ref="AF48:AF61" si="58">ROUND((EV48),6)</f>
        <v>675.69</v>
      </c>
      <c r="AG48">
        <f t="shared" si="26"/>
        <v>0</v>
      </c>
      <c r="AH48">
        <f t="shared" ref="AH48:AH61" si="59">(EW48)</f>
        <v>81.31</v>
      </c>
      <c r="AI48">
        <f t="shared" ref="AI48:AI61" si="60">(EX48)</f>
        <v>2.93</v>
      </c>
      <c r="AJ48">
        <f t="shared" si="27"/>
        <v>0</v>
      </c>
      <c r="AK48">
        <v>8911.66</v>
      </c>
      <c r="AL48">
        <v>8046.45</v>
      </c>
      <c r="AM48">
        <v>189.52</v>
      </c>
      <c r="AN48">
        <v>38.32</v>
      </c>
      <c r="AO48">
        <v>675.69</v>
      </c>
      <c r="AP48">
        <v>0</v>
      </c>
      <c r="AQ48">
        <v>81.31</v>
      </c>
      <c r="AR48">
        <v>2.93</v>
      </c>
      <c r="AS48">
        <v>0</v>
      </c>
      <c r="AT48">
        <v>123</v>
      </c>
      <c r="AU48">
        <v>75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H48">
        <v>0</v>
      </c>
      <c r="BI48">
        <v>1</v>
      </c>
      <c r="BJ48" t="s">
        <v>163</v>
      </c>
      <c r="BM48">
        <v>11001</v>
      </c>
      <c r="BN48">
        <v>0</v>
      </c>
      <c r="BP48">
        <v>0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Z48">
        <v>123</v>
      </c>
      <c r="CA48">
        <v>75</v>
      </c>
      <c r="CE48">
        <v>0</v>
      </c>
      <c r="CF48">
        <v>0</v>
      </c>
      <c r="CG48">
        <v>0</v>
      </c>
      <c r="CM48">
        <v>0</v>
      </c>
      <c r="CO48">
        <v>0</v>
      </c>
      <c r="CP48">
        <f t="shared" si="28"/>
        <v>0</v>
      </c>
      <c r="CQ48">
        <f t="shared" si="29"/>
        <v>8046.45</v>
      </c>
      <c r="CR48">
        <f t="shared" si="30"/>
        <v>189.52</v>
      </c>
      <c r="CS48">
        <f t="shared" si="31"/>
        <v>38.32</v>
      </c>
      <c r="CT48">
        <f t="shared" si="32"/>
        <v>675.69</v>
      </c>
      <c r="CU48">
        <f t="shared" si="33"/>
        <v>0</v>
      </c>
      <c r="CV48">
        <f t="shared" si="34"/>
        <v>81.31</v>
      </c>
      <c r="CW48">
        <f t="shared" si="35"/>
        <v>2.93</v>
      </c>
      <c r="CX48">
        <f t="shared" si="36"/>
        <v>0</v>
      </c>
      <c r="CY48">
        <f t="shared" si="37"/>
        <v>0</v>
      </c>
      <c r="CZ48">
        <f t="shared" si="38"/>
        <v>0</v>
      </c>
      <c r="DN48">
        <v>0</v>
      </c>
      <c r="DO48">
        <v>0</v>
      </c>
      <c r="DP48">
        <v>1</v>
      </c>
      <c r="DQ48">
        <v>1</v>
      </c>
      <c r="DU48">
        <v>1013</v>
      </c>
      <c r="DV48" t="s">
        <v>120</v>
      </c>
      <c r="DW48" t="s">
        <v>120</v>
      </c>
      <c r="DX48">
        <v>1</v>
      </c>
      <c r="EE48">
        <v>958392103</v>
      </c>
      <c r="EF48">
        <v>2</v>
      </c>
      <c r="EG48" t="s">
        <v>111</v>
      </c>
      <c r="EH48">
        <v>0</v>
      </c>
      <c r="EJ48">
        <v>1</v>
      </c>
      <c r="EK48">
        <v>11001</v>
      </c>
      <c r="EL48" t="s">
        <v>123</v>
      </c>
      <c r="EM48" t="s">
        <v>142</v>
      </c>
      <c r="EQ48">
        <v>0</v>
      </c>
      <c r="ER48">
        <v>8911.66</v>
      </c>
      <c r="ES48">
        <v>8046.45</v>
      </c>
      <c r="ET48">
        <v>189.52</v>
      </c>
      <c r="EU48">
        <v>38.32</v>
      </c>
      <c r="EV48">
        <v>675.69</v>
      </c>
      <c r="EW48">
        <v>81.31</v>
      </c>
      <c r="EX48">
        <v>2.93</v>
      </c>
      <c r="EY48">
        <v>0</v>
      </c>
      <c r="FQ48">
        <v>0</v>
      </c>
      <c r="FR48">
        <f t="shared" si="39"/>
        <v>0</v>
      </c>
      <c r="FS48">
        <v>0</v>
      </c>
      <c r="FX48">
        <v>123</v>
      </c>
      <c r="FY48">
        <v>75</v>
      </c>
      <c r="GD48">
        <v>1</v>
      </c>
      <c r="GF48">
        <v>-1041100104</v>
      </c>
      <c r="GG48">
        <v>2</v>
      </c>
      <c r="GH48">
        <v>1</v>
      </c>
      <c r="GI48">
        <v>-2</v>
      </c>
      <c r="GJ48">
        <v>0</v>
      </c>
      <c r="GK48">
        <v>0</v>
      </c>
      <c r="GL48">
        <f t="shared" si="40"/>
        <v>0</v>
      </c>
      <c r="GM48">
        <f t="shared" si="41"/>
        <v>0</v>
      </c>
      <c r="GN48">
        <f t="shared" si="42"/>
        <v>0</v>
      </c>
      <c r="GO48">
        <f t="shared" si="43"/>
        <v>0</v>
      </c>
      <c r="GP48">
        <f t="shared" si="44"/>
        <v>0</v>
      </c>
      <c r="GR48">
        <v>0</v>
      </c>
      <c r="GS48">
        <v>3</v>
      </c>
      <c r="GT48">
        <v>0</v>
      </c>
      <c r="GV48">
        <f t="shared" si="45"/>
        <v>0</v>
      </c>
      <c r="GW48">
        <v>1</v>
      </c>
      <c r="GX48">
        <f t="shared" si="46"/>
        <v>0</v>
      </c>
      <c r="HA48">
        <v>0</v>
      </c>
      <c r="HB48">
        <v>0</v>
      </c>
      <c r="HC48">
        <f t="shared" si="47"/>
        <v>0</v>
      </c>
      <c r="IK48">
        <v>0</v>
      </c>
    </row>
    <row r="49" spans="1:245" x14ac:dyDescent="0.2">
      <c r="A49">
        <v>17</v>
      </c>
      <c r="B49">
        <v>1</v>
      </c>
      <c r="C49">
        <f>ROW(SmtRes!A112)</f>
        <v>112</v>
      </c>
      <c r="D49">
        <f>ROW(EtalonRes!A106)</f>
        <v>106</v>
      </c>
      <c r="E49" t="s">
        <v>160</v>
      </c>
      <c r="F49" t="s">
        <v>161</v>
      </c>
      <c r="G49" t="s">
        <v>162</v>
      </c>
      <c r="H49" t="s">
        <v>120</v>
      </c>
      <c r="I49">
        <v>0</v>
      </c>
      <c r="J49">
        <v>0</v>
      </c>
      <c r="O49">
        <f t="shared" si="14"/>
        <v>0</v>
      </c>
      <c r="P49">
        <f t="shared" si="15"/>
        <v>0</v>
      </c>
      <c r="Q49">
        <f t="shared" si="16"/>
        <v>0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  <c r="X49">
        <f t="shared" si="23"/>
        <v>0</v>
      </c>
      <c r="Y49">
        <f t="shared" si="24"/>
        <v>0</v>
      </c>
      <c r="AA49">
        <v>939971440</v>
      </c>
      <c r="AB49">
        <f t="shared" si="25"/>
        <v>8911.66</v>
      </c>
      <c r="AC49">
        <f t="shared" si="48"/>
        <v>8046.45</v>
      </c>
      <c r="AD49">
        <f t="shared" si="56"/>
        <v>189.52</v>
      </c>
      <c r="AE49">
        <f t="shared" si="57"/>
        <v>38.32</v>
      </c>
      <c r="AF49">
        <f t="shared" si="58"/>
        <v>675.69</v>
      </c>
      <c r="AG49">
        <f t="shared" si="26"/>
        <v>0</v>
      </c>
      <c r="AH49">
        <f t="shared" si="59"/>
        <v>81.31</v>
      </c>
      <c r="AI49">
        <f t="shared" si="60"/>
        <v>2.93</v>
      </c>
      <c r="AJ49">
        <f t="shared" si="27"/>
        <v>0</v>
      </c>
      <c r="AK49">
        <v>8911.66</v>
      </c>
      <c r="AL49">
        <v>8046.45</v>
      </c>
      <c r="AM49">
        <v>189.52</v>
      </c>
      <c r="AN49">
        <v>38.32</v>
      </c>
      <c r="AO49">
        <v>675.69</v>
      </c>
      <c r="AP49">
        <v>0</v>
      </c>
      <c r="AQ49">
        <v>81.31</v>
      </c>
      <c r="AR49">
        <v>2.93</v>
      </c>
      <c r="AS49">
        <v>0</v>
      </c>
      <c r="AT49">
        <v>123</v>
      </c>
      <c r="AU49">
        <v>75</v>
      </c>
      <c r="AV49">
        <v>1</v>
      </c>
      <c r="AW49">
        <v>1</v>
      </c>
      <c r="AZ49">
        <v>1</v>
      </c>
      <c r="BA49">
        <v>33.46</v>
      </c>
      <c r="BB49">
        <v>12.17</v>
      </c>
      <c r="BC49">
        <v>4.72</v>
      </c>
      <c r="BH49">
        <v>0</v>
      </c>
      <c r="BI49">
        <v>1</v>
      </c>
      <c r="BJ49" t="s">
        <v>163</v>
      </c>
      <c r="BM49">
        <v>11001</v>
      </c>
      <c r="BN49">
        <v>0</v>
      </c>
      <c r="BO49" t="s">
        <v>161</v>
      </c>
      <c r="BP49">
        <v>1</v>
      </c>
      <c r="BQ49">
        <v>2</v>
      </c>
      <c r="BR49">
        <v>0</v>
      </c>
      <c r="BS49">
        <v>33.46</v>
      </c>
      <c r="BT49">
        <v>1</v>
      </c>
      <c r="BU49">
        <v>1</v>
      </c>
      <c r="BV49">
        <v>1</v>
      </c>
      <c r="BW49">
        <v>1</v>
      </c>
      <c r="BX49">
        <v>1</v>
      </c>
      <c r="BZ49">
        <v>123</v>
      </c>
      <c r="CA49">
        <v>75</v>
      </c>
      <c r="CE49">
        <v>0</v>
      </c>
      <c r="CF49">
        <v>0</v>
      </c>
      <c r="CG49">
        <v>0</v>
      </c>
      <c r="CM49">
        <v>0</v>
      </c>
      <c r="CO49">
        <v>0</v>
      </c>
      <c r="CP49">
        <f t="shared" si="28"/>
        <v>0</v>
      </c>
      <c r="CQ49">
        <f t="shared" si="29"/>
        <v>37979.243999999999</v>
      </c>
      <c r="CR49">
        <f t="shared" si="30"/>
        <v>2306.4584</v>
      </c>
      <c r="CS49">
        <f t="shared" si="31"/>
        <v>1282.1872000000001</v>
      </c>
      <c r="CT49">
        <f t="shared" si="32"/>
        <v>22608.587400000004</v>
      </c>
      <c r="CU49">
        <f t="shared" si="33"/>
        <v>0</v>
      </c>
      <c r="CV49">
        <f t="shared" si="34"/>
        <v>81.31</v>
      </c>
      <c r="CW49">
        <f t="shared" si="35"/>
        <v>2.93</v>
      </c>
      <c r="CX49">
        <f t="shared" si="36"/>
        <v>0</v>
      </c>
      <c r="CY49">
        <f t="shared" si="37"/>
        <v>0</v>
      </c>
      <c r="CZ49">
        <f t="shared" si="38"/>
        <v>0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120</v>
      </c>
      <c r="DW49" t="s">
        <v>120</v>
      </c>
      <c r="DX49">
        <v>1</v>
      </c>
      <c r="EE49">
        <v>958392103</v>
      </c>
      <c r="EF49">
        <v>2</v>
      </c>
      <c r="EG49" t="s">
        <v>111</v>
      </c>
      <c r="EH49">
        <v>0</v>
      </c>
      <c r="EJ49">
        <v>1</v>
      </c>
      <c r="EK49">
        <v>11001</v>
      </c>
      <c r="EL49" t="s">
        <v>123</v>
      </c>
      <c r="EM49" t="s">
        <v>142</v>
      </c>
      <c r="EQ49">
        <v>0</v>
      </c>
      <c r="ER49">
        <v>8911.66</v>
      </c>
      <c r="ES49">
        <v>8046.45</v>
      </c>
      <c r="ET49">
        <v>189.52</v>
      </c>
      <c r="EU49">
        <v>38.32</v>
      </c>
      <c r="EV49">
        <v>675.69</v>
      </c>
      <c r="EW49">
        <v>81.31</v>
      </c>
      <c r="EX49">
        <v>2.93</v>
      </c>
      <c r="EY49">
        <v>0</v>
      </c>
      <c r="FQ49">
        <v>0</v>
      </c>
      <c r="FR49">
        <f t="shared" si="39"/>
        <v>0</v>
      </c>
      <c r="FS49">
        <v>0</v>
      </c>
      <c r="FX49">
        <v>123</v>
      </c>
      <c r="FY49">
        <v>75</v>
      </c>
      <c r="GD49">
        <v>1</v>
      </c>
      <c r="GF49">
        <v>-1041100104</v>
      </c>
      <c r="GG49">
        <v>2</v>
      </c>
      <c r="GH49">
        <v>1</v>
      </c>
      <c r="GI49">
        <v>2</v>
      </c>
      <c r="GJ49">
        <v>0</v>
      </c>
      <c r="GK49">
        <v>0</v>
      </c>
      <c r="GL49">
        <f t="shared" si="40"/>
        <v>0</v>
      </c>
      <c r="GM49">
        <f t="shared" si="41"/>
        <v>0</v>
      </c>
      <c r="GN49">
        <f t="shared" si="42"/>
        <v>0</v>
      </c>
      <c r="GO49">
        <f t="shared" si="43"/>
        <v>0</v>
      </c>
      <c r="GP49">
        <f t="shared" si="44"/>
        <v>0</v>
      </c>
      <c r="GR49">
        <v>0</v>
      </c>
      <c r="GS49">
        <v>3</v>
      </c>
      <c r="GT49">
        <v>0</v>
      </c>
      <c r="GV49">
        <f t="shared" si="45"/>
        <v>0</v>
      </c>
      <c r="GW49">
        <v>1</v>
      </c>
      <c r="GX49">
        <f t="shared" si="46"/>
        <v>0</v>
      </c>
      <c r="HA49">
        <v>0</v>
      </c>
      <c r="HB49">
        <v>0</v>
      </c>
      <c r="HC49">
        <f t="shared" si="47"/>
        <v>0</v>
      </c>
      <c r="IK49">
        <v>0</v>
      </c>
    </row>
    <row r="50" spans="1:245" x14ac:dyDescent="0.2">
      <c r="A50">
        <v>18</v>
      </c>
      <c r="B50">
        <v>1</v>
      </c>
      <c r="C50">
        <v>98</v>
      </c>
      <c r="E50" t="s">
        <v>164</v>
      </c>
      <c r="F50" t="s">
        <v>165</v>
      </c>
      <c r="G50" t="s">
        <v>166</v>
      </c>
      <c r="H50" t="s">
        <v>17</v>
      </c>
      <c r="I50">
        <f>I48*J50</f>
        <v>0</v>
      </c>
      <c r="J50">
        <v>-102</v>
      </c>
      <c r="O50">
        <f t="shared" si="14"/>
        <v>0</v>
      </c>
      <c r="P50">
        <f t="shared" si="15"/>
        <v>0</v>
      </c>
      <c r="Q50">
        <f t="shared" si="16"/>
        <v>0</v>
      </c>
      <c r="R50">
        <f t="shared" si="17"/>
        <v>0</v>
      </c>
      <c r="S50">
        <f t="shared" si="18"/>
        <v>0</v>
      </c>
      <c r="T50">
        <f t="shared" si="19"/>
        <v>0</v>
      </c>
      <c r="U50">
        <f t="shared" si="20"/>
        <v>0</v>
      </c>
      <c r="V50">
        <f t="shared" si="21"/>
        <v>0</v>
      </c>
      <c r="W50">
        <f t="shared" si="22"/>
        <v>0</v>
      </c>
      <c r="X50">
        <f t="shared" si="23"/>
        <v>0</v>
      </c>
      <c r="Y50">
        <f t="shared" si="24"/>
        <v>0</v>
      </c>
      <c r="AA50">
        <v>939971439</v>
      </c>
      <c r="AB50">
        <f t="shared" si="25"/>
        <v>70.099999999999994</v>
      </c>
      <c r="AC50">
        <f t="shared" si="48"/>
        <v>70.099999999999994</v>
      </c>
      <c r="AD50">
        <f t="shared" si="56"/>
        <v>0</v>
      </c>
      <c r="AE50">
        <f t="shared" si="57"/>
        <v>0</v>
      </c>
      <c r="AF50">
        <f t="shared" si="58"/>
        <v>0</v>
      </c>
      <c r="AG50">
        <f t="shared" si="26"/>
        <v>0</v>
      </c>
      <c r="AH50">
        <f t="shared" si="59"/>
        <v>0</v>
      </c>
      <c r="AI50">
        <f t="shared" si="60"/>
        <v>0</v>
      </c>
      <c r="AJ50">
        <f t="shared" si="27"/>
        <v>0</v>
      </c>
      <c r="AK50">
        <v>70.099999999999994</v>
      </c>
      <c r="AL50">
        <v>70.099999999999994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123</v>
      </c>
      <c r="AU50">
        <v>75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H50">
        <v>3</v>
      </c>
      <c r="BI50">
        <v>1</v>
      </c>
      <c r="BJ50" t="s">
        <v>167</v>
      </c>
      <c r="BM50">
        <v>11001</v>
      </c>
      <c r="BN50">
        <v>0</v>
      </c>
      <c r="BP50">
        <v>0</v>
      </c>
      <c r="BQ50">
        <v>2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Z50">
        <v>123</v>
      </c>
      <c r="CA50">
        <v>75</v>
      </c>
      <c r="CE50">
        <v>0</v>
      </c>
      <c r="CF50">
        <v>0</v>
      </c>
      <c r="CG50">
        <v>0</v>
      </c>
      <c r="CM50">
        <v>0</v>
      </c>
      <c r="CO50">
        <v>0</v>
      </c>
      <c r="CP50">
        <f t="shared" si="28"/>
        <v>0</v>
      </c>
      <c r="CQ50">
        <f t="shared" si="29"/>
        <v>70.099999999999994</v>
      </c>
      <c r="CR50">
        <f t="shared" si="30"/>
        <v>0</v>
      </c>
      <c r="CS50">
        <f t="shared" si="31"/>
        <v>0</v>
      </c>
      <c r="CT50">
        <f t="shared" si="32"/>
        <v>0</v>
      </c>
      <c r="CU50">
        <f t="shared" si="33"/>
        <v>0</v>
      </c>
      <c r="CV50">
        <f t="shared" si="34"/>
        <v>0</v>
      </c>
      <c r="CW50">
        <f t="shared" si="35"/>
        <v>0</v>
      </c>
      <c r="CX50">
        <f t="shared" si="36"/>
        <v>0</v>
      </c>
      <c r="CY50">
        <f t="shared" si="37"/>
        <v>0</v>
      </c>
      <c r="CZ50">
        <f t="shared" si="38"/>
        <v>0</v>
      </c>
      <c r="DN50">
        <v>0</v>
      </c>
      <c r="DO50">
        <v>0</v>
      </c>
      <c r="DP50">
        <v>1</v>
      </c>
      <c r="DQ50">
        <v>1</v>
      </c>
      <c r="DU50">
        <v>1005</v>
      </c>
      <c r="DV50" t="s">
        <v>17</v>
      </c>
      <c r="DW50" t="s">
        <v>17</v>
      </c>
      <c r="DX50">
        <v>1</v>
      </c>
      <c r="EE50">
        <v>958392103</v>
      </c>
      <c r="EF50">
        <v>2</v>
      </c>
      <c r="EG50" t="s">
        <v>111</v>
      </c>
      <c r="EH50">
        <v>0</v>
      </c>
      <c r="EJ50">
        <v>1</v>
      </c>
      <c r="EK50">
        <v>11001</v>
      </c>
      <c r="EL50" t="s">
        <v>123</v>
      </c>
      <c r="EM50" t="s">
        <v>142</v>
      </c>
      <c r="EQ50">
        <v>0</v>
      </c>
      <c r="ER50">
        <v>70.099999999999994</v>
      </c>
      <c r="ES50">
        <v>70.099999999999994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f t="shared" si="39"/>
        <v>0</v>
      </c>
      <c r="FS50">
        <v>0</v>
      </c>
      <c r="FX50">
        <v>123</v>
      </c>
      <c r="FY50">
        <v>75</v>
      </c>
      <c r="GD50">
        <v>1</v>
      </c>
      <c r="GF50">
        <v>-1889212924</v>
      </c>
      <c r="GG50">
        <v>2</v>
      </c>
      <c r="GH50">
        <v>1</v>
      </c>
      <c r="GI50">
        <v>-2</v>
      </c>
      <c r="GJ50">
        <v>0</v>
      </c>
      <c r="GK50">
        <v>0</v>
      </c>
      <c r="GL50">
        <f t="shared" si="40"/>
        <v>0</v>
      </c>
      <c r="GM50">
        <f t="shared" si="41"/>
        <v>0</v>
      </c>
      <c r="GN50">
        <f t="shared" si="42"/>
        <v>0</v>
      </c>
      <c r="GO50">
        <f t="shared" si="43"/>
        <v>0</v>
      </c>
      <c r="GP50">
        <f t="shared" si="44"/>
        <v>0</v>
      </c>
      <c r="GR50">
        <v>0</v>
      </c>
      <c r="GS50">
        <v>3</v>
      </c>
      <c r="GT50">
        <v>0</v>
      </c>
      <c r="GV50">
        <f t="shared" si="45"/>
        <v>0</v>
      </c>
      <c r="GW50">
        <v>1</v>
      </c>
      <c r="GX50">
        <f t="shared" si="46"/>
        <v>0</v>
      </c>
      <c r="HA50">
        <v>0</v>
      </c>
      <c r="HB50">
        <v>0</v>
      </c>
      <c r="HC50">
        <f t="shared" si="47"/>
        <v>0</v>
      </c>
      <c r="IK50">
        <v>0</v>
      </c>
    </row>
    <row r="51" spans="1:245" x14ac:dyDescent="0.2">
      <c r="A51">
        <v>18</v>
      </c>
      <c r="B51">
        <v>1</v>
      </c>
      <c r="C51">
        <v>110</v>
      </c>
      <c r="E51" t="s">
        <v>164</v>
      </c>
      <c r="F51" t="s">
        <v>165</v>
      </c>
      <c r="G51" t="s">
        <v>166</v>
      </c>
      <c r="H51" t="s">
        <v>17</v>
      </c>
      <c r="I51">
        <f>I49*J51</f>
        <v>0</v>
      </c>
      <c r="J51">
        <v>-102</v>
      </c>
      <c r="O51">
        <f t="shared" si="14"/>
        <v>0</v>
      </c>
      <c r="P51">
        <f t="shared" si="15"/>
        <v>0</v>
      </c>
      <c r="Q51">
        <f t="shared" si="16"/>
        <v>0</v>
      </c>
      <c r="R51">
        <f t="shared" si="17"/>
        <v>0</v>
      </c>
      <c r="S51">
        <f t="shared" si="18"/>
        <v>0</v>
      </c>
      <c r="T51">
        <f t="shared" si="19"/>
        <v>0</v>
      </c>
      <c r="U51">
        <f t="shared" si="20"/>
        <v>0</v>
      </c>
      <c r="V51">
        <f t="shared" si="21"/>
        <v>0</v>
      </c>
      <c r="W51">
        <f t="shared" si="22"/>
        <v>0</v>
      </c>
      <c r="X51">
        <f t="shared" si="23"/>
        <v>0</v>
      </c>
      <c r="Y51">
        <f t="shared" si="24"/>
        <v>0</v>
      </c>
      <c r="AA51">
        <v>939971440</v>
      </c>
      <c r="AB51">
        <f t="shared" si="25"/>
        <v>70.099999999999994</v>
      </c>
      <c r="AC51">
        <f t="shared" si="48"/>
        <v>70.099999999999994</v>
      </c>
      <c r="AD51">
        <f t="shared" si="56"/>
        <v>0</v>
      </c>
      <c r="AE51">
        <f t="shared" si="57"/>
        <v>0</v>
      </c>
      <c r="AF51">
        <f t="shared" si="58"/>
        <v>0</v>
      </c>
      <c r="AG51">
        <f t="shared" si="26"/>
        <v>0</v>
      </c>
      <c r="AH51">
        <f t="shared" si="59"/>
        <v>0</v>
      </c>
      <c r="AI51">
        <f t="shared" si="60"/>
        <v>0</v>
      </c>
      <c r="AJ51">
        <f t="shared" si="27"/>
        <v>0</v>
      </c>
      <c r="AK51">
        <v>70.099999999999994</v>
      </c>
      <c r="AL51">
        <v>70.099999999999994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123</v>
      </c>
      <c r="AU51">
        <v>75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4.4800000000000004</v>
      </c>
      <c r="BH51">
        <v>3</v>
      </c>
      <c r="BI51">
        <v>1</v>
      </c>
      <c r="BJ51" t="s">
        <v>167</v>
      </c>
      <c r="BM51">
        <v>11001</v>
      </c>
      <c r="BN51">
        <v>0</v>
      </c>
      <c r="BO51" t="s">
        <v>165</v>
      </c>
      <c r="BP51">
        <v>1</v>
      </c>
      <c r="BQ51">
        <v>2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Z51">
        <v>123</v>
      </c>
      <c r="CA51">
        <v>75</v>
      </c>
      <c r="CE51">
        <v>0</v>
      </c>
      <c r="CF51">
        <v>0</v>
      </c>
      <c r="CG51">
        <v>0</v>
      </c>
      <c r="CM51">
        <v>0</v>
      </c>
      <c r="CO51">
        <v>0</v>
      </c>
      <c r="CP51">
        <f t="shared" si="28"/>
        <v>0</v>
      </c>
      <c r="CQ51">
        <f t="shared" si="29"/>
        <v>314.048</v>
      </c>
      <c r="CR51">
        <f t="shared" si="30"/>
        <v>0</v>
      </c>
      <c r="CS51">
        <f t="shared" si="31"/>
        <v>0</v>
      </c>
      <c r="CT51">
        <f t="shared" si="32"/>
        <v>0</v>
      </c>
      <c r="CU51">
        <f t="shared" si="33"/>
        <v>0</v>
      </c>
      <c r="CV51">
        <f t="shared" si="34"/>
        <v>0</v>
      </c>
      <c r="CW51">
        <f t="shared" si="35"/>
        <v>0</v>
      </c>
      <c r="CX51">
        <f t="shared" si="36"/>
        <v>0</v>
      </c>
      <c r="CY51">
        <f t="shared" si="37"/>
        <v>0</v>
      </c>
      <c r="CZ51">
        <f t="shared" si="38"/>
        <v>0</v>
      </c>
      <c r="DN51">
        <v>0</v>
      </c>
      <c r="DO51">
        <v>0</v>
      </c>
      <c r="DP51">
        <v>1</v>
      </c>
      <c r="DQ51">
        <v>1</v>
      </c>
      <c r="DU51">
        <v>1005</v>
      </c>
      <c r="DV51" t="s">
        <v>17</v>
      </c>
      <c r="DW51" t="s">
        <v>17</v>
      </c>
      <c r="DX51">
        <v>1</v>
      </c>
      <c r="EE51">
        <v>958392103</v>
      </c>
      <c r="EF51">
        <v>2</v>
      </c>
      <c r="EG51" t="s">
        <v>111</v>
      </c>
      <c r="EH51">
        <v>0</v>
      </c>
      <c r="EJ51">
        <v>1</v>
      </c>
      <c r="EK51">
        <v>11001</v>
      </c>
      <c r="EL51" t="s">
        <v>123</v>
      </c>
      <c r="EM51" t="s">
        <v>142</v>
      </c>
      <c r="EQ51">
        <v>0</v>
      </c>
      <c r="ER51">
        <v>70.099999999999994</v>
      </c>
      <c r="ES51">
        <v>70.099999999999994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39"/>
        <v>0</v>
      </c>
      <c r="FS51">
        <v>0</v>
      </c>
      <c r="FX51">
        <v>123</v>
      </c>
      <c r="FY51">
        <v>75</v>
      </c>
      <c r="GD51">
        <v>1</v>
      </c>
      <c r="GF51">
        <v>-1889212924</v>
      </c>
      <c r="GG51">
        <v>2</v>
      </c>
      <c r="GH51">
        <v>1</v>
      </c>
      <c r="GI51">
        <v>2</v>
      </c>
      <c r="GJ51">
        <v>0</v>
      </c>
      <c r="GK51">
        <v>0</v>
      </c>
      <c r="GL51">
        <f t="shared" si="40"/>
        <v>0</v>
      </c>
      <c r="GM51">
        <f t="shared" si="41"/>
        <v>0</v>
      </c>
      <c r="GN51">
        <f t="shared" si="42"/>
        <v>0</v>
      </c>
      <c r="GO51">
        <f t="shared" si="43"/>
        <v>0</v>
      </c>
      <c r="GP51">
        <f t="shared" si="44"/>
        <v>0</v>
      </c>
      <c r="GR51">
        <v>0</v>
      </c>
      <c r="GS51">
        <v>3</v>
      </c>
      <c r="GT51">
        <v>0</v>
      </c>
      <c r="GV51">
        <f t="shared" si="45"/>
        <v>0</v>
      </c>
      <c r="GW51">
        <v>1</v>
      </c>
      <c r="GX51">
        <f t="shared" si="46"/>
        <v>0</v>
      </c>
      <c r="HA51">
        <v>0</v>
      </c>
      <c r="HB51">
        <v>0</v>
      </c>
      <c r="HC51">
        <f t="shared" si="47"/>
        <v>0</v>
      </c>
      <c r="IK51">
        <v>0</v>
      </c>
    </row>
    <row r="52" spans="1:245" x14ac:dyDescent="0.2">
      <c r="A52">
        <v>18</v>
      </c>
      <c r="B52">
        <v>1</v>
      </c>
      <c r="C52">
        <v>97</v>
      </c>
      <c r="E52" t="s">
        <v>168</v>
      </c>
      <c r="F52" t="s">
        <v>31</v>
      </c>
      <c r="G52" t="s">
        <v>32</v>
      </c>
      <c r="H52" t="s">
        <v>20</v>
      </c>
      <c r="I52">
        <f>I48*J52</f>
        <v>0</v>
      </c>
      <c r="J52">
        <v>-1.3</v>
      </c>
      <c r="O52">
        <f t="shared" si="14"/>
        <v>0</v>
      </c>
      <c r="P52">
        <f t="shared" si="15"/>
        <v>0</v>
      </c>
      <c r="Q52">
        <f t="shared" si="16"/>
        <v>0</v>
      </c>
      <c r="R52">
        <f t="shared" si="17"/>
        <v>0</v>
      </c>
      <c r="S52">
        <f t="shared" si="18"/>
        <v>0</v>
      </c>
      <c r="T52">
        <f t="shared" si="19"/>
        <v>0</v>
      </c>
      <c r="U52">
        <f t="shared" si="20"/>
        <v>0</v>
      </c>
      <c r="V52">
        <f t="shared" si="21"/>
        <v>0</v>
      </c>
      <c r="W52">
        <f t="shared" si="22"/>
        <v>0</v>
      </c>
      <c r="X52">
        <f t="shared" si="23"/>
        <v>0</v>
      </c>
      <c r="Y52">
        <f t="shared" si="24"/>
        <v>0</v>
      </c>
      <c r="AA52">
        <v>939971439</v>
      </c>
      <c r="AB52">
        <f t="shared" si="25"/>
        <v>600</v>
      </c>
      <c r="AC52">
        <f t="shared" si="48"/>
        <v>600</v>
      </c>
      <c r="AD52">
        <f t="shared" si="56"/>
        <v>0</v>
      </c>
      <c r="AE52">
        <f t="shared" si="57"/>
        <v>0</v>
      </c>
      <c r="AF52">
        <f t="shared" si="58"/>
        <v>0</v>
      </c>
      <c r="AG52">
        <f t="shared" si="26"/>
        <v>0</v>
      </c>
      <c r="AH52">
        <f t="shared" si="59"/>
        <v>0</v>
      </c>
      <c r="AI52">
        <f t="shared" si="60"/>
        <v>0</v>
      </c>
      <c r="AJ52">
        <f t="shared" si="27"/>
        <v>0</v>
      </c>
      <c r="AK52">
        <v>600</v>
      </c>
      <c r="AL52">
        <v>600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123</v>
      </c>
      <c r="AU52">
        <v>75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</v>
      </c>
      <c r="BH52">
        <v>3</v>
      </c>
      <c r="BI52">
        <v>1</v>
      </c>
      <c r="BJ52" t="s">
        <v>169</v>
      </c>
      <c r="BM52">
        <v>11001</v>
      </c>
      <c r="BN52">
        <v>0</v>
      </c>
      <c r="BP52">
        <v>0</v>
      </c>
      <c r="BQ52">
        <v>2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Z52">
        <v>123</v>
      </c>
      <c r="CA52">
        <v>75</v>
      </c>
      <c r="CE52">
        <v>0</v>
      </c>
      <c r="CF52">
        <v>0</v>
      </c>
      <c r="CG52">
        <v>0</v>
      </c>
      <c r="CM52">
        <v>0</v>
      </c>
      <c r="CO52">
        <v>0</v>
      </c>
      <c r="CP52">
        <f t="shared" si="28"/>
        <v>0</v>
      </c>
      <c r="CQ52">
        <f t="shared" si="29"/>
        <v>600</v>
      </c>
      <c r="CR52">
        <f t="shared" si="30"/>
        <v>0</v>
      </c>
      <c r="CS52">
        <f t="shared" si="31"/>
        <v>0</v>
      </c>
      <c r="CT52">
        <f t="shared" si="32"/>
        <v>0</v>
      </c>
      <c r="CU52">
        <f t="shared" si="33"/>
        <v>0</v>
      </c>
      <c r="CV52">
        <f t="shared" si="34"/>
        <v>0</v>
      </c>
      <c r="CW52">
        <f t="shared" si="35"/>
        <v>0</v>
      </c>
      <c r="CX52">
        <f t="shared" si="36"/>
        <v>0</v>
      </c>
      <c r="CY52">
        <f t="shared" si="37"/>
        <v>0</v>
      </c>
      <c r="CZ52">
        <f t="shared" si="38"/>
        <v>0</v>
      </c>
      <c r="DN52">
        <v>0</v>
      </c>
      <c r="DO52">
        <v>0</v>
      </c>
      <c r="DP52">
        <v>1</v>
      </c>
      <c r="DQ52">
        <v>1</v>
      </c>
      <c r="DU52">
        <v>1007</v>
      </c>
      <c r="DV52" t="s">
        <v>20</v>
      </c>
      <c r="DW52" t="s">
        <v>20</v>
      </c>
      <c r="DX52">
        <v>1</v>
      </c>
      <c r="EE52">
        <v>958392103</v>
      </c>
      <c r="EF52">
        <v>2</v>
      </c>
      <c r="EG52" t="s">
        <v>111</v>
      </c>
      <c r="EH52">
        <v>0</v>
      </c>
      <c r="EJ52">
        <v>1</v>
      </c>
      <c r="EK52">
        <v>11001</v>
      </c>
      <c r="EL52" t="s">
        <v>123</v>
      </c>
      <c r="EM52" t="s">
        <v>142</v>
      </c>
      <c r="EQ52">
        <v>0</v>
      </c>
      <c r="ER52">
        <v>600</v>
      </c>
      <c r="ES52">
        <v>600</v>
      </c>
      <c r="ET52">
        <v>0</v>
      </c>
      <c r="EU52">
        <v>0</v>
      </c>
      <c r="EV52">
        <v>0</v>
      </c>
      <c r="EW52">
        <v>0</v>
      </c>
      <c r="EX52">
        <v>0</v>
      </c>
      <c r="FQ52">
        <v>0</v>
      </c>
      <c r="FR52">
        <f t="shared" si="39"/>
        <v>0</v>
      </c>
      <c r="FS52">
        <v>0</v>
      </c>
      <c r="FX52">
        <v>123</v>
      </c>
      <c r="FY52">
        <v>75</v>
      </c>
      <c r="GD52">
        <v>1</v>
      </c>
      <c r="GF52">
        <v>-672371193</v>
      </c>
      <c r="GG52">
        <v>2</v>
      </c>
      <c r="GH52">
        <v>1</v>
      </c>
      <c r="GI52">
        <v>-2</v>
      </c>
      <c r="GJ52">
        <v>0</v>
      </c>
      <c r="GK52">
        <v>0</v>
      </c>
      <c r="GL52">
        <f t="shared" si="40"/>
        <v>0</v>
      </c>
      <c r="GM52">
        <f t="shared" si="41"/>
        <v>0</v>
      </c>
      <c r="GN52">
        <f t="shared" si="42"/>
        <v>0</v>
      </c>
      <c r="GO52">
        <f t="shared" si="43"/>
        <v>0</v>
      </c>
      <c r="GP52">
        <f t="shared" si="44"/>
        <v>0</v>
      </c>
      <c r="GR52">
        <v>0</v>
      </c>
      <c r="GS52">
        <v>3</v>
      </c>
      <c r="GT52">
        <v>0</v>
      </c>
      <c r="GV52">
        <f t="shared" si="45"/>
        <v>0</v>
      </c>
      <c r="GW52">
        <v>1</v>
      </c>
      <c r="GX52">
        <f t="shared" si="46"/>
        <v>0</v>
      </c>
      <c r="HA52">
        <v>0</v>
      </c>
      <c r="HB52">
        <v>0</v>
      </c>
      <c r="HC52">
        <f t="shared" si="47"/>
        <v>0</v>
      </c>
      <c r="IK52">
        <v>0</v>
      </c>
    </row>
    <row r="53" spans="1:245" x14ac:dyDescent="0.2">
      <c r="A53">
        <v>18</v>
      </c>
      <c r="B53">
        <v>1</v>
      </c>
      <c r="C53">
        <v>109</v>
      </c>
      <c r="E53" t="s">
        <v>168</v>
      </c>
      <c r="F53" t="s">
        <v>31</v>
      </c>
      <c r="G53" t="s">
        <v>32</v>
      </c>
      <c r="H53" t="s">
        <v>20</v>
      </c>
      <c r="I53">
        <f>I49*J53</f>
        <v>0</v>
      </c>
      <c r="J53">
        <v>-1.3</v>
      </c>
      <c r="O53">
        <f t="shared" si="14"/>
        <v>0</v>
      </c>
      <c r="P53">
        <f t="shared" si="15"/>
        <v>0</v>
      </c>
      <c r="Q53">
        <f t="shared" si="16"/>
        <v>0</v>
      </c>
      <c r="R53">
        <f t="shared" si="17"/>
        <v>0</v>
      </c>
      <c r="S53">
        <f t="shared" si="18"/>
        <v>0</v>
      </c>
      <c r="T53">
        <f t="shared" si="19"/>
        <v>0</v>
      </c>
      <c r="U53">
        <f t="shared" si="20"/>
        <v>0</v>
      </c>
      <c r="V53">
        <f t="shared" si="21"/>
        <v>0</v>
      </c>
      <c r="W53">
        <f t="shared" si="22"/>
        <v>0</v>
      </c>
      <c r="X53">
        <f t="shared" si="23"/>
        <v>0</v>
      </c>
      <c r="Y53">
        <f t="shared" si="24"/>
        <v>0</v>
      </c>
      <c r="AA53">
        <v>939971440</v>
      </c>
      <c r="AB53">
        <f t="shared" si="25"/>
        <v>600</v>
      </c>
      <c r="AC53">
        <f t="shared" si="48"/>
        <v>600</v>
      </c>
      <c r="AD53">
        <f t="shared" si="56"/>
        <v>0</v>
      </c>
      <c r="AE53">
        <f t="shared" si="57"/>
        <v>0</v>
      </c>
      <c r="AF53">
        <f t="shared" si="58"/>
        <v>0</v>
      </c>
      <c r="AG53">
        <f t="shared" si="26"/>
        <v>0</v>
      </c>
      <c r="AH53">
        <f t="shared" si="59"/>
        <v>0</v>
      </c>
      <c r="AI53">
        <f t="shared" si="60"/>
        <v>0</v>
      </c>
      <c r="AJ53">
        <f t="shared" si="27"/>
        <v>0</v>
      </c>
      <c r="AK53">
        <v>600</v>
      </c>
      <c r="AL53">
        <v>600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123</v>
      </c>
      <c r="AU53">
        <v>75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5.89</v>
      </c>
      <c r="BH53">
        <v>3</v>
      </c>
      <c r="BI53">
        <v>1</v>
      </c>
      <c r="BJ53" t="s">
        <v>169</v>
      </c>
      <c r="BM53">
        <v>11001</v>
      </c>
      <c r="BN53">
        <v>0</v>
      </c>
      <c r="BO53" t="s">
        <v>31</v>
      </c>
      <c r="BP53">
        <v>1</v>
      </c>
      <c r="BQ53">
        <v>2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Z53">
        <v>123</v>
      </c>
      <c r="CA53">
        <v>75</v>
      </c>
      <c r="CE53">
        <v>0</v>
      </c>
      <c r="CF53">
        <v>0</v>
      </c>
      <c r="CG53">
        <v>0</v>
      </c>
      <c r="CM53">
        <v>0</v>
      </c>
      <c r="CO53">
        <v>0</v>
      </c>
      <c r="CP53">
        <f t="shared" si="28"/>
        <v>0</v>
      </c>
      <c r="CQ53">
        <f t="shared" si="29"/>
        <v>3534</v>
      </c>
      <c r="CR53">
        <f t="shared" si="30"/>
        <v>0</v>
      </c>
      <c r="CS53">
        <f t="shared" si="31"/>
        <v>0</v>
      </c>
      <c r="CT53">
        <f t="shared" si="32"/>
        <v>0</v>
      </c>
      <c r="CU53">
        <f t="shared" si="33"/>
        <v>0</v>
      </c>
      <c r="CV53">
        <f t="shared" si="34"/>
        <v>0</v>
      </c>
      <c r="CW53">
        <f t="shared" si="35"/>
        <v>0</v>
      </c>
      <c r="CX53">
        <f t="shared" si="36"/>
        <v>0</v>
      </c>
      <c r="CY53">
        <f t="shared" si="37"/>
        <v>0</v>
      </c>
      <c r="CZ53">
        <f t="shared" si="38"/>
        <v>0</v>
      </c>
      <c r="DN53">
        <v>0</v>
      </c>
      <c r="DO53">
        <v>0</v>
      </c>
      <c r="DP53">
        <v>1</v>
      </c>
      <c r="DQ53">
        <v>1</v>
      </c>
      <c r="DU53">
        <v>1007</v>
      </c>
      <c r="DV53" t="s">
        <v>20</v>
      </c>
      <c r="DW53" t="s">
        <v>20</v>
      </c>
      <c r="DX53">
        <v>1</v>
      </c>
      <c r="EE53">
        <v>958392103</v>
      </c>
      <c r="EF53">
        <v>2</v>
      </c>
      <c r="EG53" t="s">
        <v>111</v>
      </c>
      <c r="EH53">
        <v>0</v>
      </c>
      <c r="EJ53">
        <v>1</v>
      </c>
      <c r="EK53">
        <v>11001</v>
      </c>
      <c r="EL53" t="s">
        <v>123</v>
      </c>
      <c r="EM53" t="s">
        <v>142</v>
      </c>
      <c r="EQ53">
        <v>0</v>
      </c>
      <c r="ER53">
        <v>600</v>
      </c>
      <c r="ES53">
        <v>600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f t="shared" si="39"/>
        <v>0</v>
      </c>
      <c r="FS53">
        <v>0</v>
      </c>
      <c r="FX53">
        <v>123</v>
      </c>
      <c r="FY53">
        <v>75</v>
      </c>
      <c r="GD53">
        <v>1</v>
      </c>
      <c r="GF53">
        <v>-672371193</v>
      </c>
      <c r="GG53">
        <v>2</v>
      </c>
      <c r="GH53">
        <v>1</v>
      </c>
      <c r="GI53">
        <v>2</v>
      </c>
      <c r="GJ53">
        <v>0</v>
      </c>
      <c r="GK53">
        <v>0</v>
      </c>
      <c r="GL53">
        <f t="shared" si="40"/>
        <v>0</v>
      </c>
      <c r="GM53">
        <f t="shared" si="41"/>
        <v>0</v>
      </c>
      <c r="GN53">
        <f t="shared" si="42"/>
        <v>0</v>
      </c>
      <c r="GO53">
        <f t="shared" si="43"/>
        <v>0</v>
      </c>
      <c r="GP53">
        <f t="shared" si="44"/>
        <v>0</v>
      </c>
      <c r="GR53">
        <v>0</v>
      </c>
      <c r="GS53">
        <v>3</v>
      </c>
      <c r="GT53">
        <v>0</v>
      </c>
      <c r="GV53">
        <f t="shared" si="45"/>
        <v>0</v>
      </c>
      <c r="GW53">
        <v>1</v>
      </c>
      <c r="GX53">
        <f t="shared" si="46"/>
        <v>0</v>
      </c>
      <c r="HA53">
        <v>0</v>
      </c>
      <c r="HB53">
        <v>0</v>
      </c>
      <c r="HC53">
        <f t="shared" si="47"/>
        <v>0</v>
      </c>
      <c r="IK53">
        <v>0</v>
      </c>
    </row>
    <row r="54" spans="1:245" x14ac:dyDescent="0.2">
      <c r="A54">
        <v>18</v>
      </c>
      <c r="B54">
        <v>1</v>
      </c>
      <c r="C54">
        <v>95</v>
      </c>
      <c r="E54" t="s">
        <v>170</v>
      </c>
      <c r="F54" t="s">
        <v>171</v>
      </c>
      <c r="G54" t="s">
        <v>172</v>
      </c>
      <c r="H54" t="s">
        <v>26</v>
      </c>
      <c r="I54">
        <f>I48*J54</f>
        <v>0</v>
      </c>
      <c r="J54">
        <v>0.45</v>
      </c>
      <c r="O54">
        <f t="shared" si="14"/>
        <v>0</v>
      </c>
      <c r="P54">
        <f t="shared" si="15"/>
        <v>0</v>
      </c>
      <c r="Q54">
        <f t="shared" si="16"/>
        <v>0</v>
      </c>
      <c r="R54">
        <f t="shared" si="17"/>
        <v>0</v>
      </c>
      <c r="S54">
        <f t="shared" si="18"/>
        <v>0</v>
      </c>
      <c r="T54">
        <f t="shared" si="19"/>
        <v>0</v>
      </c>
      <c r="U54">
        <f t="shared" si="20"/>
        <v>0</v>
      </c>
      <c r="V54">
        <f t="shared" si="21"/>
        <v>0</v>
      </c>
      <c r="W54">
        <f t="shared" si="22"/>
        <v>0</v>
      </c>
      <c r="X54">
        <f t="shared" si="23"/>
        <v>0</v>
      </c>
      <c r="Y54">
        <f t="shared" si="24"/>
        <v>0</v>
      </c>
      <c r="AA54">
        <v>939971439</v>
      </c>
      <c r="AB54">
        <f t="shared" si="25"/>
        <v>6256.66</v>
      </c>
      <c r="AC54">
        <f t="shared" si="48"/>
        <v>6256.66</v>
      </c>
      <c r="AD54">
        <f t="shared" si="56"/>
        <v>0</v>
      </c>
      <c r="AE54">
        <f t="shared" si="57"/>
        <v>0</v>
      </c>
      <c r="AF54">
        <f t="shared" si="58"/>
        <v>0</v>
      </c>
      <c r="AG54">
        <f t="shared" si="26"/>
        <v>0</v>
      </c>
      <c r="AH54">
        <f t="shared" si="59"/>
        <v>0</v>
      </c>
      <c r="AI54">
        <f t="shared" si="60"/>
        <v>0</v>
      </c>
      <c r="AJ54">
        <f t="shared" si="27"/>
        <v>34.51</v>
      </c>
      <c r="AK54">
        <v>6256.66</v>
      </c>
      <c r="AL54">
        <v>6256.66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34.51</v>
      </c>
      <c r="AT54">
        <v>123</v>
      </c>
      <c r="AU54">
        <v>75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H54">
        <v>3</v>
      </c>
      <c r="BI54">
        <v>1</v>
      </c>
      <c r="BJ54" t="s">
        <v>173</v>
      </c>
      <c r="BM54">
        <v>11001</v>
      </c>
      <c r="BN54">
        <v>0</v>
      </c>
      <c r="BP54">
        <v>0</v>
      </c>
      <c r="BQ54">
        <v>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Z54">
        <v>123</v>
      </c>
      <c r="CA54">
        <v>75</v>
      </c>
      <c r="CE54">
        <v>0</v>
      </c>
      <c r="CF54">
        <v>0</v>
      </c>
      <c r="CG54">
        <v>0</v>
      </c>
      <c r="CM54">
        <v>0</v>
      </c>
      <c r="CO54">
        <v>0</v>
      </c>
      <c r="CP54">
        <f t="shared" si="28"/>
        <v>0</v>
      </c>
      <c r="CQ54">
        <f t="shared" si="29"/>
        <v>6256.66</v>
      </c>
      <c r="CR54">
        <f t="shared" si="30"/>
        <v>0</v>
      </c>
      <c r="CS54">
        <f t="shared" si="31"/>
        <v>0</v>
      </c>
      <c r="CT54">
        <f t="shared" si="32"/>
        <v>0</v>
      </c>
      <c r="CU54">
        <f t="shared" si="33"/>
        <v>0</v>
      </c>
      <c r="CV54">
        <f t="shared" si="34"/>
        <v>0</v>
      </c>
      <c r="CW54">
        <f t="shared" si="35"/>
        <v>0</v>
      </c>
      <c r="CX54">
        <f t="shared" si="36"/>
        <v>34.51</v>
      </c>
      <c r="CY54">
        <f t="shared" si="37"/>
        <v>0</v>
      </c>
      <c r="CZ54">
        <f t="shared" si="38"/>
        <v>0</v>
      </c>
      <c r="DN54">
        <v>0</v>
      </c>
      <c r="DO54">
        <v>0</v>
      </c>
      <c r="DP54">
        <v>1</v>
      </c>
      <c r="DQ54">
        <v>1</v>
      </c>
      <c r="DU54">
        <v>39568864</v>
      </c>
      <c r="DV54" t="s">
        <v>26</v>
      </c>
      <c r="DW54" t="s">
        <v>26</v>
      </c>
      <c r="DX54">
        <v>1000</v>
      </c>
      <c r="EE54">
        <v>958392103</v>
      </c>
      <c r="EF54">
        <v>2</v>
      </c>
      <c r="EG54" t="s">
        <v>111</v>
      </c>
      <c r="EH54">
        <v>0</v>
      </c>
      <c r="EJ54">
        <v>1</v>
      </c>
      <c r="EK54">
        <v>11001</v>
      </c>
      <c r="EL54" t="s">
        <v>123</v>
      </c>
      <c r="EM54" t="s">
        <v>142</v>
      </c>
      <c r="EQ54">
        <v>0</v>
      </c>
      <c r="ER54">
        <v>6256.66</v>
      </c>
      <c r="ES54">
        <v>6256.66</v>
      </c>
      <c r="ET54">
        <v>0</v>
      </c>
      <c r="EU54">
        <v>0</v>
      </c>
      <c r="EV54">
        <v>0</v>
      </c>
      <c r="EW54">
        <v>0</v>
      </c>
      <c r="EX54">
        <v>0</v>
      </c>
      <c r="FQ54">
        <v>0</v>
      </c>
      <c r="FR54">
        <f t="shared" si="39"/>
        <v>0</v>
      </c>
      <c r="FS54">
        <v>0</v>
      </c>
      <c r="FX54">
        <v>123</v>
      </c>
      <c r="FY54">
        <v>75</v>
      </c>
      <c r="GD54">
        <v>1</v>
      </c>
      <c r="GF54">
        <v>962115972</v>
      </c>
      <c r="GG54">
        <v>2</v>
      </c>
      <c r="GH54">
        <v>1</v>
      </c>
      <c r="GI54">
        <v>-2</v>
      </c>
      <c r="GJ54">
        <v>0</v>
      </c>
      <c r="GK54">
        <v>0</v>
      </c>
      <c r="GL54">
        <f t="shared" si="40"/>
        <v>0</v>
      </c>
      <c r="GM54">
        <f t="shared" si="41"/>
        <v>0</v>
      </c>
      <c r="GN54">
        <f t="shared" si="42"/>
        <v>0</v>
      </c>
      <c r="GO54">
        <f t="shared" si="43"/>
        <v>0</v>
      </c>
      <c r="GP54">
        <f t="shared" si="44"/>
        <v>0</v>
      </c>
      <c r="GR54">
        <v>0</v>
      </c>
      <c r="GS54">
        <v>3</v>
      </c>
      <c r="GT54">
        <v>0</v>
      </c>
      <c r="GV54">
        <f t="shared" si="45"/>
        <v>0</v>
      </c>
      <c r="GW54">
        <v>1</v>
      </c>
      <c r="GX54">
        <f t="shared" si="46"/>
        <v>0</v>
      </c>
      <c r="HA54">
        <v>0</v>
      </c>
      <c r="HB54">
        <v>0</v>
      </c>
      <c r="HC54">
        <f t="shared" si="47"/>
        <v>0</v>
      </c>
      <c r="IK54">
        <v>0</v>
      </c>
    </row>
    <row r="55" spans="1:245" x14ac:dyDescent="0.2">
      <c r="A55">
        <v>18</v>
      </c>
      <c r="B55">
        <v>1</v>
      </c>
      <c r="C55">
        <v>107</v>
      </c>
      <c r="E55" t="s">
        <v>170</v>
      </c>
      <c r="F55" t="s">
        <v>171</v>
      </c>
      <c r="G55" t="s">
        <v>172</v>
      </c>
      <c r="H55" t="s">
        <v>26</v>
      </c>
      <c r="I55">
        <f>I49*J55</f>
        <v>0</v>
      </c>
      <c r="J55">
        <v>0.45</v>
      </c>
      <c r="O55">
        <f t="shared" si="14"/>
        <v>0</v>
      </c>
      <c r="P55">
        <f t="shared" si="15"/>
        <v>0</v>
      </c>
      <c r="Q55">
        <f t="shared" si="16"/>
        <v>0</v>
      </c>
      <c r="R55">
        <f t="shared" si="17"/>
        <v>0</v>
      </c>
      <c r="S55">
        <f t="shared" si="18"/>
        <v>0</v>
      </c>
      <c r="T55">
        <f t="shared" si="19"/>
        <v>0</v>
      </c>
      <c r="U55">
        <f t="shared" si="20"/>
        <v>0</v>
      </c>
      <c r="V55">
        <f t="shared" si="21"/>
        <v>0</v>
      </c>
      <c r="W55">
        <f t="shared" si="22"/>
        <v>0</v>
      </c>
      <c r="X55">
        <f t="shared" si="23"/>
        <v>0</v>
      </c>
      <c r="Y55">
        <f t="shared" si="24"/>
        <v>0</v>
      </c>
      <c r="AA55">
        <v>939971440</v>
      </c>
      <c r="AB55">
        <f t="shared" si="25"/>
        <v>6256.66</v>
      </c>
      <c r="AC55">
        <f t="shared" si="48"/>
        <v>6256.66</v>
      </c>
      <c r="AD55">
        <f t="shared" si="56"/>
        <v>0</v>
      </c>
      <c r="AE55">
        <f t="shared" si="57"/>
        <v>0</v>
      </c>
      <c r="AF55">
        <f t="shared" si="58"/>
        <v>0</v>
      </c>
      <c r="AG55">
        <f t="shared" si="26"/>
        <v>0</v>
      </c>
      <c r="AH55">
        <f t="shared" si="59"/>
        <v>0</v>
      </c>
      <c r="AI55">
        <f t="shared" si="60"/>
        <v>0</v>
      </c>
      <c r="AJ55">
        <f t="shared" si="27"/>
        <v>34.51</v>
      </c>
      <c r="AK55">
        <v>6256.66</v>
      </c>
      <c r="AL55">
        <v>6256.66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34.51</v>
      </c>
      <c r="AT55">
        <v>123</v>
      </c>
      <c r="AU55">
        <v>75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4</v>
      </c>
      <c r="BH55">
        <v>3</v>
      </c>
      <c r="BI55">
        <v>1</v>
      </c>
      <c r="BJ55" t="s">
        <v>173</v>
      </c>
      <c r="BM55">
        <v>11001</v>
      </c>
      <c r="BN55">
        <v>0</v>
      </c>
      <c r="BO55" t="s">
        <v>171</v>
      </c>
      <c r="BP55">
        <v>1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Z55">
        <v>123</v>
      </c>
      <c r="CA55">
        <v>75</v>
      </c>
      <c r="CE55">
        <v>0</v>
      </c>
      <c r="CF55">
        <v>0</v>
      </c>
      <c r="CG55">
        <v>0</v>
      </c>
      <c r="CM55">
        <v>0</v>
      </c>
      <c r="CO55">
        <v>0</v>
      </c>
      <c r="CP55">
        <f t="shared" si="28"/>
        <v>0</v>
      </c>
      <c r="CQ55">
        <f t="shared" si="29"/>
        <v>25026.639999999999</v>
      </c>
      <c r="CR55">
        <f t="shared" si="30"/>
        <v>0</v>
      </c>
      <c r="CS55">
        <f t="shared" si="31"/>
        <v>0</v>
      </c>
      <c r="CT55">
        <f t="shared" si="32"/>
        <v>0</v>
      </c>
      <c r="CU55">
        <f t="shared" si="33"/>
        <v>0</v>
      </c>
      <c r="CV55">
        <f t="shared" si="34"/>
        <v>0</v>
      </c>
      <c r="CW55">
        <f t="shared" si="35"/>
        <v>0</v>
      </c>
      <c r="CX55">
        <f t="shared" si="36"/>
        <v>34.51</v>
      </c>
      <c r="CY55">
        <f t="shared" si="37"/>
        <v>0</v>
      </c>
      <c r="CZ55">
        <f t="shared" si="38"/>
        <v>0</v>
      </c>
      <c r="DN55">
        <v>0</v>
      </c>
      <c r="DO55">
        <v>0</v>
      </c>
      <c r="DP55">
        <v>1</v>
      </c>
      <c r="DQ55">
        <v>1</v>
      </c>
      <c r="DU55">
        <v>39568864</v>
      </c>
      <c r="DV55" t="s">
        <v>26</v>
      </c>
      <c r="DW55" t="s">
        <v>26</v>
      </c>
      <c r="DX55">
        <v>1000</v>
      </c>
      <c r="EE55">
        <v>958392103</v>
      </c>
      <c r="EF55">
        <v>2</v>
      </c>
      <c r="EG55" t="s">
        <v>111</v>
      </c>
      <c r="EH55">
        <v>0</v>
      </c>
      <c r="EJ55">
        <v>1</v>
      </c>
      <c r="EK55">
        <v>11001</v>
      </c>
      <c r="EL55" t="s">
        <v>123</v>
      </c>
      <c r="EM55" t="s">
        <v>142</v>
      </c>
      <c r="EQ55">
        <v>0</v>
      </c>
      <c r="ER55">
        <v>6256.66</v>
      </c>
      <c r="ES55">
        <v>6256.66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39"/>
        <v>0</v>
      </c>
      <c r="FS55">
        <v>0</v>
      </c>
      <c r="FX55">
        <v>123</v>
      </c>
      <c r="FY55">
        <v>75</v>
      </c>
      <c r="GD55">
        <v>1</v>
      </c>
      <c r="GF55">
        <v>962115972</v>
      </c>
      <c r="GG55">
        <v>2</v>
      </c>
      <c r="GH55">
        <v>1</v>
      </c>
      <c r="GI55">
        <v>2</v>
      </c>
      <c r="GJ55">
        <v>0</v>
      </c>
      <c r="GK55">
        <v>0</v>
      </c>
      <c r="GL55">
        <f t="shared" si="40"/>
        <v>0</v>
      </c>
      <c r="GM55">
        <f t="shared" si="41"/>
        <v>0</v>
      </c>
      <c r="GN55">
        <f t="shared" si="42"/>
        <v>0</v>
      </c>
      <c r="GO55">
        <f t="shared" si="43"/>
        <v>0</v>
      </c>
      <c r="GP55">
        <f t="shared" si="44"/>
        <v>0</v>
      </c>
      <c r="GR55">
        <v>0</v>
      </c>
      <c r="GS55">
        <v>3</v>
      </c>
      <c r="GT55">
        <v>0</v>
      </c>
      <c r="GV55">
        <f t="shared" si="45"/>
        <v>0</v>
      </c>
      <c r="GW55">
        <v>1</v>
      </c>
      <c r="GX55">
        <f t="shared" si="46"/>
        <v>0</v>
      </c>
      <c r="HA55">
        <v>0</v>
      </c>
      <c r="HB55">
        <v>0</v>
      </c>
      <c r="HC55">
        <f t="shared" si="47"/>
        <v>0</v>
      </c>
      <c r="IK55">
        <v>0</v>
      </c>
    </row>
    <row r="56" spans="1:245" x14ac:dyDescent="0.2">
      <c r="A56">
        <v>18</v>
      </c>
      <c r="B56">
        <v>1</v>
      </c>
      <c r="C56">
        <v>99</v>
      </c>
      <c r="E56" t="s">
        <v>174</v>
      </c>
      <c r="F56" t="s">
        <v>175</v>
      </c>
      <c r="G56" t="s">
        <v>176</v>
      </c>
      <c r="H56" t="s">
        <v>17</v>
      </c>
      <c r="I56">
        <f>I48*J56</f>
        <v>0</v>
      </c>
      <c r="J56">
        <v>102</v>
      </c>
      <c r="O56">
        <f t="shared" si="14"/>
        <v>0</v>
      </c>
      <c r="P56">
        <f t="shared" si="15"/>
        <v>0</v>
      </c>
      <c r="Q56">
        <f t="shared" si="16"/>
        <v>0</v>
      </c>
      <c r="R56">
        <f t="shared" si="17"/>
        <v>0</v>
      </c>
      <c r="S56">
        <f t="shared" si="18"/>
        <v>0</v>
      </c>
      <c r="T56">
        <f t="shared" si="19"/>
        <v>0</v>
      </c>
      <c r="U56">
        <f t="shared" si="20"/>
        <v>0</v>
      </c>
      <c r="V56">
        <f t="shared" si="21"/>
        <v>0</v>
      </c>
      <c r="W56">
        <f t="shared" si="22"/>
        <v>0</v>
      </c>
      <c r="X56">
        <f t="shared" si="23"/>
        <v>0</v>
      </c>
      <c r="Y56">
        <f t="shared" si="24"/>
        <v>0</v>
      </c>
      <c r="AA56">
        <v>939971439</v>
      </c>
      <c r="AB56">
        <f t="shared" si="25"/>
        <v>78.58</v>
      </c>
      <c r="AC56">
        <f t="shared" si="48"/>
        <v>78.58</v>
      </c>
      <c r="AD56">
        <f t="shared" si="56"/>
        <v>0</v>
      </c>
      <c r="AE56">
        <f t="shared" si="57"/>
        <v>0</v>
      </c>
      <c r="AF56">
        <f t="shared" si="58"/>
        <v>0</v>
      </c>
      <c r="AG56">
        <f t="shared" si="26"/>
        <v>0</v>
      </c>
      <c r="AH56">
        <f t="shared" si="59"/>
        <v>0</v>
      </c>
      <c r="AI56">
        <f t="shared" si="60"/>
        <v>0</v>
      </c>
      <c r="AJ56">
        <f t="shared" si="27"/>
        <v>1.0900000000000001</v>
      </c>
      <c r="AK56">
        <v>78.58</v>
      </c>
      <c r="AL56">
        <v>78.58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1.0900000000000001</v>
      </c>
      <c r="AT56">
        <v>123</v>
      </c>
      <c r="AU56">
        <v>75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H56">
        <v>3</v>
      </c>
      <c r="BI56">
        <v>1</v>
      </c>
      <c r="BJ56" t="s">
        <v>177</v>
      </c>
      <c r="BM56">
        <v>11001</v>
      </c>
      <c r="BN56">
        <v>0</v>
      </c>
      <c r="BP56">
        <v>0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Z56">
        <v>123</v>
      </c>
      <c r="CA56">
        <v>75</v>
      </c>
      <c r="CE56">
        <v>0</v>
      </c>
      <c r="CF56">
        <v>0</v>
      </c>
      <c r="CG56">
        <v>0</v>
      </c>
      <c r="CM56">
        <v>0</v>
      </c>
      <c r="CO56">
        <v>0</v>
      </c>
      <c r="CP56">
        <f t="shared" si="28"/>
        <v>0</v>
      </c>
      <c r="CQ56">
        <f t="shared" si="29"/>
        <v>78.58</v>
      </c>
      <c r="CR56">
        <f t="shared" si="30"/>
        <v>0</v>
      </c>
      <c r="CS56">
        <f t="shared" si="31"/>
        <v>0</v>
      </c>
      <c r="CT56">
        <f t="shared" si="32"/>
        <v>0</v>
      </c>
      <c r="CU56">
        <f t="shared" si="33"/>
        <v>0</v>
      </c>
      <c r="CV56">
        <f t="shared" si="34"/>
        <v>0</v>
      </c>
      <c r="CW56">
        <f t="shared" si="35"/>
        <v>0</v>
      </c>
      <c r="CX56">
        <f t="shared" si="36"/>
        <v>1.0900000000000001</v>
      </c>
      <c r="CY56">
        <f t="shared" si="37"/>
        <v>0</v>
      </c>
      <c r="CZ56">
        <f t="shared" si="38"/>
        <v>0</v>
      </c>
      <c r="DN56">
        <v>0</v>
      </c>
      <c r="DO56">
        <v>0</v>
      </c>
      <c r="DP56">
        <v>1</v>
      </c>
      <c r="DQ56">
        <v>1</v>
      </c>
      <c r="DU56">
        <v>1005</v>
      </c>
      <c r="DV56" t="s">
        <v>17</v>
      </c>
      <c r="DW56" t="s">
        <v>17</v>
      </c>
      <c r="DX56">
        <v>1</v>
      </c>
      <c r="EE56">
        <v>958392103</v>
      </c>
      <c r="EF56">
        <v>2</v>
      </c>
      <c r="EG56" t="s">
        <v>111</v>
      </c>
      <c r="EH56">
        <v>0</v>
      </c>
      <c r="EJ56">
        <v>1</v>
      </c>
      <c r="EK56">
        <v>11001</v>
      </c>
      <c r="EL56" t="s">
        <v>123</v>
      </c>
      <c r="EM56" t="s">
        <v>142</v>
      </c>
      <c r="EQ56">
        <v>0</v>
      </c>
      <c r="ER56">
        <v>78.58</v>
      </c>
      <c r="ES56">
        <v>78.58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f t="shared" si="39"/>
        <v>0</v>
      </c>
      <c r="FS56">
        <v>0</v>
      </c>
      <c r="FX56">
        <v>123</v>
      </c>
      <c r="FY56">
        <v>75</v>
      </c>
      <c r="GD56">
        <v>1</v>
      </c>
      <c r="GF56">
        <v>331078231</v>
      </c>
      <c r="GG56">
        <v>2</v>
      </c>
      <c r="GH56">
        <v>1</v>
      </c>
      <c r="GI56">
        <v>-2</v>
      </c>
      <c r="GJ56">
        <v>0</v>
      </c>
      <c r="GK56">
        <v>0</v>
      </c>
      <c r="GL56">
        <f t="shared" si="40"/>
        <v>0</v>
      </c>
      <c r="GM56">
        <f t="shared" si="41"/>
        <v>0</v>
      </c>
      <c r="GN56">
        <f t="shared" si="42"/>
        <v>0</v>
      </c>
      <c r="GO56">
        <f t="shared" si="43"/>
        <v>0</v>
      </c>
      <c r="GP56">
        <f t="shared" si="44"/>
        <v>0</v>
      </c>
      <c r="GR56">
        <v>0</v>
      </c>
      <c r="GS56">
        <v>3</v>
      </c>
      <c r="GT56">
        <v>0</v>
      </c>
      <c r="GV56">
        <f t="shared" si="45"/>
        <v>0</v>
      </c>
      <c r="GW56">
        <v>1</v>
      </c>
      <c r="GX56">
        <f t="shared" si="46"/>
        <v>0</v>
      </c>
      <c r="HA56">
        <v>0</v>
      </c>
      <c r="HB56">
        <v>0</v>
      </c>
      <c r="HC56">
        <f t="shared" si="47"/>
        <v>0</v>
      </c>
      <c r="IK56">
        <v>0</v>
      </c>
    </row>
    <row r="57" spans="1:245" x14ac:dyDescent="0.2">
      <c r="A57">
        <v>18</v>
      </c>
      <c r="B57">
        <v>1</v>
      </c>
      <c r="C57">
        <v>111</v>
      </c>
      <c r="E57" t="s">
        <v>174</v>
      </c>
      <c r="F57" t="s">
        <v>175</v>
      </c>
      <c r="G57" t="s">
        <v>176</v>
      </c>
      <c r="H57" t="s">
        <v>17</v>
      </c>
      <c r="I57">
        <f>I49*J57</f>
        <v>0</v>
      </c>
      <c r="J57">
        <v>102</v>
      </c>
      <c r="O57">
        <f t="shared" si="14"/>
        <v>0</v>
      </c>
      <c r="P57">
        <f t="shared" si="15"/>
        <v>0</v>
      </c>
      <c r="Q57">
        <f t="shared" si="16"/>
        <v>0</v>
      </c>
      <c r="R57">
        <f t="shared" si="17"/>
        <v>0</v>
      </c>
      <c r="S57">
        <f t="shared" si="18"/>
        <v>0</v>
      </c>
      <c r="T57">
        <f t="shared" si="19"/>
        <v>0</v>
      </c>
      <c r="U57">
        <f t="shared" si="20"/>
        <v>0</v>
      </c>
      <c r="V57">
        <f t="shared" si="21"/>
        <v>0</v>
      </c>
      <c r="W57">
        <f t="shared" si="22"/>
        <v>0</v>
      </c>
      <c r="X57">
        <f t="shared" si="23"/>
        <v>0</v>
      </c>
      <c r="Y57">
        <f t="shared" si="24"/>
        <v>0</v>
      </c>
      <c r="AA57">
        <v>939971440</v>
      </c>
      <c r="AB57">
        <f t="shared" si="25"/>
        <v>78.58</v>
      </c>
      <c r="AC57">
        <f t="shared" si="48"/>
        <v>78.58</v>
      </c>
      <c r="AD57">
        <f t="shared" si="56"/>
        <v>0</v>
      </c>
      <c r="AE57">
        <f t="shared" si="57"/>
        <v>0</v>
      </c>
      <c r="AF57">
        <f t="shared" si="58"/>
        <v>0</v>
      </c>
      <c r="AG57">
        <f t="shared" si="26"/>
        <v>0</v>
      </c>
      <c r="AH57">
        <f t="shared" si="59"/>
        <v>0</v>
      </c>
      <c r="AI57">
        <f t="shared" si="60"/>
        <v>0</v>
      </c>
      <c r="AJ57">
        <f t="shared" si="27"/>
        <v>1.0900000000000001</v>
      </c>
      <c r="AK57">
        <v>78.58</v>
      </c>
      <c r="AL57">
        <v>78.58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1.0900000000000001</v>
      </c>
      <c r="AT57">
        <v>123</v>
      </c>
      <c r="AU57">
        <v>75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4.63</v>
      </c>
      <c r="BH57">
        <v>3</v>
      </c>
      <c r="BI57">
        <v>1</v>
      </c>
      <c r="BJ57" t="s">
        <v>177</v>
      </c>
      <c r="BM57">
        <v>11001</v>
      </c>
      <c r="BN57">
        <v>0</v>
      </c>
      <c r="BO57" t="s">
        <v>175</v>
      </c>
      <c r="BP57">
        <v>1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Z57">
        <v>123</v>
      </c>
      <c r="CA57">
        <v>75</v>
      </c>
      <c r="CE57">
        <v>0</v>
      </c>
      <c r="CF57">
        <v>0</v>
      </c>
      <c r="CG57">
        <v>0</v>
      </c>
      <c r="CM57">
        <v>0</v>
      </c>
      <c r="CO57">
        <v>0</v>
      </c>
      <c r="CP57">
        <f t="shared" si="28"/>
        <v>0</v>
      </c>
      <c r="CQ57">
        <f t="shared" si="29"/>
        <v>363.8254</v>
      </c>
      <c r="CR57">
        <f t="shared" si="30"/>
        <v>0</v>
      </c>
      <c r="CS57">
        <f t="shared" si="31"/>
        <v>0</v>
      </c>
      <c r="CT57">
        <f t="shared" si="32"/>
        <v>0</v>
      </c>
      <c r="CU57">
        <f t="shared" si="33"/>
        <v>0</v>
      </c>
      <c r="CV57">
        <f t="shared" si="34"/>
        <v>0</v>
      </c>
      <c r="CW57">
        <f t="shared" si="35"/>
        <v>0</v>
      </c>
      <c r="CX57">
        <f t="shared" si="36"/>
        <v>1.0900000000000001</v>
      </c>
      <c r="CY57">
        <f t="shared" si="37"/>
        <v>0</v>
      </c>
      <c r="CZ57">
        <f t="shared" si="38"/>
        <v>0</v>
      </c>
      <c r="DN57">
        <v>0</v>
      </c>
      <c r="DO57">
        <v>0</v>
      </c>
      <c r="DP57">
        <v>1</v>
      </c>
      <c r="DQ57">
        <v>1</v>
      </c>
      <c r="DU57">
        <v>1005</v>
      </c>
      <c r="DV57" t="s">
        <v>17</v>
      </c>
      <c r="DW57" t="s">
        <v>17</v>
      </c>
      <c r="DX57">
        <v>1</v>
      </c>
      <c r="EE57">
        <v>958392103</v>
      </c>
      <c r="EF57">
        <v>2</v>
      </c>
      <c r="EG57" t="s">
        <v>111</v>
      </c>
      <c r="EH57">
        <v>0</v>
      </c>
      <c r="EJ57">
        <v>1</v>
      </c>
      <c r="EK57">
        <v>11001</v>
      </c>
      <c r="EL57" t="s">
        <v>123</v>
      </c>
      <c r="EM57" t="s">
        <v>142</v>
      </c>
      <c r="EQ57">
        <v>0</v>
      </c>
      <c r="ER57">
        <v>78.58</v>
      </c>
      <c r="ES57">
        <v>78.58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39"/>
        <v>0</v>
      </c>
      <c r="FS57">
        <v>0</v>
      </c>
      <c r="FX57">
        <v>123</v>
      </c>
      <c r="FY57">
        <v>75</v>
      </c>
      <c r="GD57">
        <v>1</v>
      </c>
      <c r="GF57">
        <v>331078231</v>
      </c>
      <c r="GG57">
        <v>2</v>
      </c>
      <c r="GH57">
        <v>1</v>
      </c>
      <c r="GI57">
        <v>2</v>
      </c>
      <c r="GJ57">
        <v>0</v>
      </c>
      <c r="GK57">
        <v>0</v>
      </c>
      <c r="GL57">
        <f t="shared" si="40"/>
        <v>0</v>
      </c>
      <c r="GM57">
        <f t="shared" si="41"/>
        <v>0</v>
      </c>
      <c r="GN57">
        <f t="shared" si="42"/>
        <v>0</v>
      </c>
      <c r="GO57">
        <f t="shared" si="43"/>
        <v>0</v>
      </c>
      <c r="GP57">
        <f t="shared" si="44"/>
        <v>0</v>
      </c>
      <c r="GR57">
        <v>0</v>
      </c>
      <c r="GS57">
        <v>3</v>
      </c>
      <c r="GT57">
        <v>0</v>
      </c>
      <c r="GV57">
        <f t="shared" si="45"/>
        <v>0</v>
      </c>
      <c r="GW57">
        <v>1</v>
      </c>
      <c r="GX57">
        <f t="shared" si="46"/>
        <v>0</v>
      </c>
      <c r="HA57">
        <v>0</v>
      </c>
      <c r="HB57">
        <v>0</v>
      </c>
      <c r="HC57">
        <f t="shared" si="47"/>
        <v>0</v>
      </c>
      <c r="IK57">
        <v>0</v>
      </c>
    </row>
    <row r="58" spans="1:245" x14ac:dyDescent="0.2">
      <c r="A58">
        <v>18</v>
      </c>
      <c r="B58">
        <v>1</v>
      </c>
      <c r="C58">
        <v>96</v>
      </c>
      <c r="E58" t="s">
        <v>178</v>
      </c>
      <c r="F58" t="s">
        <v>179</v>
      </c>
      <c r="G58" t="s">
        <v>180</v>
      </c>
      <c r="H58" t="s">
        <v>26</v>
      </c>
      <c r="I58">
        <f>I48*J58</f>
        <v>0</v>
      </c>
      <c r="J58">
        <v>0.05</v>
      </c>
      <c r="O58">
        <f t="shared" si="14"/>
        <v>0</v>
      </c>
      <c r="P58">
        <f t="shared" si="15"/>
        <v>0</v>
      </c>
      <c r="Q58">
        <f t="shared" si="16"/>
        <v>0</v>
      </c>
      <c r="R58">
        <f t="shared" si="17"/>
        <v>0</v>
      </c>
      <c r="S58">
        <f t="shared" si="18"/>
        <v>0</v>
      </c>
      <c r="T58">
        <f t="shared" si="19"/>
        <v>0</v>
      </c>
      <c r="U58">
        <f t="shared" si="20"/>
        <v>0</v>
      </c>
      <c r="V58">
        <f t="shared" si="21"/>
        <v>0</v>
      </c>
      <c r="W58">
        <f t="shared" si="22"/>
        <v>0</v>
      </c>
      <c r="X58">
        <f t="shared" si="23"/>
        <v>0</v>
      </c>
      <c r="Y58">
        <f t="shared" si="24"/>
        <v>0</v>
      </c>
      <c r="AA58">
        <v>939971439</v>
      </c>
      <c r="AB58">
        <f t="shared" si="25"/>
        <v>9103.4699999999993</v>
      </c>
      <c r="AC58">
        <f t="shared" si="48"/>
        <v>9103.4699999999993</v>
      </c>
      <c r="AD58">
        <f t="shared" si="56"/>
        <v>0</v>
      </c>
      <c r="AE58">
        <f t="shared" si="57"/>
        <v>0</v>
      </c>
      <c r="AF58">
        <f t="shared" si="58"/>
        <v>0</v>
      </c>
      <c r="AG58">
        <f t="shared" si="26"/>
        <v>0</v>
      </c>
      <c r="AH58">
        <f t="shared" si="59"/>
        <v>0</v>
      </c>
      <c r="AI58">
        <f t="shared" si="60"/>
        <v>0</v>
      </c>
      <c r="AJ58">
        <f t="shared" si="27"/>
        <v>43.05</v>
      </c>
      <c r="AK58">
        <v>9103.4699999999993</v>
      </c>
      <c r="AL58">
        <v>9103.4699999999993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43.05</v>
      </c>
      <c r="AT58">
        <v>123</v>
      </c>
      <c r="AU58">
        <v>75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H58">
        <v>3</v>
      </c>
      <c r="BI58">
        <v>1</v>
      </c>
      <c r="BJ58" t="s">
        <v>181</v>
      </c>
      <c r="BM58">
        <v>11001</v>
      </c>
      <c r="BN58">
        <v>0</v>
      </c>
      <c r="BP58">
        <v>0</v>
      </c>
      <c r="BQ58">
        <v>2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Z58">
        <v>123</v>
      </c>
      <c r="CA58">
        <v>75</v>
      </c>
      <c r="CE58">
        <v>0</v>
      </c>
      <c r="CF58">
        <v>0</v>
      </c>
      <c r="CG58">
        <v>0</v>
      </c>
      <c r="CM58">
        <v>0</v>
      </c>
      <c r="CO58">
        <v>0</v>
      </c>
      <c r="CP58">
        <f t="shared" si="28"/>
        <v>0</v>
      </c>
      <c r="CQ58">
        <f t="shared" si="29"/>
        <v>9103.4699999999993</v>
      </c>
      <c r="CR58">
        <f t="shared" si="30"/>
        <v>0</v>
      </c>
      <c r="CS58">
        <f t="shared" si="31"/>
        <v>0</v>
      </c>
      <c r="CT58">
        <f t="shared" si="32"/>
        <v>0</v>
      </c>
      <c r="CU58">
        <f t="shared" si="33"/>
        <v>0</v>
      </c>
      <c r="CV58">
        <f t="shared" si="34"/>
        <v>0</v>
      </c>
      <c r="CW58">
        <f t="shared" si="35"/>
        <v>0</v>
      </c>
      <c r="CX58">
        <f t="shared" si="36"/>
        <v>43.05</v>
      </c>
      <c r="CY58">
        <f t="shared" si="37"/>
        <v>0</v>
      </c>
      <c r="CZ58">
        <f t="shared" si="38"/>
        <v>0</v>
      </c>
      <c r="DN58">
        <v>0</v>
      </c>
      <c r="DO58">
        <v>0</v>
      </c>
      <c r="DP58">
        <v>1</v>
      </c>
      <c r="DQ58">
        <v>1</v>
      </c>
      <c r="DU58">
        <v>39568864</v>
      </c>
      <c r="DV58" t="s">
        <v>26</v>
      </c>
      <c r="DW58" t="s">
        <v>26</v>
      </c>
      <c r="DX58">
        <v>1000</v>
      </c>
      <c r="EE58">
        <v>958392103</v>
      </c>
      <c r="EF58">
        <v>2</v>
      </c>
      <c r="EG58" t="s">
        <v>111</v>
      </c>
      <c r="EH58">
        <v>0</v>
      </c>
      <c r="EJ58">
        <v>1</v>
      </c>
      <c r="EK58">
        <v>11001</v>
      </c>
      <c r="EL58" t="s">
        <v>123</v>
      </c>
      <c r="EM58" t="s">
        <v>142</v>
      </c>
      <c r="EQ58">
        <v>0</v>
      </c>
      <c r="ER58">
        <v>9103.4699999999993</v>
      </c>
      <c r="ES58">
        <v>9103.4699999999993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f t="shared" si="39"/>
        <v>0</v>
      </c>
      <c r="FS58">
        <v>0</v>
      </c>
      <c r="FX58">
        <v>123</v>
      </c>
      <c r="FY58">
        <v>75</v>
      </c>
      <c r="GD58">
        <v>1</v>
      </c>
      <c r="GF58">
        <v>-1170207534</v>
      </c>
      <c r="GG58">
        <v>2</v>
      </c>
      <c r="GH58">
        <v>1</v>
      </c>
      <c r="GI58">
        <v>-2</v>
      </c>
      <c r="GJ58">
        <v>0</v>
      </c>
      <c r="GK58">
        <v>0</v>
      </c>
      <c r="GL58">
        <f t="shared" si="40"/>
        <v>0</v>
      </c>
      <c r="GM58">
        <f t="shared" si="41"/>
        <v>0</v>
      </c>
      <c r="GN58">
        <f t="shared" si="42"/>
        <v>0</v>
      </c>
      <c r="GO58">
        <f t="shared" si="43"/>
        <v>0</v>
      </c>
      <c r="GP58">
        <f t="shared" si="44"/>
        <v>0</v>
      </c>
      <c r="GR58">
        <v>0</v>
      </c>
      <c r="GS58">
        <v>3</v>
      </c>
      <c r="GT58">
        <v>0</v>
      </c>
      <c r="GV58">
        <f t="shared" si="45"/>
        <v>0</v>
      </c>
      <c r="GW58">
        <v>1</v>
      </c>
      <c r="GX58">
        <f t="shared" si="46"/>
        <v>0</v>
      </c>
      <c r="HA58">
        <v>0</v>
      </c>
      <c r="HB58">
        <v>0</v>
      </c>
      <c r="HC58">
        <f t="shared" si="47"/>
        <v>0</v>
      </c>
      <c r="IK58">
        <v>0</v>
      </c>
    </row>
    <row r="59" spans="1:245" x14ac:dyDescent="0.2">
      <c r="A59">
        <v>18</v>
      </c>
      <c r="B59">
        <v>1</v>
      </c>
      <c r="C59">
        <v>108</v>
      </c>
      <c r="E59" t="s">
        <v>178</v>
      </c>
      <c r="F59" t="s">
        <v>179</v>
      </c>
      <c r="G59" t="s">
        <v>180</v>
      </c>
      <c r="H59" t="s">
        <v>26</v>
      </c>
      <c r="I59">
        <f>I49*J59</f>
        <v>0</v>
      </c>
      <c r="J59">
        <v>0.05</v>
      </c>
      <c r="O59">
        <f t="shared" si="14"/>
        <v>0</v>
      </c>
      <c r="P59">
        <f t="shared" si="15"/>
        <v>0</v>
      </c>
      <c r="Q59">
        <f t="shared" si="16"/>
        <v>0</v>
      </c>
      <c r="R59">
        <f t="shared" si="17"/>
        <v>0</v>
      </c>
      <c r="S59">
        <f t="shared" si="18"/>
        <v>0</v>
      </c>
      <c r="T59">
        <f t="shared" si="19"/>
        <v>0</v>
      </c>
      <c r="U59">
        <f t="shared" si="20"/>
        <v>0</v>
      </c>
      <c r="V59">
        <f t="shared" si="21"/>
        <v>0</v>
      </c>
      <c r="W59">
        <f t="shared" si="22"/>
        <v>0</v>
      </c>
      <c r="X59">
        <f t="shared" si="23"/>
        <v>0</v>
      </c>
      <c r="Y59">
        <f t="shared" si="24"/>
        <v>0</v>
      </c>
      <c r="AA59">
        <v>939971440</v>
      </c>
      <c r="AB59">
        <f t="shared" si="25"/>
        <v>9103.4699999999993</v>
      </c>
      <c r="AC59">
        <f t="shared" si="48"/>
        <v>9103.4699999999993</v>
      </c>
      <c r="AD59">
        <f t="shared" si="56"/>
        <v>0</v>
      </c>
      <c r="AE59">
        <f t="shared" si="57"/>
        <v>0</v>
      </c>
      <c r="AF59">
        <f t="shared" si="58"/>
        <v>0</v>
      </c>
      <c r="AG59">
        <f t="shared" si="26"/>
        <v>0</v>
      </c>
      <c r="AH59">
        <f t="shared" si="59"/>
        <v>0</v>
      </c>
      <c r="AI59">
        <f t="shared" si="60"/>
        <v>0</v>
      </c>
      <c r="AJ59">
        <f t="shared" si="27"/>
        <v>43.05</v>
      </c>
      <c r="AK59">
        <v>9103.4699999999993</v>
      </c>
      <c r="AL59">
        <v>9103.4699999999993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43.05</v>
      </c>
      <c r="AT59">
        <v>123</v>
      </c>
      <c r="AU59">
        <v>75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H59">
        <v>3</v>
      </c>
      <c r="BI59">
        <v>1</v>
      </c>
      <c r="BJ59" t="s">
        <v>181</v>
      </c>
      <c r="BM59">
        <v>11001</v>
      </c>
      <c r="BN59">
        <v>0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Z59">
        <v>123</v>
      </c>
      <c r="CA59">
        <v>75</v>
      </c>
      <c r="CE59">
        <v>0</v>
      </c>
      <c r="CF59">
        <v>0</v>
      </c>
      <c r="CG59">
        <v>0</v>
      </c>
      <c r="CM59">
        <v>0</v>
      </c>
      <c r="CO59">
        <v>0</v>
      </c>
      <c r="CP59">
        <f t="shared" si="28"/>
        <v>0</v>
      </c>
      <c r="CQ59">
        <f t="shared" si="29"/>
        <v>9103.4699999999993</v>
      </c>
      <c r="CR59">
        <f t="shared" si="30"/>
        <v>0</v>
      </c>
      <c r="CS59">
        <f t="shared" si="31"/>
        <v>0</v>
      </c>
      <c r="CT59">
        <f t="shared" si="32"/>
        <v>0</v>
      </c>
      <c r="CU59">
        <f t="shared" si="33"/>
        <v>0</v>
      </c>
      <c r="CV59">
        <f t="shared" si="34"/>
        <v>0</v>
      </c>
      <c r="CW59">
        <f t="shared" si="35"/>
        <v>0</v>
      </c>
      <c r="CX59">
        <f t="shared" si="36"/>
        <v>43.05</v>
      </c>
      <c r="CY59">
        <f t="shared" si="37"/>
        <v>0</v>
      </c>
      <c r="CZ59">
        <f t="shared" si="38"/>
        <v>0</v>
      </c>
      <c r="DN59">
        <v>0</v>
      </c>
      <c r="DO59">
        <v>0</v>
      </c>
      <c r="DP59">
        <v>1</v>
      </c>
      <c r="DQ59">
        <v>1</v>
      </c>
      <c r="DU59">
        <v>39568864</v>
      </c>
      <c r="DV59" t="s">
        <v>26</v>
      </c>
      <c r="DW59" t="s">
        <v>26</v>
      </c>
      <c r="DX59">
        <v>1000</v>
      </c>
      <c r="EE59">
        <v>958392103</v>
      </c>
      <c r="EF59">
        <v>2</v>
      </c>
      <c r="EG59" t="s">
        <v>111</v>
      </c>
      <c r="EH59">
        <v>0</v>
      </c>
      <c r="EJ59">
        <v>1</v>
      </c>
      <c r="EK59">
        <v>11001</v>
      </c>
      <c r="EL59" t="s">
        <v>123</v>
      </c>
      <c r="EM59" t="s">
        <v>142</v>
      </c>
      <c r="EQ59">
        <v>0</v>
      </c>
      <c r="ER59">
        <v>9103.4699999999993</v>
      </c>
      <c r="ES59">
        <v>9103.4699999999993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39"/>
        <v>0</v>
      </c>
      <c r="FS59">
        <v>0</v>
      </c>
      <c r="FX59">
        <v>123</v>
      </c>
      <c r="FY59">
        <v>75</v>
      </c>
      <c r="GD59">
        <v>1</v>
      </c>
      <c r="GF59">
        <v>-1170207534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40"/>
        <v>0</v>
      </c>
      <c r="GM59">
        <f t="shared" si="41"/>
        <v>0</v>
      </c>
      <c r="GN59">
        <f t="shared" si="42"/>
        <v>0</v>
      </c>
      <c r="GO59">
        <f t="shared" si="43"/>
        <v>0</v>
      </c>
      <c r="GP59">
        <f t="shared" si="44"/>
        <v>0</v>
      </c>
      <c r="GR59">
        <v>0</v>
      </c>
      <c r="GS59">
        <v>3</v>
      </c>
      <c r="GT59">
        <v>0</v>
      </c>
      <c r="GV59">
        <f t="shared" si="45"/>
        <v>0</v>
      </c>
      <c r="GW59">
        <v>1</v>
      </c>
      <c r="GX59">
        <f t="shared" si="46"/>
        <v>0</v>
      </c>
      <c r="HA59">
        <v>0</v>
      </c>
      <c r="HB59">
        <v>0</v>
      </c>
      <c r="HC59">
        <f t="shared" si="47"/>
        <v>0</v>
      </c>
      <c r="IK59">
        <v>0</v>
      </c>
    </row>
    <row r="60" spans="1:245" x14ac:dyDescent="0.2">
      <c r="A60">
        <v>17</v>
      </c>
      <c r="B60">
        <v>1</v>
      </c>
      <c r="C60">
        <f>ROW(SmtRes!A121)</f>
        <v>121</v>
      </c>
      <c r="D60">
        <f>ROW(EtalonRes!A115)</f>
        <v>115</v>
      </c>
      <c r="E60" t="s">
        <v>182</v>
      </c>
      <c r="F60" t="s">
        <v>183</v>
      </c>
      <c r="G60" t="s">
        <v>84</v>
      </c>
      <c r="H60" t="s">
        <v>120</v>
      </c>
      <c r="I60">
        <f>ROUND(53.3/100,9)</f>
        <v>0.53300000000000003</v>
      </c>
      <c r="J60">
        <v>0</v>
      </c>
      <c r="O60">
        <f t="shared" si="14"/>
        <v>4792.21</v>
      </c>
      <c r="P60">
        <f t="shared" si="15"/>
        <v>4163.72</v>
      </c>
      <c r="Q60">
        <f t="shared" si="16"/>
        <v>70.5</v>
      </c>
      <c r="R60">
        <f t="shared" si="17"/>
        <v>18.47</v>
      </c>
      <c r="S60">
        <f t="shared" si="18"/>
        <v>557.99</v>
      </c>
      <c r="T60">
        <f t="shared" si="19"/>
        <v>0</v>
      </c>
      <c r="U60">
        <f t="shared" si="20"/>
        <v>63.842740000000006</v>
      </c>
      <c r="V60">
        <f t="shared" si="21"/>
        <v>1.4177800000000003</v>
      </c>
      <c r="W60">
        <f t="shared" si="22"/>
        <v>0</v>
      </c>
      <c r="X60">
        <f t="shared" si="23"/>
        <v>709.05</v>
      </c>
      <c r="Y60">
        <f t="shared" si="24"/>
        <v>432.35</v>
      </c>
      <c r="AA60">
        <v>939971439</v>
      </c>
      <c r="AB60">
        <f t="shared" si="25"/>
        <v>8991</v>
      </c>
      <c r="AC60">
        <f t="shared" si="48"/>
        <v>7811.85</v>
      </c>
      <c r="AD60">
        <f t="shared" si="56"/>
        <v>132.27000000000001</v>
      </c>
      <c r="AE60">
        <f t="shared" si="57"/>
        <v>34.659999999999997</v>
      </c>
      <c r="AF60">
        <f t="shared" si="58"/>
        <v>1046.8800000000001</v>
      </c>
      <c r="AG60">
        <f t="shared" si="26"/>
        <v>0</v>
      </c>
      <c r="AH60">
        <f t="shared" si="59"/>
        <v>119.78</v>
      </c>
      <c r="AI60">
        <f t="shared" si="60"/>
        <v>2.66</v>
      </c>
      <c r="AJ60">
        <f t="shared" si="27"/>
        <v>0</v>
      </c>
      <c r="AK60">
        <v>8991</v>
      </c>
      <c r="AL60">
        <v>7811.85</v>
      </c>
      <c r="AM60">
        <v>132.27000000000001</v>
      </c>
      <c r="AN60">
        <v>34.659999999999997</v>
      </c>
      <c r="AO60">
        <v>1046.8800000000001</v>
      </c>
      <c r="AP60">
        <v>0</v>
      </c>
      <c r="AQ60">
        <v>119.78</v>
      </c>
      <c r="AR60">
        <v>2.66</v>
      </c>
      <c r="AS60">
        <v>0</v>
      </c>
      <c r="AT60">
        <v>123</v>
      </c>
      <c r="AU60">
        <v>75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1</v>
      </c>
      <c r="BH60">
        <v>0</v>
      </c>
      <c r="BI60">
        <v>1</v>
      </c>
      <c r="BJ60" t="s">
        <v>184</v>
      </c>
      <c r="BM60">
        <v>11001</v>
      </c>
      <c r="BN60">
        <v>0</v>
      </c>
      <c r="BP60">
        <v>0</v>
      </c>
      <c r="BQ60">
        <v>2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Z60">
        <v>123</v>
      </c>
      <c r="CA60">
        <v>75</v>
      </c>
      <c r="CE60">
        <v>0</v>
      </c>
      <c r="CF60">
        <v>0</v>
      </c>
      <c r="CG60">
        <v>0</v>
      </c>
      <c r="CM60">
        <v>0</v>
      </c>
      <c r="CO60">
        <v>0</v>
      </c>
      <c r="CP60">
        <f t="shared" si="28"/>
        <v>4792.21</v>
      </c>
      <c r="CQ60">
        <f t="shared" si="29"/>
        <v>7811.85</v>
      </c>
      <c r="CR60">
        <f t="shared" si="30"/>
        <v>132.27000000000001</v>
      </c>
      <c r="CS60">
        <f t="shared" si="31"/>
        <v>34.659999999999997</v>
      </c>
      <c r="CT60">
        <f t="shared" si="32"/>
        <v>1046.8800000000001</v>
      </c>
      <c r="CU60">
        <f t="shared" si="33"/>
        <v>0</v>
      </c>
      <c r="CV60">
        <f t="shared" si="34"/>
        <v>119.78</v>
      </c>
      <c r="CW60">
        <f t="shared" si="35"/>
        <v>2.66</v>
      </c>
      <c r="CX60">
        <f t="shared" si="36"/>
        <v>0</v>
      </c>
      <c r="CY60">
        <f t="shared" si="37"/>
        <v>709.04579999999999</v>
      </c>
      <c r="CZ60">
        <f t="shared" si="38"/>
        <v>432.34500000000003</v>
      </c>
      <c r="DN60">
        <v>0</v>
      </c>
      <c r="DO60">
        <v>0</v>
      </c>
      <c r="DP60">
        <v>1</v>
      </c>
      <c r="DQ60">
        <v>1</v>
      </c>
      <c r="DU60">
        <v>1013</v>
      </c>
      <c r="DV60" t="s">
        <v>120</v>
      </c>
      <c r="DW60" t="s">
        <v>120</v>
      </c>
      <c r="DX60">
        <v>1</v>
      </c>
      <c r="EE60">
        <v>958392103</v>
      </c>
      <c r="EF60">
        <v>2</v>
      </c>
      <c r="EG60" t="s">
        <v>111</v>
      </c>
      <c r="EH60">
        <v>0</v>
      </c>
      <c r="EJ60">
        <v>1</v>
      </c>
      <c r="EK60">
        <v>11001</v>
      </c>
      <c r="EL60" t="s">
        <v>123</v>
      </c>
      <c r="EM60" t="s">
        <v>142</v>
      </c>
      <c r="EQ60">
        <v>0</v>
      </c>
      <c r="ER60">
        <v>8991</v>
      </c>
      <c r="ES60">
        <v>7811.85</v>
      </c>
      <c r="ET60">
        <v>132.27000000000001</v>
      </c>
      <c r="EU60">
        <v>34.659999999999997</v>
      </c>
      <c r="EV60">
        <v>1046.8800000000001</v>
      </c>
      <c r="EW60">
        <v>119.78</v>
      </c>
      <c r="EX60">
        <v>2.66</v>
      </c>
      <c r="EY60">
        <v>0</v>
      </c>
      <c r="FQ60">
        <v>0</v>
      </c>
      <c r="FR60">
        <f t="shared" si="39"/>
        <v>0</v>
      </c>
      <c r="FS60">
        <v>0</v>
      </c>
      <c r="FX60">
        <v>123</v>
      </c>
      <c r="FY60">
        <v>75</v>
      </c>
      <c r="GD60">
        <v>1</v>
      </c>
      <c r="GF60">
        <v>1576666404</v>
      </c>
      <c r="GG60">
        <v>2</v>
      </c>
      <c r="GH60">
        <v>1</v>
      </c>
      <c r="GI60">
        <v>-2</v>
      </c>
      <c r="GJ60">
        <v>0</v>
      </c>
      <c r="GK60">
        <v>0</v>
      </c>
      <c r="GL60">
        <f t="shared" si="40"/>
        <v>0</v>
      </c>
      <c r="GM60">
        <f t="shared" si="41"/>
        <v>5933.61</v>
      </c>
      <c r="GN60">
        <f t="shared" si="42"/>
        <v>5933.61</v>
      </c>
      <c r="GO60">
        <f t="shared" si="43"/>
        <v>0</v>
      </c>
      <c r="GP60">
        <f t="shared" si="44"/>
        <v>0</v>
      </c>
      <c r="GR60">
        <v>0</v>
      </c>
      <c r="GS60">
        <v>3</v>
      </c>
      <c r="GT60">
        <v>0</v>
      </c>
      <c r="GV60">
        <f t="shared" si="45"/>
        <v>0</v>
      </c>
      <c r="GW60">
        <v>1</v>
      </c>
      <c r="GX60">
        <f t="shared" si="46"/>
        <v>0</v>
      </c>
      <c r="HA60">
        <v>0</v>
      </c>
      <c r="HB60">
        <v>0</v>
      </c>
      <c r="HC60">
        <f t="shared" si="47"/>
        <v>0</v>
      </c>
      <c r="IK60">
        <v>0</v>
      </c>
    </row>
    <row r="61" spans="1:245" x14ac:dyDescent="0.2">
      <c r="A61">
        <v>17</v>
      </c>
      <c r="B61">
        <v>1</v>
      </c>
      <c r="C61">
        <f>ROW(SmtRes!A130)</f>
        <v>130</v>
      </c>
      <c r="D61">
        <f>ROW(EtalonRes!A124)</f>
        <v>124</v>
      </c>
      <c r="E61" t="s">
        <v>182</v>
      </c>
      <c r="F61" t="s">
        <v>183</v>
      </c>
      <c r="G61" t="s">
        <v>84</v>
      </c>
      <c r="H61" t="s">
        <v>120</v>
      </c>
      <c r="I61">
        <f>ROUND(53.3/100,9)</f>
        <v>0.53300000000000003</v>
      </c>
      <c r="J61">
        <v>0</v>
      </c>
      <c r="O61">
        <f t="shared" si="14"/>
        <v>52947.32</v>
      </c>
      <c r="P61">
        <f t="shared" si="15"/>
        <v>33393</v>
      </c>
      <c r="Q61">
        <f t="shared" si="16"/>
        <v>884.07</v>
      </c>
      <c r="R61">
        <f t="shared" si="17"/>
        <v>618.13</v>
      </c>
      <c r="S61">
        <f t="shared" si="18"/>
        <v>18670.25</v>
      </c>
      <c r="T61">
        <f t="shared" si="19"/>
        <v>0</v>
      </c>
      <c r="U61">
        <f t="shared" si="20"/>
        <v>63.842740000000006</v>
      </c>
      <c r="V61">
        <f t="shared" si="21"/>
        <v>1.4177800000000003</v>
      </c>
      <c r="W61">
        <f t="shared" si="22"/>
        <v>0</v>
      </c>
      <c r="X61">
        <f t="shared" si="23"/>
        <v>23724.71</v>
      </c>
      <c r="Y61">
        <f t="shared" si="24"/>
        <v>14466.29</v>
      </c>
      <c r="AA61">
        <v>939971440</v>
      </c>
      <c r="AB61">
        <f t="shared" si="25"/>
        <v>8991</v>
      </c>
      <c r="AC61">
        <f t="shared" si="48"/>
        <v>7811.85</v>
      </c>
      <c r="AD61">
        <f t="shared" si="56"/>
        <v>132.27000000000001</v>
      </c>
      <c r="AE61">
        <f t="shared" si="57"/>
        <v>34.659999999999997</v>
      </c>
      <c r="AF61">
        <f t="shared" si="58"/>
        <v>1046.8800000000001</v>
      </c>
      <c r="AG61">
        <f t="shared" si="26"/>
        <v>0</v>
      </c>
      <c r="AH61">
        <f t="shared" si="59"/>
        <v>119.78</v>
      </c>
      <c r="AI61">
        <f t="shared" si="60"/>
        <v>2.66</v>
      </c>
      <c r="AJ61">
        <f t="shared" si="27"/>
        <v>0</v>
      </c>
      <c r="AK61">
        <v>8991</v>
      </c>
      <c r="AL61">
        <v>7811.85</v>
      </c>
      <c r="AM61">
        <v>132.27000000000001</v>
      </c>
      <c r="AN61">
        <v>34.659999999999997</v>
      </c>
      <c r="AO61">
        <v>1046.8800000000001</v>
      </c>
      <c r="AP61">
        <v>0</v>
      </c>
      <c r="AQ61">
        <v>119.78</v>
      </c>
      <c r="AR61">
        <v>2.66</v>
      </c>
      <c r="AS61">
        <v>0</v>
      </c>
      <c r="AT61">
        <v>123</v>
      </c>
      <c r="AU61">
        <v>75</v>
      </c>
      <c r="AV61">
        <v>1</v>
      </c>
      <c r="AW61">
        <v>1</v>
      </c>
      <c r="AZ61">
        <v>1</v>
      </c>
      <c r="BA61">
        <v>33.46</v>
      </c>
      <c r="BB61">
        <v>12.54</v>
      </c>
      <c r="BC61">
        <v>8.02</v>
      </c>
      <c r="BH61">
        <v>0</v>
      </c>
      <c r="BI61">
        <v>1</v>
      </c>
      <c r="BJ61" t="s">
        <v>184</v>
      </c>
      <c r="BM61">
        <v>11001</v>
      </c>
      <c r="BN61">
        <v>0</v>
      </c>
      <c r="BO61" t="s">
        <v>183</v>
      </c>
      <c r="BP61">
        <v>1</v>
      </c>
      <c r="BQ61">
        <v>2</v>
      </c>
      <c r="BR61">
        <v>0</v>
      </c>
      <c r="BS61">
        <v>33.46</v>
      </c>
      <c r="BT61">
        <v>1</v>
      </c>
      <c r="BU61">
        <v>1</v>
      </c>
      <c r="BV61">
        <v>1</v>
      </c>
      <c r="BW61">
        <v>1</v>
      </c>
      <c r="BX61">
        <v>1</v>
      </c>
      <c r="BZ61">
        <v>123</v>
      </c>
      <c r="CA61">
        <v>75</v>
      </c>
      <c r="CE61">
        <v>0</v>
      </c>
      <c r="CF61">
        <v>0</v>
      </c>
      <c r="CG61">
        <v>0</v>
      </c>
      <c r="CM61">
        <v>0</v>
      </c>
      <c r="CO61">
        <v>0</v>
      </c>
      <c r="CP61">
        <f t="shared" si="28"/>
        <v>52947.32</v>
      </c>
      <c r="CQ61">
        <f t="shared" si="29"/>
        <v>62651.036999999997</v>
      </c>
      <c r="CR61">
        <f t="shared" si="30"/>
        <v>1658.6658</v>
      </c>
      <c r="CS61">
        <f t="shared" si="31"/>
        <v>1159.7235999999998</v>
      </c>
      <c r="CT61">
        <f t="shared" si="32"/>
        <v>35028.604800000001</v>
      </c>
      <c r="CU61">
        <f t="shared" si="33"/>
        <v>0</v>
      </c>
      <c r="CV61">
        <f t="shared" si="34"/>
        <v>119.78</v>
      </c>
      <c r="CW61">
        <f t="shared" si="35"/>
        <v>2.66</v>
      </c>
      <c r="CX61">
        <f t="shared" si="36"/>
        <v>0</v>
      </c>
      <c r="CY61">
        <f t="shared" si="37"/>
        <v>23724.707400000003</v>
      </c>
      <c r="CZ61">
        <f t="shared" si="38"/>
        <v>14466.285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120</v>
      </c>
      <c r="DW61" t="s">
        <v>120</v>
      </c>
      <c r="DX61">
        <v>1</v>
      </c>
      <c r="EE61">
        <v>958392103</v>
      </c>
      <c r="EF61">
        <v>2</v>
      </c>
      <c r="EG61" t="s">
        <v>111</v>
      </c>
      <c r="EH61">
        <v>0</v>
      </c>
      <c r="EJ61">
        <v>1</v>
      </c>
      <c r="EK61">
        <v>11001</v>
      </c>
      <c r="EL61" t="s">
        <v>123</v>
      </c>
      <c r="EM61" t="s">
        <v>142</v>
      </c>
      <c r="EQ61">
        <v>0</v>
      </c>
      <c r="ER61">
        <v>8991</v>
      </c>
      <c r="ES61">
        <v>7811.85</v>
      </c>
      <c r="ET61">
        <v>132.27000000000001</v>
      </c>
      <c r="EU61">
        <v>34.659999999999997</v>
      </c>
      <c r="EV61">
        <v>1046.8800000000001</v>
      </c>
      <c r="EW61">
        <v>119.78</v>
      </c>
      <c r="EX61">
        <v>2.66</v>
      </c>
      <c r="EY61">
        <v>0</v>
      </c>
      <c r="FQ61">
        <v>0</v>
      </c>
      <c r="FR61">
        <f t="shared" si="39"/>
        <v>0</v>
      </c>
      <c r="FS61">
        <v>0</v>
      </c>
      <c r="FX61">
        <v>123</v>
      </c>
      <c r="FY61">
        <v>75</v>
      </c>
      <c r="GD61">
        <v>1</v>
      </c>
      <c r="GF61">
        <v>1576666404</v>
      </c>
      <c r="GG61">
        <v>2</v>
      </c>
      <c r="GH61">
        <v>1</v>
      </c>
      <c r="GI61">
        <v>2</v>
      </c>
      <c r="GJ61">
        <v>0</v>
      </c>
      <c r="GK61">
        <v>0</v>
      </c>
      <c r="GL61">
        <f t="shared" si="40"/>
        <v>0</v>
      </c>
      <c r="GM61">
        <f t="shared" si="41"/>
        <v>91138.32</v>
      </c>
      <c r="GN61">
        <f t="shared" si="42"/>
        <v>91138.32</v>
      </c>
      <c r="GO61">
        <f t="shared" si="43"/>
        <v>0</v>
      </c>
      <c r="GP61">
        <f t="shared" si="44"/>
        <v>0</v>
      </c>
      <c r="GR61">
        <v>0</v>
      </c>
      <c r="GS61">
        <v>3</v>
      </c>
      <c r="GT61">
        <v>0</v>
      </c>
      <c r="GV61">
        <f t="shared" si="45"/>
        <v>0</v>
      </c>
      <c r="GW61">
        <v>1</v>
      </c>
      <c r="GX61">
        <f t="shared" si="46"/>
        <v>0</v>
      </c>
      <c r="HA61">
        <v>0</v>
      </c>
      <c r="HB61">
        <v>0</v>
      </c>
      <c r="HC61">
        <f t="shared" si="47"/>
        <v>0</v>
      </c>
      <c r="IK61">
        <v>0</v>
      </c>
    </row>
    <row r="62" spans="1:245" x14ac:dyDescent="0.2">
      <c r="A62">
        <v>17</v>
      </c>
      <c r="B62">
        <v>1</v>
      </c>
      <c r="C62">
        <f>ROW(SmtRes!A136)</f>
        <v>136</v>
      </c>
      <c r="D62">
        <f>ROW(EtalonRes!A130)</f>
        <v>130</v>
      </c>
      <c r="E62" t="s">
        <v>185</v>
      </c>
      <c r="F62" t="s">
        <v>186</v>
      </c>
      <c r="G62" t="s">
        <v>85</v>
      </c>
      <c r="H62" t="s">
        <v>187</v>
      </c>
      <c r="I62">
        <f>ROUND(50.5/100,9)</f>
        <v>0.505</v>
      </c>
      <c r="J62">
        <v>0</v>
      </c>
      <c r="O62">
        <f t="shared" si="14"/>
        <v>101.74</v>
      </c>
      <c r="P62">
        <f t="shared" si="15"/>
        <v>18.48</v>
      </c>
      <c r="Q62">
        <f t="shared" si="16"/>
        <v>14.2</v>
      </c>
      <c r="R62">
        <f t="shared" si="17"/>
        <v>0</v>
      </c>
      <c r="S62">
        <f t="shared" si="18"/>
        <v>69.06</v>
      </c>
      <c r="T62">
        <f t="shared" si="19"/>
        <v>0</v>
      </c>
      <c r="U62">
        <f t="shared" si="20"/>
        <v>7.4335999999999993</v>
      </c>
      <c r="V62">
        <f t="shared" si="21"/>
        <v>0</v>
      </c>
      <c r="W62">
        <f t="shared" si="22"/>
        <v>0</v>
      </c>
      <c r="X62">
        <f t="shared" si="23"/>
        <v>62.15</v>
      </c>
      <c r="Y62">
        <f t="shared" si="24"/>
        <v>58.7</v>
      </c>
      <c r="AA62">
        <v>939971439</v>
      </c>
      <c r="AB62">
        <f t="shared" si="25"/>
        <v>201.459</v>
      </c>
      <c r="AC62">
        <f t="shared" si="48"/>
        <v>36.6</v>
      </c>
      <c r="AD62">
        <f>ROUND(((((ET62*1.25))-((EU62*1.25)))+AE62),6)</f>
        <v>28.112500000000001</v>
      </c>
      <c r="AE62">
        <f>ROUND(((EU62*1.25)),6)</f>
        <v>0</v>
      </c>
      <c r="AF62">
        <f>ROUND(((EV62*1.15)),6)</f>
        <v>136.7465</v>
      </c>
      <c r="AG62">
        <f t="shared" si="26"/>
        <v>0</v>
      </c>
      <c r="AH62">
        <f>((EW62*1.15))</f>
        <v>14.719999999999999</v>
      </c>
      <c r="AI62">
        <f>((EX62*1.25))</f>
        <v>0</v>
      </c>
      <c r="AJ62">
        <f t="shared" si="27"/>
        <v>0</v>
      </c>
      <c r="AK62">
        <v>178</v>
      </c>
      <c r="AL62">
        <v>36.6</v>
      </c>
      <c r="AM62">
        <v>22.49</v>
      </c>
      <c r="AN62">
        <v>0</v>
      </c>
      <c r="AO62">
        <v>118.91</v>
      </c>
      <c r="AP62">
        <v>0</v>
      </c>
      <c r="AQ62">
        <v>12.8</v>
      </c>
      <c r="AR62">
        <v>0</v>
      </c>
      <c r="AS62">
        <v>0</v>
      </c>
      <c r="AT62">
        <v>90</v>
      </c>
      <c r="AU62">
        <v>85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1</v>
      </c>
      <c r="BH62">
        <v>0</v>
      </c>
      <c r="BI62">
        <v>1</v>
      </c>
      <c r="BJ62" t="s">
        <v>188</v>
      </c>
      <c r="BM62">
        <v>9001</v>
      </c>
      <c r="BN62">
        <v>0</v>
      </c>
      <c r="BP62">
        <v>0</v>
      </c>
      <c r="BQ62">
        <v>2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Z62">
        <v>90</v>
      </c>
      <c r="CA62">
        <v>85</v>
      </c>
      <c r="CE62">
        <v>0</v>
      </c>
      <c r="CF62">
        <v>0</v>
      </c>
      <c r="CG62">
        <v>0</v>
      </c>
      <c r="CM62">
        <v>0</v>
      </c>
      <c r="CN62" t="s">
        <v>139</v>
      </c>
      <c r="CO62">
        <v>0</v>
      </c>
      <c r="CP62">
        <f t="shared" si="28"/>
        <v>101.74000000000001</v>
      </c>
      <c r="CQ62">
        <f t="shared" si="29"/>
        <v>36.6</v>
      </c>
      <c r="CR62">
        <f t="shared" si="30"/>
        <v>28.112500000000001</v>
      </c>
      <c r="CS62">
        <f t="shared" si="31"/>
        <v>0</v>
      </c>
      <c r="CT62">
        <f t="shared" si="32"/>
        <v>136.7465</v>
      </c>
      <c r="CU62">
        <f t="shared" si="33"/>
        <v>0</v>
      </c>
      <c r="CV62">
        <f t="shared" si="34"/>
        <v>14.719999999999999</v>
      </c>
      <c r="CW62">
        <f t="shared" si="35"/>
        <v>0</v>
      </c>
      <c r="CX62">
        <f t="shared" si="36"/>
        <v>0</v>
      </c>
      <c r="CY62">
        <f t="shared" si="37"/>
        <v>62.154000000000003</v>
      </c>
      <c r="CZ62">
        <f t="shared" si="38"/>
        <v>58.701000000000001</v>
      </c>
      <c r="DE62" t="s">
        <v>140</v>
      </c>
      <c r="DF62" t="s">
        <v>140</v>
      </c>
      <c r="DG62" t="s">
        <v>141</v>
      </c>
      <c r="DI62" t="s">
        <v>141</v>
      </c>
      <c r="DJ62" t="s">
        <v>140</v>
      </c>
      <c r="DN62">
        <v>0</v>
      </c>
      <c r="DO62">
        <v>0</v>
      </c>
      <c r="DP62">
        <v>1</v>
      </c>
      <c r="DQ62">
        <v>1</v>
      </c>
      <c r="DU62">
        <v>1013</v>
      </c>
      <c r="DV62" t="s">
        <v>187</v>
      </c>
      <c r="DW62" t="s">
        <v>187</v>
      </c>
      <c r="DX62">
        <v>1</v>
      </c>
      <c r="EE62">
        <v>958392101</v>
      </c>
      <c r="EF62">
        <v>2</v>
      </c>
      <c r="EG62" t="s">
        <v>111</v>
      </c>
      <c r="EH62">
        <v>0</v>
      </c>
      <c r="EJ62">
        <v>1</v>
      </c>
      <c r="EK62">
        <v>9001</v>
      </c>
      <c r="EL62" t="s">
        <v>189</v>
      </c>
      <c r="EM62" t="s">
        <v>190</v>
      </c>
      <c r="EO62" t="s">
        <v>143</v>
      </c>
      <c r="EQ62">
        <v>0</v>
      </c>
      <c r="ER62">
        <v>178</v>
      </c>
      <c r="ES62">
        <v>36.6</v>
      </c>
      <c r="ET62">
        <v>22.49</v>
      </c>
      <c r="EU62">
        <v>0</v>
      </c>
      <c r="EV62">
        <v>118.91</v>
      </c>
      <c r="EW62">
        <v>12.8</v>
      </c>
      <c r="EX62">
        <v>0</v>
      </c>
      <c r="EY62">
        <v>0</v>
      </c>
      <c r="FQ62">
        <v>0</v>
      </c>
      <c r="FR62">
        <f t="shared" si="39"/>
        <v>0</v>
      </c>
      <c r="FS62">
        <v>0</v>
      </c>
      <c r="FX62">
        <v>90</v>
      </c>
      <c r="FY62">
        <v>85</v>
      </c>
      <c r="GD62">
        <v>1</v>
      </c>
      <c r="GF62">
        <v>154868591</v>
      </c>
      <c r="GG62">
        <v>2</v>
      </c>
      <c r="GH62">
        <v>1</v>
      </c>
      <c r="GI62">
        <v>-2</v>
      </c>
      <c r="GJ62">
        <v>0</v>
      </c>
      <c r="GK62">
        <v>0</v>
      </c>
      <c r="GL62">
        <f t="shared" si="40"/>
        <v>0</v>
      </c>
      <c r="GM62">
        <f t="shared" si="41"/>
        <v>222.59</v>
      </c>
      <c r="GN62">
        <f t="shared" si="42"/>
        <v>222.59</v>
      </c>
      <c r="GO62">
        <f t="shared" si="43"/>
        <v>0</v>
      </c>
      <c r="GP62">
        <f t="shared" si="44"/>
        <v>0</v>
      </c>
      <c r="GR62">
        <v>0</v>
      </c>
      <c r="GS62">
        <v>3</v>
      </c>
      <c r="GT62">
        <v>0</v>
      </c>
      <c r="GV62">
        <f t="shared" si="45"/>
        <v>0</v>
      </c>
      <c r="GW62">
        <v>1</v>
      </c>
      <c r="GX62">
        <f t="shared" si="46"/>
        <v>0</v>
      </c>
      <c r="HA62">
        <v>0</v>
      </c>
      <c r="HB62">
        <v>0</v>
      </c>
      <c r="HC62">
        <f t="shared" si="47"/>
        <v>0</v>
      </c>
      <c r="IK62">
        <v>0</v>
      </c>
    </row>
    <row r="63" spans="1:245" x14ac:dyDescent="0.2">
      <c r="A63">
        <v>17</v>
      </c>
      <c r="B63">
        <v>1</v>
      </c>
      <c r="C63">
        <f>ROW(SmtRes!A142)</f>
        <v>142</v>
      </c>
      <c r="D63">
        <f>ROW(EtalonRes!A136)</f>
        <v>136</v>
      </c>
      <c r="E63" t="s">
        <v>185</v>
      </c>
      <c r="F63" t="s">
        <v>186</v>
      </c>
      <c r="G63" t="s">
        <v>85</v>
      </c>
      <c r="H63" t="s">
        <v>187</v>
      </c>
      <c r="I63">
        <f>ROUND(50.5/100,9)</f>
        <v>0.505</v>
      </c>
      <c r="J63">
        <v>0</v>
      </c>
      <c r="O63">
        <f t="shared" si="14"/>
        <v>2614.64</v>
      </c>
      <c r="P63">
        <f t="shared" si="15"/>
        <v>231.59</v>
      </c>
      <c r="Q63">
        <f t="shared" si="16"/>
        <v>72.400000000000006</v>
      </c>
      <c r="R63">
        <f t="shared" si="17"/>
        <v>0</v>
      </c>
      <c r="S63">
        <f t="shared" si="18"/>
        <v>2310.65</v>
      </c>
      <c r="T63">
        <f t="shared" si="19"/>
        <v>0</v>
      </c>
      <c r="U63">
        <f t="shared" si="20"/>
        <v>7.4335999999999993</v>
      </c>
      <c r="V63">
        <f t="shared" si="21"/>
        <v>0</v>
      </c>
      <c r="W63">
        <f t="shared" si="22"/>
        <v>0</v>
      </c>
      <c r="X63">
        <f t="shared" si="23"/>
        <v>2079.59</v>
      </c>
      <c r="Y63">
        <f t="shared" si="24"/>
        <v>1964.05</v>
      </c>
      <c r="AA63">
        <v>939971440</v>
      </c>
      <c r="AB63">
        <f t="shared" si="25"/>
        <v>201.459</v>
      </c>
      <c r="AC63">
        <f t="shared" si="48"/>
        <v>36.6</v>
      </c>
      <c r="AD63">
        <f>ROUND(((((ET63*1.25))-((EU63*1.25)))+AE63),6)</f>
        <v>28.112500000000001</v>
      </c>
      <c r="AE63">
        <f>ROUND(((EU63*1.25)),6)</f>
        <v>0</v>
      </c>
      <c r="AF63">
        <f>ROUND(((EV63*1.15)),6)</f>
        <v>136.7465</v>
      </c>
      <c r="AG63">
        <f t="shared" si="26"/>
        <v>0</v>
      </c>
      <c r="AH63">
        <f>((EW63*1.15))</f>
        <v>14.719999999999999</v>
      </c>
      <c r="AI63">
        <f>((EX63*1.25))</f>
        <v>0</v>
      </c>
      <c r="AJ63">
        <f t="shared" si="27"/>
        <v>0</v>
      </c>
      <c r="AK63">
        <v>178</v>
      </c>
      <c r="AL63">
        <v>36.6</v>
      </c>
      <c r="AM63">
        <v>22.49</v>
      </c>
      <c r="AN63">
        <v>0</v>
      </c>
      <c r="AO63">
        <v>118.91</v>
      </c>
      <c r="AP63">
        <v>0</v>
      </c>
      <c r="AQ63">
        <v>12.8</v>
      </c>
      <c r="AR63">
        <v>0</v>
      </c>
      <c r="AS63">
        <v>0</v>
      </c>
      <c r="AT63">
        <v>90</v>
      </c>
      <c r="AU63">
        <v>85</v>
      </c>
      <c r="AV63">
        <v>1</v>
      </c>
      <c r="AW63">
        <v>1</v>
      </c>
      <c r="AZ63">
        <v>1</v>
      </c>
      <c r="BA63">
        <v>33.46</v>
      </c>
      <c r="BB63">
        <v>5.0999999999999996</v>
      </c>
      <c r="BC63">
        <v>12.53</v>
      </c>
      <c r="BH63">
        <v>0</v>
      </c>
      <c r="BI63">
        <v>1</v>
      </c>
      <c r="BJ63" t="s">
        <v>188</v>
      </c>
      <c r="BM63">
        <v>9001</v>
      </c>
      <c r="BN63">
        <v>0</v>
      </c>
      <c r="BO63" t="s">
        <v>186</v>
      </c>
      <c r="BP63">
        <v>1</v>
      </c>
      <c r="BQ63">
        <v>2</v>
      </c>
      <c r="BR63">
        <v>0</v>
      </c>
      <c r="BS63">
        <v>33.46</v>
      </c>
      <c r="BT63">
        <v>1</v>
      </c>
      <c r="BU63">
        <v>1</v>
      </c>
      <c r="BV63">
        <v>1</v>
      </c>
      <c r="BW63">
        <v>1</v>
      </c>
      <c r="BX63">
        <v>1</v>
      </c>
      <c r="BZ63">
        <v>90</v>
      </c>
      <c r="CA63">
        <v>85</v>
      </c>
      <c r="CE63">
        <v>0</v>
      </c>
      <c r="CF63">
        <v>0</v>
      </c>
      <c r="CG63">
        <v>0</v>
      </c>
      <c r="CM63">
        <v>0</v>
      </c>
      <c r="CN63" t="s">
        <v>139</v>
      </c>
      <c r="CO63">
        <v>0</v>
      </c>
      <c r="CP63">
        <f t="shared" si="28"/>
        <v>2614.6400000000003</v>
      </c>
      <c r="CQ63">
        <f t="shared" si="29"/>
        <v>458.59800000000001</v>
      </c>
      <c r="CR63">
        <f t="shared" si="30"/>
        <v>143.37375</v>
      </c>
      <c r="CS63">
        <f t="shared" si="31"/>
        <v>0</v>
      </c>
      <c r="CT63">
        <f t="shared" si="32"/>
        <v>4575.5378899999996</v>
      </c>
      <c r="CU63">
        <f t="shared" si="33"/>
        <v>0</v>
      </c>
      <c r="CV63">
        <f t="shared" si="34"/>
        <v>14.719999999999999</v>
      </c>
      <c r="CW63">
        <f t="shared" si="35"/>
        <v>0</v>
      </c>
      <c r="CX63">
        <f t="shared" si="36"/>
        <v>0</v>
      </c>
      <c r="CY63">
        <f t="shared" si="37"/>
        <v>2079.585</v>
      </c>
      <c r="CZ63">
        <f t="shared" si="38"/>
        <v>1964.0525</v>
      </c>
      <c r="DE63" t="s">
        <v>140</v>
      </c>
      <c r="DF63" t="s">
        <v>140</v>
      </c>
      <c r="DG63" t="s">
        <v>141</v>
      </c>
      <c r="DI63" t="s">
        <v>141</v>
      </c>
      <c r="DJ63" t="s">
        <v>140</v>
      </c>
      <c r="DN63">
        <v>0</v>
      </c>
      <c r="DO63">
        <v>0</v>
      </c>
      <c r="DP63">
        <v>1</v>
      </c>
      <c r="DQ63">
        <v>1</v>
      </c>
      <c r="DU63">
        <v>1013</v>
      </c>
      <c r="DV63" t="s">
        <v>187</v>
      </c>
      <c r="DW63" t="s">
        <v>187</v>
      </c>
      <c r="DX63">
        <v>1</v>
      </c>
      <c r="EE63">
        <v>958392101</v>
      </c>
      <c r="EF63">
        <v>2</v>
      </c>
      <c r="EG63" t="s">
        <v>111</v>
      </c>
      <c r="EH63">
        <v>0</v>
      </c>
      <c r="EJ63">
        <v>1</v>
      </c>
      <c r="EK63">
        <v>9001</v>
      </c>
      <c r="EL63" t="s">
        <v>189</v>
      </c>
      <c r="EM63" t="s">
        <v>190</v>
      </c>
      <c r="EO63" t="s">
        <v>143</v>
      </c>
      <c r="EQ63">
        <v>0</v>
      </c>
      <c r="ER63">
        <v>178</v>
      </c>
      <c r="ES63">
        <v>36.6</v>
      </c>
      <c r="ET63">
        <v>22.49</v>
      </c>
      <c r="EU63">
        <v>0</v>
      </c>
      <c r="EV63">
        <v>118.91</v>
      </c>
      <c r="EW63">
        <v>12.8</v>
      </c>
      <c r="EX63">
        <v>0</v>
      </c>
      <c r="EY63">
        <v>0</v>
      </c>
      <c r="FQ63">
        <v>0</v>
      </c>
      <c r="FR63">
        <f t="shared" si="39"/>
        <v>0</v>
      </c>
      <c r="FS63">
        <v>0</v>
      </c>
      <c r="FX63">
        <v>90</v>
      </c>
      <c r="FY63">
        <v>85</v>
      </c>
      <c r="GD63">
        <v>1</v>
      </c>
      <c r="GF63">
        <v>154868591</v>
      </c>
      <c r="GG63">
        <v>2</v>
      </c>
      <c r="GH63">
        <v>1</v>
      </c>
      <c r="GI63">
        <v>2</v>
      </c>
      <c r="GJ63">
        <v>0</v>
      </c>
      <c r="GK63">
        <v>0</v>
      </c>
      <c r="GL63">
        <f t="shared" si="40"/>
        <v>0</v>
      </c>
      <c r="GM63">
        <f t="shared" si="41"/>
        <v>6658.28</v>
      </c>
      <c r="GN63">
        <f t="shared" si="42"/>
        <v>6658.28</v>
      </c>
      <c r="GO63">
        <f t="shared" si="43"/>
        <v>0</v>
      </c>
      <c r="GP63">
        <f t="shared" si="44"/>
        <v>0</v>
      </c>
      <c r="GR63">
        <v>0</v>
      </c>
      <c r="GS63">
        <v>3</v>
      </c>
      <c r="GT63">
        <v>0</v>
      </c>
      <c r="GV63">
        <f t="shared" si="45"/>
        <v>0</v>
      </c>
      <c r="GW63">
        <v>1</v>
      </c>
      <c r="GX63">
        <f t="shared" si="46"/>
        <v>0</v>
      </c>
      <c r="HA63">
        <v>0</v>
      </c>
      <c r="HB63">
        <v>0</v>
      </c>
      <c r="HC63">
        <f t="shared" si="47"/>
        <v>0</v>
      </c>
      <c r="IK63">
        <v>0</v>
      </c>
    </row>
    <row r="64" spans="1:245" x14ac:dyDescent="0.2">
      <c r="A64">
        <v>18</v>
      </c>
      <c r="B64">
        <v>1</v>
      </c>
      <c r="C64">
        <v>136</v>
      </c>
      <c r="E64" t="s">
        <v>191</v>
      </c>
      <c r="F64" t="s">
        <v>192</v>
      </c>
      <c r="G64" t="s">
        <v>193</v>
      </c>
      <c r="H64" t="s">
        <v>26</v>
      </c>
      <c r="I64">
        <f>I62*J64</f>
        <v>0</v>
      </c>
      <c r="J64">
        <v>0</v>
      </c>
      <c r="O64">
        <f t="shared" si="14"/>
        <v>0</v>
      </c>
      <c r="P64">
        <f t="shared" si="15"/>
        <v>0</v>
      </c>
      <c r="Q64">
        <f t="shared" si="16"/>
        <v>0</v>
      </c>
      <c r="R64">
        <f t="shared" si="17"/>
        <v>0</v>
      </c>
      <c r="S64">
        <f t="shared" si="18"/>
        <v>0</v>
      </c>
      <c r="T64">
        <f t="shared" si="19"/>
        <v>0</v>
      </c>
      <c r="U64">
        <f t="shared" si="20"/>
        <v>0</v>
      </c>
      <c r="V64">
        <f t="shared" si="21"/>
        <v>0</v>
      </c>
      <c r="W64">
        <f t="shared" si="22"/>
        <v>0</v>
      </c>
      <c r="X64">
        <f t="shared" si="23"/>
        <v>0</v>
      </c>
      <c r="Y64">
        <f t="shared" si="24"/>
        <v>0</v>
      </c>
      <c r="AA64">
        <v>939971439</v>
      </c>
      <c r="AB64">
        <f t="shared" si="25"/>
        <v>0</v>
      </c>
      <c r="AC64">
        <f t="shared" si="48"/>
        <v>0</v>
      </c>
      <c r="AD64">
        <f>ROUND((((ET64)-(EU64))+AE64),6)</f>
        <v>0</v>
      </c>
      <c r="AE64">
        <f t="shared" ref="AE64:AF67" si="61">ROUND((EU64),6)</f>
        <v>0</v>
      </c>
      <c r="AF64">
        <f t="shared" si="61"/>
        <v>0</v>
      </c>
      <c r="AG64">
        <f t="shared" si="26"/>
        <v>0</v>
      </c>
      <c r="AH64">
        <f t="shared" ref="AH64:AI71" si="62">(EW64)</f>
        <v>0</v>
      </c>
      <c r="AI64">
        <f t="shared" si="62"/>
        <v>0</v>
      </c>
      <c r="AJ64">
        <f t="shared" si="27"/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90</v>
      </c>
      <c r="AU64">
        <v>85</v>
      </c>
      <c r="AV64">
        <v>1</v>
      </c>
      <c r="AW64">
        <v>1</v>
      </c>
      <c r="AZ64">
        <v>1</v>
      </c>
      <c r="BA64">
        <v>1</v>
      </c>
      <c r="BB64">
        <v>1</v>
      </c>
      <c r="BC64">
        <v>1</v>
      </c>
      <c r="BH64">
        <v>3</v>
      </c>
      <c r="BI64">
        <v>1</v>
      </c>
      <c r="BJ64" t="s">
        <v>194</v>
      </c>
      <c r="BM64">
        <v>9001</v>
      </c>
      <c r="BN64">
        <v>0</v>
      </c>
      <c r="BP64">
        <v>0</v>
      </c>
      <c r="BQ64">
        <v>2</v>
      </c>
      <c r="BR64">
        <v>0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Z64">
        <v>90</v>
      </c>
      <c r="CA64">
        <v>85</v>
      </c>
      <c r="CE64">
        <v>0</v>
      </c>
      <c r="CF64">
        <v>0</v>
      </c>
      <c r="CG64">
        <v>0</v>
      </c>
      <c r="CM64">
        <v>0</v>
      </c>
      <c r="CO64">
        <v>0</v>
      </c>
      <c r="CP64">
        <f t="shared" si="28"/>
        <v>0</v>
      </c>
      <c r="CQ64">
        <f t="shared" si="29"/>
        <v>0</v>
      </c>
      <c r="CR64">
        <f t="shared" si="30"/>
        <v>0</v>
      </c>
      <c r="CS64">
        <f t="shared" si="31"/>
        <v>0</v>
      </c>
      <c r="CT64">
        <f t="shared" si="32"/>
        <v>0</v>
      </c>
      <c r="CU64">
        <f t="shared" si="33"/>
        <v>0</v>
      </c>
      <c r="CV64">
        <f t="shared" si="34"/>
        <v>0</v>
      </c>
      <c r="CW64">
        <f t="shared" si="35"/>
        <v>0</v>
      </c>
      <c r="CX64">
        <f t="shared" si="36"/>
        <v>0</v>
      </c>
      <c r="CY64">
        <f t="shared" si="37"/>
        <v>0</v>
      </c>
      <c r="CZ64">
        <f t="shared" si="38"/>
        <v>0</v>
      </c>
      <c r="DN64">
        <v>0</v>
      </c>
      <c r="DO64">
        <v>0</v>
      </c>
      <c r="DP64">
        <v>1</v>
      </c>
      <c r="DQ64">
        <v>1</v>
      </c>
      <c r="DU64">
        <v>39568864</v>
      </c>
      <c r="DV64" t="s">
        <v>26</v>
      </c>
      <c r="DW64" t="s">
        <v>26</v>
      </c>
      <c r="DX64">
        <v>1000</v>
      </c>
      <c r="EE64">
        <v>958392101</v>
      </c>
      <c r="EF64">
        <v>2</v>
      </c>
      <c r="EG64" t="s">
        <v>111</v>
      </c>
      <c r="EH64">
        <v>0</v>
      </c>
      <c r="EJ64">
        <v>1</v>
      </c>
      <c r="EK64">
        <v>9001</v>
      </c>
      <c r="EL64" t="s">
        <v>189</v>
      </c>
      <c r="EM64" t="s">
        <v>190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FQ64">
        <v>0</v>
      </c>
      <c r="FR64">
        <f t="shared" si="39"/>
        <v>0</v>
      </c>
      <c r="FS64">
        <v>0</v>
      </c>
      <c r="FX64">
        <v>90</v>
      </c>
      <c r="FY64">
        <v>85</v>
      </c>
      <c r="GD64">
        <v>1</v>
      </c>
      <c r="GF64">
        <v>-203775977</v>
      </c>
      <c r="GG64">
        <v>2</v>
      </c>
      <c r="GH64">
        <v>1</v>
      </c>
      <c r="GI64">
        <v>-2</v>
      </c>
      <c r="GJ64">
        <v>0</v>
      </c>
      <c r="GK64">
        <v>0</v>
      </c>
      <c r="GL64">
        <f t="shared" si="40"/>
        <v>0</v>
      </c>
      <c r="GM64">
        <f t="shared" si="41"/>
        <v>0</v>
      </c>
      <c r="GN64">
        <f t="shared" si="42"/>
        <v>0</v>
      </c>
      <c r="GO64">
        <f t="shared" si="43"/>
        <v>0</v>
      </c>
      <c r="GP64">
        <f t="shared" si="44"/>
        <v>0</v>
      </c>
      <c r="GR64">
        <v>0</v>
      </c>
      <c r="GS64">
        <v>3</v>
      </c>
      <c r="GT64">
        <v>0</v>
      </c>
      <c r="GV64">
        <f t="shared" si="45"/>
        <v>0</v>
      </c>
      <c r="GW64">
        <v>1</v>
      </c>
      <c r="GX64">
        <f t="shared" si="46"/>
        <v>0</v>
      </c>
      <c r="HA64">
        <v>0</v>
      </c>
      <c r="HB64">
        <v>0</v>
      </c>
      <c r="HC64">
        <f t="shared" si="47"/>
        <v>0</v>
      </c>
      <c r="IK64">
        <v>0</v>
      </c>
    </row>
    <row r="65" spans="1:245" x14ac:dyDescent="0.2">
      <c r="A65">
        <v>18</v>
      </c>
      <c r="B65">
        <v>1</v>
      </c>
      <c r="C65">
        <v>142</v>
      </c>
      <c r="E65" t="s">
        <v>191</v>
      </c>
      <c r="F65" t="s">
        <v>192</v>
      </c>
      <c r="G65" t="s">
        <v>193</v>
      </c>
      <c r="H65" t="s">
        <v>26</v>
      </c>
      <c r="I65">
        <f>I63*J65</f>
        <v>0</v>
      </c>
      <c r="J65">
        <v>0</v>
      </c>
      <c r="O65">
        <f t="shared" si="14"/>
        <v>0</v>
      </c>
      <c r="P65">
        <f t="shared" si="15"/>
        <v>0</v>
      </c>
      <c r="Q65">
        <f t="shared" si="16"/>
        <v>0</v>
      </c>
      <c r="R65">
        <f t="shared" si="17"/>
        <v>0</v>
      </c>
      <c r="S65">
        <f t="shared" si="18"/>
        <v>0</v>
      </c>
      <c r="T65">
        <f t="shared" si="19"/>
        <v>0</v>
      </c>
      <c r="U65">
        <f t="shared" si="20"/>
        <v>0</v>
      </c>
      <c r="V65">
        <f t="shared" si="21"/>
        <v>0</v>
      </c>
      <c r="W65">
        <f t="shared" si="22"/>
        <v>0</v>
      </c>
      <c r="X65">
        <f t="shared" si="23"/>
        <v>0</v>
      </c>
      <c r="Y65">
        <f t="shared" si="24"/>
        <v>0</v>
      </c>
      <c r="AA65">
        <v>939971440</v>
      </c>
      <c r="AB65">
        <f t="shared" si="25"/>
        <v>0</v>
      </c>
      <c r="AC65">
        <f t="shared" si="48"/>
        <v>0</v>
      </c>
      <c r="AD65">
        <f>ROUND((((ET65)-(EU65))+AE65),6)</f>
        <v>0</v>
      </c>
      <c r="AE65">
        <f t="shared" si="61"/>
        <v>0</v>
      </c>
      <c r="AF65">
        <f t="shared" si="61"/>
        <v>0</v>
      </c>
      <c r="AG65">
        <f t="shared" si="26"/>
        <v>0</v>
      </c>
      <c r="AH65">
        <f t="shared" si="62"/>
        <v>0</v>
      </c>
      <c r="AI65">
        <f t="shared" si="62"/>
        <v>0</v>
      </c>
      <c r="AJ65">
        <f t="shared" si="27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90</v>
      </c>
      <c r="AU65">
        <v>85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H65">
        <v>3</v>
      </c>
      <c r="BI65">
        <v>1</v>
      </c>
      <c r="BJ65" t="s">
        <v>194</v>
      </c>
      <c r="BM65">
        <v>9001</v>
      </c>
      <c r="BN65">
        <v>0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Z65">
        <v>90</v>
      </c>
      <c r="CA65">
        <v>85</v>
      </c>
      <c r="CE65">
        <v>0</v>
      </c>
      <c r="CF65">
        <v>0</v>
      </c>
      <c r="CG65">
        <v>0</v>
      </c>
      <c r="CM65">
        <v>0</v>
      </c>
      <c r="CO65">
        <v>0</v>
      </c>
      <c r="CP65">
        <f t="shared" si="28"/>
        <v>0</v>
      </c>
      <c r="CQ65">
        <f t="shared" si="29"/>
        <v>0</v>
      </c>
      <c r="CR65">
        <f t="shared" si="30"/>
        <v>0</v>
      </c>
      <c r="CS65">
        <f t="shared" si="31"/>
        <v>0</v>
      </c>
      <c r="CT65">
        <f t="shared" si="32"/>
        <v>0</v>
      </c>
      <c r="CU65">
        <f t="shared" si="33"/>
        <v>0</v>
      </c>
      <c r="CV65">
        <f t="shared" si="34"/>
        <v>0</v>
      </c>
      <c r="CW65">
        <f t="shared" si="35"/>
        <v>0</v>
      </c>
      <c r="CX65">
        <f t="shared" si="36"/>
        <v>0</v>
      </c>
      <c r="CY65">
        <f t="shared" si="37"/>
        <v>0</v>
      </c>
      <c r="CZ65">
        <f t="shared" si="38"/>
        <v>0</v>
      </c>
      <c r="DN65">
        <v>0</v>
      </c>
      <c r="DO65">
        <v>0</v>
      </c>
      <c r="DP65">
        <v>1</v>
      </c>
      <c r="DQ65">
        <v>1</v>
      </c>
      <c r="DU65">
        <v>39568864</v>
      </c>
      <c r="DV65" t="s">
        <v>26</v>
      </c>
      <c r="DW65" t="s">
        <v>26</v>
      </c>
      <c r="DX65">
        <v>1000</v>
      </c>
      <c r="EE65">
        <v>958392101</v>
      </c>
      <c r="EF65">
        <v>2</v>
      </c>
      <c r="EG65" t="s">
        <v>111</v>
      </c>
      <c r="EH65">
        <v>0</v>
      </c>
      <c r="EJ65">
        <v>1</v>
      </c>
      <c r="EK65">
        <v>9001</v>
      </c>
      <c r="EL65" t="s">
        <v>189</v>
      </c>
      <c r="EM65" t="s">
        <v>190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39"/>
        <v>0</v>
      </c>
      <c r="FS65">
        <v>0</v>
      </c>
      <c r="FX65">
        <v>90</v>
      </c>
      <c r="FY65">
        <v>85</v>
      </c>
      <c r="GD65">
        <v>1</v>
      </c>
      <c r="GF65">
        <v>-203775977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40"/>
        <v>0</v>
      </c>
      <c r="GM65">
        <f t="shared" si="41"/>
        <v>0</v>
      </c>
      <c r="GN65">
        <f t="shared" si="42"/>
        <v>0</v>
      </c>
      <c r="GO65">
        <f t="shared" si="43"/>
        <v>0</v>
      </c>
      <c r="GP65">
        <f t="shared" si="44"/>
        <v>0</v>
      </c>
      <c r="GR65">
        <v>0</v>
      </c>
      <c r="GS65">
        <v>3</v>
      </c>
      <c r="GT65">
        <v>0</v>
      </c>
      <c r="GV65">
        <f t="shared" si="45"/>
        <v>0</v>
      </c>
      <c r="GW65">
        <v>1</v>
      </c>
      <c r="GX65">
        <f t="shared" si="46"/>
        <v>0</v>
      </c>
      <c r="HA65">
        <v>0</v>
      </c>
      <c r="HB65">
        <v>0</v>
      </c>
      <c r="HC65">
        <f t="shared" si="47"/>
        <v>0</v>
      </c>
      <c r="IK65">
        <v>0</v>
      </c>
    </row>
    <row r="66" spans="1:245" x14ac:dyDescent="0.2">
      <c r="A66">
        <v>17</v>
      </c>
      <c r="B66">
        <v>1</v>
      </c>
      <c r="E66" t="s">
        <v>195</v>
      </c>
      <c r="F66" t="s">
        <v>35</v>
      </c>
      <c r="G66" t="s">
        <v>36</v>
      </c>
      <c r="H66" t="s">
        <v>37</v>
      </c>
      <c r="I66">
        <v>50.5</v>
      </c>
      <c r="J66">
        <v>0</v>
      </c>
      <c r="O66">
        <f t="shared" si="14"/>
        <v>18053.75</v>
      </c>
      <c r="P66">
        <f t="shared" si="15"/>
        <v>18053.75</v>
      </c>
      <c r="Q66">
        <f t="shared" si="16"/>
        <v>0</v>
      </c>
      <c r="R66">
        <f t="shared" si="17"/>
        <v>0</v>
      </c>
      <c r="S66">
        <f t="shared" si="18"/>
        <v>0</v>
      </c>
      <c r="T66">
        <f t="shared" si="19"/>
        <v>0</v>
      </c>
      <c r="U66">
        <f t="shared" si="20"/>
        <v>0</v>
      </c>
      <c r="V66">
        <f t="shared" si="21"/>
        <v>0</v>
      </c>
      <c r="W66">
        <f t="shared" si="22"/>
        <v>0</v>
      </c>
      <c r="X66">
        <f t="shared" si="23"/>
        <v>0</v>
      </c>
      <c r="Y66">
        <f t="shared" si="24"/>
        <v>0</v>
      </c>
      <c r="AA66">
        <v>939971439</v>
      </c>
      <c r="AB66">
        <f t="shared" si="25"/>
        <v>357.5</v>
      </c>
      <c r="AC66">
        <f t="shared" si="48"/>
        <v>357.5</v>
      </c>
      <c r="AD66">
        <f>ROUND((((ET66)-(EU66))+AE66),6)</f>
        <v>0</v>
      </c>
      <c r="AE66">
        <f t="shared" si="61"/>
        <v>0</v>
      </c>
      <c r="AF66">
        <f t="shared" si="61"/>
        <v>0</v>
      </c>
      <c r="AG66">
        <f t="shared" si="26"/>
        <v>0</v>
      </c>
      <c r="AH66">
        <f t="shared" si="62"/>
        <v>0</v>
      </c>
      <c r="AI66">
        <f t="shared" si="62"/>
        <v>0</v>
      </c>
      <c r="AJ66">
        <f t="shared" si="27"/>
        <v>0</v>
      </c>
      <c r="AK66">
        <v>357.5</v>
      </c>
      <c r="AL66">
        <v>357.5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H66">
        <v>3</v>
      </c>
      <c r="BI66">
        <v>1</v>
      </c>
      <c r="BM66">
        <v>1100</v>
      </c>
      <c r="BN66">
        <v>0</v>
      </c>
      <c r="BP66">
        <v>0</v>
      </c>
      <c r="BQ66">
        <v>8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Z66">
        <v>0</v>
      </c>
      <c r="CA66">
        <v>0</v>
      </c>
      <c r="CE66">
        <v>0</v>
      </c>
      <c r="CF66">
        <v>0</v>
      </c>
      <c r="CG66">
        <v>0</v>
      </c>
      <c r="CM66">
        <v>0</v>
      </c>
      <c r="CO66">
        <v>0</v>
      </c>
      <c r="CP66">
        <f t="shared" si="28"/>
        <v>18053.75</v>
      </c>
      <c r="CQ66">
        <f t="shared" si="29"/>
        <v>357.5</v>
      </c>
      <c r="CR66">
        <f t="shared" si="30"/>
        <v>0</v>
      </c>
      <c r="CS66">
        <f t="shared" si="31"/>
        <v>0</v>
      </c>
      <c r="CT66">
        <f t="shared" si="32"/>
        <v>0</v>
      </c>
      <c r="CU66">
        <f t="shared" si="33"/>
        <v>0</v>
      </c>
      <c r="CV66">
        <f t="shared" si="34"/>
        <v>0</v>
      </c>
      <c r="CW66">
        <f t="shared" si="35"/>
        <v>0</v>
      </c>
      <c r="CX66">
        <f t="shared" si="36"/>
        <v>0</v>
      </c>
      <c r="CY66">
        <f t="shared" si="37"/>
        <v>0</v>
      </c>
      <c r="CZ66">
        <f t="shared" si="38"/>
        <v>0</v>
      </c>
      <c r="DN66">
        <v>0</v>
      </c>
      <c r="DO66">
        <v>0</v>
      </c>
      <c r="DP66">
        <v>1</v>
      </c>
      <c r="DQ66">
        <v>1</v>
      </c>
      <c r="DU66">
        <v>1003</v>
      </c>
      <c r="DV66" t="s">
        <v>37</v>
      </c>
      <c r="DW66" t="s">
        <v>37</v>
      </c>
      <c r="DX66">
        <v>1</v>
      </c>
      <c r="EE66">
        <v>958392282</v>
      </c>
      <c r="EF66">
        <v>8</v>
      </c>
      <c r="EG66" t="s">
        <v>196</v>
      </c>
      <c r="EH66">
        <v>0</v>
      </c>
      <c r="EJ66">
        <v>1</v>
      </c>
      <c r="EK66">
        <v>1100</v>
      </c>
      <c r="EL66" t="s">
        <v>197</v>
      </c>
      <c r="EM66" t="s">
        <v>198</v>
      </c>
      <c r="EQ66">
        <v>0</v>
      </c>
      <c r="ER66">
        <v>357.5</v>
      </c>
      <c r="ES66">
        <v>357.5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5</v>
      </c>
      <c r="FC66">
        <v>1</v>
      </c>
      <c r="FD66">
        <v>18</v>
      </c>
      <c r="FF66">
        <v>429</v>
      </c>
      <c r="FQ66">
        <v>0</v>
      </c>
      <c r="FR66">
        <f t="shared" si="39"/>
        <v>0</v>
      </c>
      <c r="FS66">
        <v>0</v>
      </c>
      <c r="FX66">
        <v>0</v>
      </c>
      <c r="FY66">
        <v>0</v>
      </c>
      <c r="GA66" t="s">
        <v>199</v>
      </c>
      <c r="GD66">
        <v>1</v>
      </c>
      <c r="GF66">
        <v>2130758263</v>
      </c>
      <c r="GG66">
        <v>2</v>
      </c>
      <c r="GH66">
        <v>3</v>
      </c>
      <c r="GI66">
        <v>-2</v>
      </c>
      <c r="GJ66">
        <v>0</v>
      </c>
      <c r="GK66">
        <v>0</v>
      </c>
      <c r="GL66">
        <f t="shared" si="40"/>
        <v>0</v>
      </c>
      <c r="GM66">
        <f t="shared" si="41"/>
        <v>18053.75</v>
      </c>
      <c r="GN66">
        <f t="shared" si="42"/>
        <v>18053.75</v>
      </c>
      <c r="GO66">
        <f t="shared" si="43"/>
        <v>0</v>
      </c>
      <c r="GP66">
        <f t="shared" si="44"/>
        <v>0</v>
      </c>
      <c r="GR66">
        <v>1</v>
      </c>
      <c r="GS66">
        <v>1</v>
      </c>
      <c r="GT66">
        <v>0</v>
      </c>
      <c r="GV66">
        <f t="shared" si="45"/>
        <v>0</v>
      </c>
      <c r="GW66">
        <v>1</v>
      </c>
      <c r="GX66">
        <f t="shared" si="46"/>
        <v>0</v>
      </c>
      <c r="HA66">
        <v>0</v>
      </c>
      <c r="HB66">
        <v>0</v>
      </c>
      <c r="HC66">
        <f t="shared" si="47"/>
        <v>0</v>
      </c>
      <c r="HE66" t="s">
        <v>200</v>
      </c>
      <c r="HF66" t="s">
        <v>200</v>
      </c>
      <c r="IK66">
        <v>0</v>
      </c>
    </row>
    <row r="67" spans="1:245" x14ac:dyDescent="0.2">
      <c r="A67">
        <v>17</v>
      </c>
      <c r="B67">
        <v>1</v>
      </c>
      <c r="E67" t="s">
        <v>195</v>
      </c>
      <c r="F67" t="s">
        <v>35</v>
      </c>
      <c r="G67" t="s">
        <v>36</v>
      </c>
      <c r="H67" t="s">
        <v>37</v>
      </c>
      <c r="I67">
        <v>50.5</v>
      </c>
      <c r="J67">
        <v>0</v>
      </c>
      <c r="O67">
        <f t="shared" si="14"/>
        <v>18053.75</v>
      </c>
      <c r="P67">
        <f t="shared" si="15"/>
        <v>18053.75</v>
      </c>
      <c r="Q67">
        <f t="shared" si="16"/>
        <v>0</v>
      </c>
      <c r="R67">
        <f t="shared" si="17"/>
        <v>0</v>
      </c>
      <c r="S67">
        <f t="shared" si="18"/>
        <v>0</v>
      </c>
      <c r="T67">
        <f t="shared" si="19"/>
        <v>0</v>
      </c>
      <c r="U67">
        <f t="shared" si="20"/>
        <v>0</v>
      </c>
      <c r="V67">
        <f t="shared" si="21"/>
        <v>0</v>
      </c>
      <c r="W67">
        <f t="shared" si="22"/>
        <v>0</v>
      </c>
      <c r="X67">
        <f t="shared" si="23"/>
        <v>0</v>
      </c>
      <c r="Y67">
        <f t="shared" si="24"/>
        <v>0</v>
      </c>
      <c r="AA67">
        <v>939971440</v>
      </c>
      <c r="AB67">
        <f t="shared" si="25"/>
        <v>357.5</v>
      </c>
      <c r="AC67">
        <f t="shared" si="48"/>
        <v>357.5</v>
      </c>
      <c r="AD67">
        <f>ROUND((((ET67)-(EU67))+AE67),6)</f>
        <v>0</v>
      </c>
      <c r="AE67">
        <f t="shared" si="61"/>
        <v>0</v>
      </c>
      <c r="AF67">
        <f t="shared" si="61"/>
        <v>0</v>
      </c>
      <c r="AG67">
        <f t="shared" si="26"/>
        <v>0</v>
      </c>
      <c r="AH67">
        <f t="shared" si="62"/>
        <v>0</v>
      </c>
      <c r="AI67">
        <f t="shared" si="62"/>
        <v>0</v>
      </c>
      <c r="AJ67">
        <f t="shared" si="27"/>
        <v>0</v>
      </c>
      <c r="AK67">
        <v>357.5</v>
      </c>
      <c r="AL67">
        <v>357.5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H67">
        <v>3</v>
      </c>
      <c r="BI67">
        <v>1</v>
      </c>
      <c r="BM67">
        <v>1100</v>
      </c>
      <c r="BN67">
        <v>0</v>
      </c>
      <c r="BP67">
        <v>0</v>
      </c>
      <c r="BQ67">
        <v>8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Z67">
        <v>0</v>
      </c>
      <c r="CA67">
        <v>0</v>
      </c>
      <c r="CE67">
        <v>0</v>
      </c>
      <c r="CF67">
        <v>0</v>
      </c>
      <c r="CG67">
        <v>0</v>
      </c>
      <c r="CM67">
        <v>0</v>
      </c>
      <c r="CO67">
        <v>0</v>
      </c>
      <c r="CP67">
        <f t="shared" si="28"/>
        <v>18053.75</v>
      </c>
      <c r="CQ67">
        <f t="shared" si="29"/>
        <v>357.5</v>
      </c>
      <c r="CR67">
        <f t="shared" si="30"/>
        <v>0</v>
      </c>
      <c r="CS67">
        <f t="shared" si="31"/>
        <v>0</v>
      </c>
      <c r="CT67">
        <f t="shared" si="32"/>
        <v>0</v>
      </c>
      <c r="CU67">
        <f t="shared" si="33"/>
        <v>0</v>
      </c>
      <c r="CV67">
        <f t="shared" si="34"/>
        <v>0</v>
      </c>
      <c r="CW67">
        <f t="shared" si="35"/>
        <v>0</v>
      </c>
      <c r="CX67">
        <f t="shared" si="36"/>
        <v>0</v>
      </c>
      <c r="CY67">
        <f t="shared" si="37"/>
        <v>0</v>
      </c>
      <c r="CZ67">
        <f t="shared" si="38"/>
        <v>0</v>
      </c>
      <c r="DN67">
        <v>0</v>
      </c>
      <c r="DO67">
        <v>0</v>
      </c>
      <c r="DP67">
        <v>1</v>
      </c>
      <c r="DQ67">
        <v>1</v>
      </c>
      <c r="DU67">
        <v>1003</v>
      </c>
      <c r="DV67" t="s">
        <v>37</v>
      </c>
      <c r="DW67" t="s">
        <v>37</v>
      </c>
      <c r="DX67">
        <v>1</v>
      </c>
      <c r="EE67">
        <v>958392282</v>
      </c>
      <c r="EF67">
        <v>8</v>
      </c>
      <c r="EG67" t="s">
        <v>196</v>
      </c>
      <c r="EH67">
        <v>0</v>
      </c>
      <c r="EJ67">
        <v>1</v>
      </c>
      <c r="EK67">
        <v>1100</v>
      </c>
      <c r="EL67" t="s">
        <v>197</v>
      </c>
      <c r="EM67" t="s">
        <v>198</v>
      </c>
      <c r="EQ67">
        <v>0</v>
      </c>
      <c r="ER67">
        <v>0</v>
      </c>
      <c r="ES67">
        <v>357.5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FQ67">
        <v>0</v>
      </c>
      <c r="FR67">
        <f t="shared" si="39"/>
        <v>0</v>
      </c>
      <c r="FS67">
        <v>0</v>
      </c>
      <c r="FX67">
        <v>0</v>
      </c>
      <c r="FY67">
        <v>0</v>
      </c>
      <c r="GD67">
        <v>1</v>
      </c>
      <c r="GF67">
        <v>2130758263</v>
      </c>
      <c r="GG67">
        <v>2</v>
      </c>
      <c r="GH67">
        <v>4</v>
      </c>
      <c r="GI67">
        <v>-2</v>
      </c>
      <c r="GJ67">
        <v>0</v>
      </c>
      <c r="GK67">
        <v>0</v>
      </c>
      <c r="GL67">
        <f t="shared" si="40"/>
        <v>0</v>
      </c>
      <c r="GM67">
        <f t="shared" si="41"/>
        <v>18053.75</v>
      </c>
      <c r="GN67">
        <f t="shared" si="42"/>
        <v>18053.75</v>
      </c>
      <c r="GO67">
        <f t="shared" si="43"/>
        <v>0</v>
      </c>
      <c r="GP67">
        <f t="shared" si="44"/>
        <v>0</v>
      </c>
      <c r="GR67">
        <v>0</v>
      </c>
      <c r="GS67">
        <v>2</v>
      </c>
      <c r="GT67">
        <v>0</v>
      </c>
      <c r="GV67">
        <f t="shared" si="45"/>
        <v>0</v>
      </c>
      <c r="GW67">
        <v>1</v>
      </c>
      <c r="GX67">
        <f t="shared" si="46"/>
        <v>0</v>
      </c>
      <c r="HA67">
        <v>0</v>
      </c>
      <c r="HB67">
        <v>0</v>
      </c>
      <c r="HC67">
        <f t="shared" si="47"/>
        <v>0</v>
      </c>
      <c r="IK67">
        <v>0</v>
      </c>
    </row>
    <row r="68" spans="1:245" x14ac:dyDescent="0.2">
      <c r="A68">
        <v>17</v>
      </c>
      <c r="B68">
        <v>1</v>
      </c>
      <c r="C68">
        <f>ROW(SmtRes!A144)</f>
        <v>144</v>
      </c>
      <c r="D68">
        <f>ROW(EtalonRes!A138)</f>
        <v>138</v>
      </c>
      <c r="E68" t="s">
        <v>201</v>
      </c>
      <c r="F68" t="s">
        <v>202</v>
      </c>
      <c r="G68" t="s">
        <v>86</v>
      </c>
      <c r="H68" t="s">
        <v>203</v>
      </c>
      <c r="I68">
        <v>1.2210000000000001</v>
      </c>
      <c r="J68">
        <v>0</v>
      </c>
      <c r="O68">
        <f t="shared" si="14"/>
        <v>52.47</v>
      </c>
      <c r="P68">
        <f t="shared" si="15"/>
        <v>0</v>
      </c>
      <c r="Q68">
        <f t="shared" si="16"/>
        <v>39.299999999999997</v>
      </c>
      <c r="R68">
        <f t="shared" si="17"/>
        <v>0</v>
      </c>
      <c r="S68">
        <f t="shared" si="18"/>
        <v>13.17</v>
      </c>
      <c r="T68">
        <f t="shared" si="19"/>
        <v>0</v>
      </c>
      <c r="U68">
        <f t="shared" si="20"/>
        <v>0.70537170000000005</v>
      </c>
      <c r="V68">
        <f t="shared" si="21"/>
        <v>0</v>
      </c>
      <c r="W68">
        <f t="shared" si="22"/>
        <v>0</v>
      </c>
      <c r="X68">
        <f t="shared" si="23"/>
        <v>0</v>
      </c>
      <c r="Y68">
        <f t="shared" si="24"/>
        <v>0</v>
      </c>
      <c r="AA68">
        <v>939971439</v>
      </c>
      <c r="AB68">
        <f t="shared" si="25"/>
        <v>42.98</v>
      </c>
      <c r="AC68">
        <f t="shared" si="48"/>
        <v>0</v>
      </c>
      <c r="AD68">
        <f>ROUND(((ET68)+ROUND(((EU68)*1.6),2)),6)</f>
        <v>32.19</v>
      </c>
      <c r="AE68">
        <f>ROUND(((EU68)+ROUND(((EU68)*1.6),2)),6)</f>
        <v>0</v>
      </c>
      <c r="AF68">
        <f>ROUND(((EV68)+ROUND(((EV68)*1.6),2)),6)</f>
        <v>10.79</v>
      </c>
      <c r="AG68">
        <f t="shared" si="26"/>
        <v>0</v>
      </c>
      <c r="AH68">
        <f t="shared" si="62"/>
        <v>0.57769999999999999</v>
      </c>
      <c r="AI68">
        <f t="shared" si="62"/>
        <v>0</v>
      </c>
      <c r="AJ68">
        <f t="shared" si="27"/>
        <v>0</v>
      </c>
      <c r="AK68">
        <v>42.98</v>
      </c>
      <c r="AL68">
        <v>0</v>
      </c>
      <c r="AM68">
        <v>32.19</v>
      </c>
      <c r="AN68">
        <v>0</v>
      </c>
      <c r="AO68">
        <v>4.1500000000000004</v>
      </c>
      <c r="AP68">
        <v>0</v>
      </c>
      <c r="AQ68">
        <v>0.57769999999999999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H68">
        <v>0</v>
      </c>
      <c r="BI68">
        <v>1</v>
      </c>
      <c r="BJ68" t="s">
        <v>204</v>
      </c>
      <c r="BM68">
        <v>700004</v>
      </c>
      <c r="BN68">
        <v>0</v>
      </c>
      <c r="BP68">
        <v>0</v>
      </c>
      <c r="BQ68">
        <v>19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Z68">
        <v>0</v>
      </c>
      <c r="CA68">
        <v>0</v>
      </c>
      <c r="CE68">
        <v>0</v>
      </c>
      <c r="CF68">
        <v>0</v>
      </c>
      <c r="CG68">
        <v>0</v>
      </c>
      <c r="CM68">
        <v>0</v>
      </c>
      <c r="CO68">
        <v>0</v>
      </c>
      <c r="CP68">
        <f t="shared" si="28"/>
        <v>52.47</v>
      </c>
      <c r="CQ68">
        <f t="shared" si="29"/>
        <v>0</v>
      </c>
      <c r="CR68">
        <f t="shared" si="30"/>
        <v>32.19</v>
      </c>
      <c r="CS68">
        <f t="shared" si="31"/>
        <v>0</v>
      </c>
      <c r="CT68">
        <f t="shared" si="32"/>
        <v>10.79</v>
      </c>
      <c r="CU68">
        <f t="shared" si="33"/>
        <v>0</v>
      </c>
      <c r="CV68">
        <f t="shared" si="34"/>
        <v>0.57769999999999999</v>
      </c>
      <c r="CW68">
        <f t="shared" si="35"/>
        <v>0</v>
      </c>
      <c r="CX68">
        <f t="shared" si="36"/>
        <v>0</v>
      </c>
      <c r="CY68">
        <f t="shared" si="37"/>
        <v>0</v>
      </c>
      <c r="CZ68">
        <f t="shared" si="38"/>
        <v>0</v>
      </c>
      <c r="DN68">
        <v>0</v>
      </c>
      <c r="DO68">
        <v>0</v>
      </c>
      <c r="DP68">
        <v>1</v>
      </c>
      <c r="DQ68">
        <v>1</v>
      </c>
      <c r="DU68">
        <v>1013</v>
      </c>
      <c r="DV68" t="s">
        <v>203</v>
      </c>
      <c r="DW68" t="s">
        <v>203</v>
      </c>
      <c r="DX68">
        <v>1</v>
      </c>
      <c r="EE68">
        <v>958392290</v>
      </c>
      <c r="EF68">
        <v>19</v>
      </c>
      <c r="EG68" t="s">
        <v>205</v>
      </c>
      <c r="EH68">
        <v>0</v>
      </c>
      <c r="EJ68">
        <v>1</v>
      </c>
      <c r="EK68">
        <v>700004</v>
      </c>
      <c r="EL68" t="s">
        <v>206</v>
      </c>
      <c r="EM68" t="s">
        <v>207</v>
      </c>
      <c r="EQ68">
        <v>0</v>
      </c>
      <c r="ER68">
        <v>42.98</v>
      </c>
      <c r="ES68">
        <v>0</v>
      </c>
      <c r="ET68">
        <v>32.19</v>
      </c>
      <c r="EU68">
        <v>0</v>
      </c>
      <c r="EV68">
        <v>4.1500000000000004</v>
      </c>
      <c r="EW68">
        <v>0.57769999999999999</v>
      </c>
      <c r="EX68">
        <v>0</v>
      </c>
      <c r="EY68">
        <v>0</v>
      </c>
      <c r="FQ68">
        <v>0</v>
      </c>
      <c r="FR68">
        <f t="shared" si="39"/>
        <v>0</v>
      </c>
      <c r="FS68">
        <v>0</v>
      </c>
      <c r="FX68">
        <v>0</v>
      </c>
      <c r="FY68">
        <v>0</v>
      </c>
      <c r="GD68">
        <v>1</v>
      </c>
      <c r="GF68">
        <v>-135377105</v>
      </c>
      <c r="GG68">
        <v>2</v>
      </c>
      <c r="GH68">
        <v>1</v>
      </c>
      <c r="GI68">
        <v>-2</v>
      </c>
      <c r="GJ68">
        <v>0</v>
      </c>
      <c r="GK68">
        <v>0</v>
      </c>
      <c r="GL68">
        <f t="shared" si="40"/>
        <v>0</v>
      </c>
      <c r="GM68">
        <f t="shared" si="41"/>
        <v>52.47</v>
      </c>
      <c r="GN68">
        <f t="shared" si="42"/>
        <v>52.47</v>
      </c>
      <c r="GO68">
        <f t="shared" si="43"/>
        <v>0</v>
      </c>
      <c r="GP68">
        <f t="shared" si="44"/>
        <v>0</v>
      </c>
      <c r="GR68">
        <v>0</v>
      </c>
      <c r="GS68">
        <v>3</v>
      </c>
      <c r="GT68">
        <v>0</v>
      </c>
      <c r="GV68">
        <f t="shared" si="45"/>
        <v>0</v>
      </c>
      <c r="GW68">
        <v>1</v>
      </c>
      <c r="GX68">
        <f t="shared" si="46"/>
        <v>0</v>
      </c>
      <c r="HA68">
        <v>0</v>
      </c>
      <c r="HB68">
        <v>0</v>
      </c>
      <c r="HC68">
        <f t="shared" si="47"/>
        <v>0</v>
      </c>
      <c r="HD68">
        <f>GM68</f>
        <v>52.47</v>
      </c>
      <c r="IK68">
        <v>0</v>
      </c>
    </row>
    <row r="69" spans="1:245" x14ac:dyDescent="0.2">
      <c r="A69">
        <v>17</v>
      </c>
      <c r="B69">
        <v>1</v>
      </c>
      <c r="C69">
        <f>ROW(SmtRes!A146)</f>
        <v>146</v>
      </c>
      <c r="D69">
        <f>ROW(EtalonRes!A140)</f>
        <v>140</v>
      </c>
      <c r="E69" t="s">
        <v>201</v>
      </c>
      <c r="F69" t="s">
        <v>202</v>
      </c>
      <c r="G69" t="s">
        <v>86</v>
      </c>
      <c r="H69" t="s">
        <v>203</v>
      </c>
      <c r="I69">
        <v>1.2210000000000001</v>
      </c>
      <c r="J69">
        <v>0</v>
      </c>
      <c r="O69">
        <f t="shared" si="14"/>
        <v>763.04</v>
      </c>
      <c r="P69">
        <f t="shared" si="15"/>
        <v>0</v>
      </c>
      <c r="Q69">
        <f t="shared" si="16"/>
        <v>571.48</v>
      </c>
      <c r="R69">
        <f t="shared" si="17"/>
        <v>0</v>
      </c>
      <c r="S69">
        <f t="shared" si="18"/>
        <v>191.56</v>
      </c>
      <c r="T69">
        <f t="shared" si="19"/>
        <v>0</v>
      </c>
      <c r="U69">
        <f t="shared" si="20"/>
        <v>0.70537170000000005</v>
      </c>
      <c r="V69">
        <f t="shared" si="21"/>
        <v>0</v>
      </c>
      <c r="W69">
        <f t="shared" si="22"/>
        <v>0</v>
      </c>
      <c r="X69">
        <f t="shared" si="23"/>
        <v>0</v>
      </c>
      <c r="Y69">
        <f t="shared" si="24"/>
        <v>0</v>
      </c>
      <c r="AA69">
        <v>939971440</v>
      </c>
      <c r="AB69">
        <f t="shared" si="25"/>
        <v>42.98</v>
      </c>
      <c r="AC69">
        <f t="shared" si="48"/>
        <v>0</v>
      </c>
      <c r="AD69">
        <f>ROUND(((ET69)+ROUND(((EU69)*1.6),2)),6)</f>
        <v>32.19</v>
      </c>
      <c r="AE69">
        <f>ROUND(((EU69)+ROUND(((EU69)*1.6),2)),6)</f>
        <v>0</v>
      </c>
      <c r="AF69">
        <f>ROUND(((EV69)+ROUND(((EV69)*1.6),2)),6)</f>
        <v>10.79</v>
      </c>
      <c r="AG69">
        <f t="shared" si="26"/>
        <v>0</v>
      </c>
      <c r="AH69">
        <f t="shared" si="62"/>
        <v>0.57769999999999999</v>
      </c>
      <c r="AI69">
        <f t="shared" si="62"/>
        <v>0</v>
      </c>
      <c r="AJ69">
        <f t="shared" si="27"/>
        <v>0</v>
      </c>
      <c r="AK69">
        <v>42.98</v>
      </c>
      <c r="AL69">
        <v>0</v>
      </c>
      <c r="AM69">
        <v>32.19</v>
      </c>
      <c r="AN69">
        <v>0</v>
      </c>
      <c r="AO69">
        <v>4.1500000000000004</v>
      </c>
      <c r="AP69">
        <v>0</v>
      </c>
      <c r="AQ69">
        <v>0.57769999999999999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14.54</v>
      </c>
      <c r="BB69">
        <v>14.54</v>
      </c>
      <c r="BC69">
        <v>1</v>
      </c>
      <c r="BH69">
        <v>0</v>
      </c>
      <c r="BI69">
        <v>1</v>
      </c>
      <c r="BJ69" t="s">
        <v>204</v>
      </c>
      <c r="BM69">
        <v>700004</v>
      </c>
      <c r="BN69">
        <v>0</v>
      </c>
      <c r="BP69">
        <v>0</v>
      </c>
      <c r="BQ69">
        <v>19</v>
      </c>
      <c r="BR69">
        <v>0</v>
      </c>
      <c r="BS69">
        <v>14.54</v>
      </c>
      <c r="BT69">
        <v>1</v>
      </c>
      <c r="BU69">
        <v>1</v>
      </c>
      <c r="BV69">
        <v>1</v>
      </c>
      <c r="BW69">
        <v>1</v>
      </c>
      <c r="BX69">
        <v>1</v>
      </c>
      <c r="BZ69">
        <v>0</v>
      </c>
      <c r="CA69">
        <v>0</v>
      </c>
      <c r="CE69">
        <v>0</v>
      </c>
      <c r="CF69">
        <v>0</v>
      </c>
      <c r="CG69">
        <v>0</v>
      </c>
      <c r="CM69">
        <v>0</v>
      </c>
      <c r="CO69">
        <v>0</v>
      </c>
      <c r="CP69">
        <f t="shared" si="28"/>
        <v>763.04</v>
      </c>
      <c r="CQ69">
        <f t="shared" si="29"/>
        <v>0</v>
      </c>
      <c r="CR69">
        <f t="shared" si="30"/>
        <v>468.04259999999994</v>
      </c>
      <c r="CS69">
        <f t="shared" si="31"/>
        <v>0</v>
      </c>
      <c r="CT69">
        <f t="shared" si="32"/>
        <v>156.88659999999999</v>
      </c>
      <c r="CU69">
        <f t="shared" si="33"/>
        <v>0</v>
      </c>
      <c r="CV69">
        <f t="shared" si="34"/>
        <v>0.57769999999999999</v>
      </c>
      <c r="CW69">
        <f t="shared" si="35"/>
        <v>0</v>
      </c>
      <c r="CX69">
        <f t="shared" si="36"/>
        <v>0</v>
      </c>
      <c r="CY69">
        <f t="shared" si="37"/>
        <v>0</v>
      </c>
      <c r="CZ69">
        <f t="shared" si="38"/>
        <v>0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203</v>
      </c>
      <c r="DW69" t="s">
        <v>203</v>
      </c>
      <c r="DX69">
        <v>1</v>
      </c>
      <c r="EE69">
        <v>958392290</v>
      </c>
      <c r="EF69">
        <v>19</v>
      </c>
      <c r="EG69" t="s">
        <v>205</v>
      </c>
      <c r="EH69">
        <v>0</v>
      </c>
      <c r="EJ69">
        <v>1</v>
      </c>
      <c r="EK69">
        <v>700004</v>
      </c>
      <c r="EL69" t="s">
        <v>206</v>
      </c>
      <c r="EM69" t="s">
        <v>207</v>
      </c>
      <c r="EQ69">
        <v>0</v>
      </c>
      <c r="ER69">
        <v>42.98</v>
      </c>
      <c r="ES69">
        <v>0</v>
      </c>
      <c r="ET69">
        <v>32.19</v>
      </c>
      <c r="EU69">
        <v>0</v>
      </c>
      <c r="EV69">
        <v>4.1500000000000004</v>
      </c>
      <c r="EW69">
        <v>0.57769999999999999</v>
      </c>
      <c r="EX69">
        <v>0</v>
      </c>
      <c r="EY69">
        <v>0</v>
      </c>
      <c r="FQ69">
        <v>0</v>
      </c>
      <c r="FR69">
        <f t="shared" si="39"/>
        <v>0</v>
      </c>
      <c r="FS69">
        <v>0</v>
      </c>
      <c r="FX69">
        <v>0</v>
      </c>
      <c r="FY69">
        <v>0</v>
      </c>
      <c r="GD69">
        <v>1</v>
      </c>
      <c r="GF69">
        <v>-135377105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si="40"/>
        <v>0</v>
      </c>
      <c r="GM69">
        <f t="shared" si="41"/>
        <v>763.04</v>
      </c>
      <c r="GN69">
        <f t="shared" si="42"/>
        <v>763.04</v>
      </c>
      <c r="GO69">
        <f t="shared" si="43"/>
        <v>0</v>
      </c>
      <c r="GP69">
        <f t="shared" si="44"/>
        <v>0</v>
      </c>
      <c r="GR69">
        <v>0</v>
      </c>
      <c r="GS69">
        <v>3</v>
      </c>
      <c r="GT69">
        <v>0</v>
      </c>
      <c r="GV69">
        <f t="shared" si="45"/>
        <v>0</v>
      </c>
      <c r="GW69">
        <v>1</v>
      </c>
      <c r="GX69">
        <f t="shared" si="46"/>
        <v>0</v>
      </c>
      <c r="HA69">
        <v>0</v>
      </c>
      <c r="HB69">
        <v>0</v>
      </c>
      <c r="HC69">
        <f t="shared" si="47"/>
        <v>0</v>
      </c>
      <c r="HD69">
        <f>GM69</f>
        <v>763.04</v>
      </c>
      <c r="IK69">
        <v>0</v>
      </c>
    </row>
    <row r="70" spans="1:245" x14ac:dyDescent="0.2">
      <c r="A70">
        <v>17</v>
      </c>
      <c r="B70">
        <v>1</v>
      </c>
      <c r="C70">
        <f>ROW(SmtRes!A147)</f>
        <v>147</v>
      </c>
      <c r="D70">
        <f>ROW(EtalonRes!A141)</f>
        <v>141</v>
      </c>
      <c r="E70" t="s">
        <v>208</v>
      </c>
      <c r="F70" t="s">
        <v>209</v>
      </c>
      <c r="G70" t="s">
        <v>87</v>
      </c>
      <c r="H70" t="s">
        <v>203</v>
      </c>
      <c r="I70">
        <v>1.2210000000000001</v>
      </c>
      <c r="J70">
        <v>0</v>
      </c>
      <c r="O70">
        <f t="shared" si="14"/>
        <v>20.83</v>
      </c>
      <c r="P70">
        <f t="shared" si="15"/>
        <v>0</v>
      </c>
      <c r="Q70">
        <f t="shared" si="16"/>
        <v>20.83</v>
      </c>
      <c r="R70">
        <f t="shared" si="17"/>
        <v>0</v>
      </c>
      <c r="S70">
        <f t="shared" si="18"/>
        <v>0</v>
      </c>
      <c r="T70">
        <f t="shared" si="19"/>
        <v>0</v>
      </c>
      <c r="U70">
        <f t="shared" si="20"/>
        <v>0</v>
      </c>
      <c r="V70">
        <f t="shared" si="21"/>
        <v>0</v>
      </c>
      <c r="W70">
        <f t="shared" si="22"/>
        <v>0</v>
      </c>
      <c r="X70">
        <f t="shared" si="23"/>
        <v>0</v>
      </c>
      <c r="Y70">
        <f t="shared" si="24"/>
        <v>0</v>
      </c>
      <c r="AA70">
        <v>939971439</v>
      </c>
      <c r="AB70">
        <f t="shared" si="25"/>
        <v>17.059999999999999</v>
      </c>
      <c r="AC70">
        <f t="shared" si="48"/>
        <v>0</v>
      </c>
      <c r="AD70">
        <f>ROUND(((ET70)+ROUND(((EU70)*1.85),2)),6)</f>
        <v>17.059999999999999</v>
      </c>
      <c r="AE70">
        <f>ROUND(((EU70)+ROUND(((EU70)*1.85),2)),6)</f>
        <v>0</v>
      </c>
      <c r="AF70">
        <f>ROUND(((EV70)+ROUND(((EV70)*1.85),2)),6)</f>
        <v>0</v>
      </c>
      <c r="AG70">
        <f t="shared" si="26"/>
        <v>0</v>
      </c>
      <c r="AH70">
        <f t="shared" si="62"/>
        <v>0</v>
      </c>
      <c r="AI70">
        <f t="shared" si="62"/>
        <v>0</v>
      </c>
      <c r="AJ70">
        <f t="shared" si="27"/>
        <v>0</v>
      </c>
      <c r="AK70">
        <v>17.059999999999999</v>
      </c>
      <c r="AL70">
        <v>0</v>
      </c>
      <c r="AM70">
        <v>17.059999999999999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H70">
        <v>0</v>
      </c>
      <c r="BI70">
        <v>1</v>
      </c>
      <c r="BJ70" t="s">
        <v>210</v>
      </c>
      <c r="BM70">
        <v>700001</v>
      </c>
      <c r="BN70">
        <v>0</v>
      </c>
      <c r="BP70">
        <v>0</v>
      </c>
      <c r="BQ70">
        <v>10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Z70">
        <v>0</v>
      </c>
      <c r="CA70">
        <v>0</v>
      </c>
      <c r="CE70">
        <v>0</v>
      </c>
      <c r="CF70">
        <v>0</v>
      </c>
      <c r="CG70">
        <v>0</v>
      </c>
      <c r="CM70">
        <v>0</v>
      </c>
      <c r="CO70">
        <v>0</v>
      </c>
      <c r="CP70">
        <f t="shared" si="28"/>
        <v>20.83</v>
      </c>
      <c r="CQ70">
        <f t="shared" si="29"/>
        <v>0</v>
      </c>
      <c r="CR70">
        <f t="shared" si="30"/>
        <v>17.059999999999999</v>
      </c>
      <c r="CS70">
        <f t="shared" si="31"/>
        <v>0</v>
      </c>
      <c r="CT70">
        <f t="shared" si="32"/>
        <v>0</v>
      </c>
      <c r="CU70">
        <f t="shared" si="33"/>
        <v>0</v>
      </c>
      <c r="CV70">
        <f t="shared" si="34"/>
        <v>0</v>
      </c>
      <c r="CW70">
        <f t="shared" si="35"/>
        <v>0</v>
      </c>
      <c r="CX70">
        <f t="shared" si="36"/>
        <v>0</v>
      </c>
      <c r="CY70">
        <f t="shared" si="37"/>
        <v>0</v>
      </c>
      <c r="CZ70">
        <f t="shared" si="38"/>
        <v>0</v>
      </c>
      <c r="DN70">
        <v>0</v>
      </c>
      <c r="DO70">
        <v>0</v>
      </c>
      <c r="DP70">
        <v>1</v>
      </c>
      <c r="DQ70">
        <v>1</v>
      </c>
      <c r="DU70">
        <v>1013</v>
      </c>
      <c r="DV70" t="s">
        <v>203</v>
      </c>
      <c r="DW70" t="s">
        <v>203</v>
      </c>
      <c r="DX70">
        <v>1</v>
      </c>
      <c r="EE70">
        <v>958392040</v>
      </c>
      <c r="EF70">
        <v>10</v>
      </c>
      <c r="EG70" t="s">
        <v>211</v>
      </c>
      <c r="EH70">
        <v>0</v>
      </c>
      <c r="EJ70">
        <v>1</v>
      </c>
      <c r="EK70">
        <v>700001</v>
      </c>
      <c r="EL70" t="s">
        <v>212</v>
      </c>
      <c r="EM70" t="s">
        <v>213</v>
      </c>
      <c r="EQ70">
        <v>0</v>
      </c>
      <c r="ER70">
        <v>17.059999999999999</v>
      </c>
      <c r="ES70">
        <v>0</v>
      </c>
      <c r="ET70">
        <v>17.059999999999999</v>
      </c>
      <c r="EU70">
        <v>0</v>
      </c>
      <c r="EV70">
        <v>0</v>
      </c>
      <c r="EW70">
        <v>0</v>
      </c>
      <c r="EX70">
        <v>0</v>
      </c>
      <c r="EY70">
        <v>0</v>
      </c>
      <c r="FQ70">
        <v>0</v>
      </c>
      <c r="FR70">
        <f t="shared" si="39"/>
        <v>0</v>
      </c>
      <c r="FS70">
        <v>0</v>
      </c>
      <c r="FX70">
        <v>0</v>
      </c>
      <c r="FY70">
        <v>0</v>
      </c>
      <c r="GD70">
        <v>1</v>
      </c>
      <c r="GF70">
        <v>1949664750</v>
      </c>
      <c r="GG70">
        <v>2</v>
      </c>
      <c r="GH70">
        <v>1</v>
      </c>
      <c r="GI70">
        <v>-2</v>
      </c>
      <c r="GJ70">
        <v>0</v>
      </c>
      <c r="GK70">
        <v>0</v>
      </c>
      <c r="GL70">
        <f t="shared" si="40"/>
        <v>0</v>
      </c>
      <c r="GM70">
        <f t="shared" si="41"/>
        <v>20.83</v>
      </c>
      <c r="GN70">
        <f t="shared" si="42"/>
        <v>20.83</v>
      </c>
      <c r="GO70">
        <f t="shared" si="43"/>
        <v>0</v>
      </c>
      <c r="GP70">
        <f t="shared" si="44"/>
        <v>0</v>
      </c>
      <c r="GR70">
        <v>0</v>
      </c>
      <c r="GS70">
        <v>3</v>
      </c>
      <c r="GT70">
        <v>0</v>
      </c>
      <c r="GV70">
        <f t="shared" si="45"/>
        <v>0</v>
      </c>
      <c r="GW70">
        <v>1</v>
      </c>
      <c r="GX70">
        <f t="shared" si="46"/>
        <v>0</v>
      </c>
      <c r="HA70">
        <v>0</v>
      </c>
      <c r="HB70">
        <v>0</v>
      </c>
      <c r="HC70">
        <f t="shared" si="47"/>
        <v>0</v>
      </c>
      <c r="HD70">
        <f>GM70</f>
        <v>20.83</v>
      </c>
      <c r="IK70">
        <v>0</v>
      </c>
    </row>
    <row r="71" spans="1:245" x14ac:dyDescent="0.2">
      <c r="A71">
        <v>17</v>
      </c>
      <c r="B71">
        <v>1</v>
      </c>
      <c r="C71">
        <f>ROW(SmtRes!A148)</f>
        <v>148</v>
      </c>
      <c r="D71">
        <f>ROW(EtalonRes!A142)</f>
        <v>142</v>
      </c>
      <c r="E71" t="s">
        <v>208</v>
      </c>
      <c r="F71" t="s">
        <v>209</v>
      </c>
      <c r="G71" t="s">
        <v>87</v>
      </c>
      <c r="H71" t="s">
        <v>203</v>
      </c>
      <c r="I71">
        <v>1.2210000000000001</v>
      </c>
      <c r="J71">
        <v>0</v>
      </c>
      <c r="O71">
        <f t="shared" si="14"/>
        <v>206.01</v>
      </c>
      <c r="P71">
        <f t="shared" si="15"/>
        <v>0</v>
      </c>
      <c r="Q71">
        <f t="shared" si="16"/>
        <v>206.01</v>
      </c>
      <c r="R71">
        <f t="shared" si="17"/>
        <v>0</v>
      </c>
      <c r="S71">
        <f t="shared" si="18"/>
        <v>0</v>
      </c>
      <c r="T71">
        <f t="shared" si="19"/>
        <v>0</v>
      </c>
      <c r="U71">
        <f t="shared" si="20"/>
        <v>0</v>
      </c>
      <c r="V71">
        <f t="shared" si="21"/>
        <v>0</v>
      </c>
      <c r="W71">
        <f t="shared" si="22"/>
        <v>0</v>
      </c>
      <c r="X71">
        <f t="shared" si="23"/>
        <v>0</v>
      </c>
      <c r="Y71">
        <f t="shared" si="24"/>
        <v>0</v>
      </c>
      <c r="AA71">
        <v>939971440</v>
      </c>
      <c r="AB71">
        <f t="shared" si="25"/>
        <v>17.059999999999999</v>
      </c>
      <c r="AC71">
        <f t="shared" si="48"/>
        <v>0</v>
      </c>
      <c r="AD71">
        <f>ROUND(((ET71)+ROUND(((EU71)*1.85),2)),6)</f>
        <v>17.059999999999999</v>
      </c>
      <c r="AE71">
        <f>ROUND(((EU71)+ROUND(((EU71)*1.85),2)),6)</f>
        <v>0</v>
      </c>
      <c r="AF71">
        <f>ROUND(((EV71)+ROUND(((EV71)*1.85),2)),6)</f>
        <v>0</v>
      </c>
      <c r="AG71">
        <f t="shared" si="26"/>
        <v>0</v>
      </c>
      <c r="AH71">
        <f t="shared" si="62"/>
        <v>0</v>
      </c>
      <c r="AI71">
        <f t="shared" si="62"/>
        <v>0</v>
      </c>
      <c r="AJ71">
        <f t="shared" si="27"/>
        <v>0</v>
      </c>
      <c r="AK71">
        <v>17.059999999999999</v>
      </c>
      <c r="AL71">
        <v>0</v>
      </c>
      <c r="AM71">
        <v>17.059999999999999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</v>
      </c>
      <c r="AW71">
        <v>1</v>
      </c>
      <c r="AZ71">
        <v>1</v>
      </c>
      <c r="BA71">
        <v>9.89</v>
      </c>
      <c r="BB71">
        <v>9.89</v>
      </c>
      <c r="BC71">
        <v>1</v>
      </c>
      <c r="BH71">
        <v>0</v>
      </c>
      <c r="BI71">
        <v>1</v>
      </c>
      <c r="BJ71" t="s">
        <v>210</v>
      </c>
      <c r="BM71">
        <v>700001</v>
      </c>
      <c r="BN71">
        <v>0</v>
      </c>
      <c r="BP71">
        <v>0</v>
      </c>
      <c r="BQ71">
        <v>10</v>
      </c>
      <c r="BR71">
        <v>0</v>
      </c>
      <c r="BS71">
        <v>9.89</v>
      </c>
      <c r="BT71">
        <v>1</v>
      </c>
      <c r="BU71">
        <v>1</v>
      </c>
      <c r="BV71">
        <v>1</v>
      </c>
      <c r="BW71">
        <v>1</v>
      </c>
      <c r="BX71">
        <v>1</v>
      </c>
      <c r="BZ71">
        <v>0</v>
      </c>
      <c r="CA71">
        <v>0</v>
      </c>
      <c r="CE71">
        <v>0</v>
      </c>
      <c r="CF71">
        <v>0</v>
      </c>
      <c r="CG71">
        <v>0</v>
      </c>
      <c r="CM71">
        <v>0</v>
      </c>
      <c r="CO71">
        <v>0</v>
      </c>
      <c r="CP71">
        <f t="shared" si="28"/>
        <v>206.01</v>
      </c>
      <c r="CQ71">
        <f t="shared" si="29"/>
        <v>0</v>
      </c>
      <c r="CR71">
        <f t="shared" si="30"/>
        <v>168.7234</v>
      </c>
      <c r="CS71">
        <f t="shared" si="31"/>
        <v>0</v>
      </c>
      <c r="CT71">
        <f t="shared" si="32"/>
        <v>0</v>
      </c>
      <c r="CU71">
        <f t="shared" si="33"/>
        <v>0</v>
      </c>
      <c r="CV71">
        <f t="shared" si="34"/>
        <v>0</v>
      </c>
      <c r="CW71">
        <f t="shared" si="35"/>
        <v>0</v>
      </c>
      <c r="CX71">
        <f t="shared" si="36"/>
        <v>0</v>
      </c>
      <c r="CY71">
        <f t="shared" si="37"/>
        <v>0</v>
      </c>
      <c r="CZ71">
        <f t="shared" si="38"/>
        <v>0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203</v>
      </c>
      <c r="DW71" t="s">
        <v>203</v>
      </c>
      <c r="DX71">
        <v>1</v>
      </c>
      <c r="EE71">
        <v>958392040</v>
      </c>
      <c r="EF71">
        <v>10</v>
      </c>
      <c r="EG71" t="s">
        <v>211</v>
      </c>
      <c r="EH71">
        <v>0</v>
      </c>
      <c r="EJ71">
        <v>1</v>
      </c>
      <c r="EK71">
        <v>700001</v>
      </c>
      <c r="EL71" t="s">
        <v>212</v>
      </c>
      <c r="EM71" t="s">
        <v>213</v>
      </c>
      <c r="EQ71">
        <v>0</v>
      </c>
      <c r="ER71">
        <v>17.059999999999999</v>
      </c>
      <c r="ES71">
        <v>0</v>
      </c>
      <c r="ET71">
        <v>17.059999999999999</v>
      </c>
      <c r="EU71">
        <v>0</v>
      </c>
      <c r="EV71">
        <v>0</v>
      </c>
      <c r="EW71">
        <v>0</v>
      </c>
      <c r="EX71">
        <v>0</v>
      </c>
      <c r="EY71">
        <v>0</v>
      </c>
      <c r="FQ71">
        <v>0</v>
      </c>
      <c r="FR71">
        <f t="shared" si="39"/>
        <v>0</v>
      </c>
      <c r="FS71">
        <v>0</v>
      </c>
      <c r="FX71">
        <v>0</v>
      </c>
      <c r="FY71">
        <v>0</v>
      </c>
      <c r="GD71">
        <v>1</v>
      </c>
      <c r="GF71">
        <v>1949664750</v>
      </c>
      <c r="GG71">
        <v>2</v>
      </c>
      <c r="GH71">
        <v>1</v>
      </c>
      <c r="GI71">
        <v>2</v>
      </c>
      <c r="GJ71">
        <v>0</v>
      </c>
      <c r="GK71">
        <v>0</v>
      </c>
      <c r="GL71">
        <f t="shared" si="40"/>
        <v>0</v>
      </c>
      <c r="GM71">
        <f t="shared" si="41"/>
        <v>206.01</v>
      </c>
      <c r="GN71">
        <f t="shared" si="42"/>
        <v>206.01</v>
      </c>
      <c r="GO71">
        <f t="shared" si="43"/>
        <v>0</v>
      </c>
      <c r="GP71">
        <f t="shared" si="44"/>
        <v>0</v>
      </c>
      <c r="GR71">
        <v>0</v>
      </c>
      <c r="GS71">
        <v>3</v>
      </c>
      <c r="GT71">
        <v>0</v>
      </c>
      <c r="GV71">
        <f t="shared" si="45"/>
        <v>0</v>
      </c>
      <c r="GW71">
        <v>1</v>
      </c>
      <c r="GX71">
        <f t="shared" si="46"/>
        <v>0</v>
      </c>
      <c r="HA71">
        <v>0</v>
      </c>
      <c r="HB71">
        <v>0</v>
      </c>
      <c r="HC71">
        <f t="shared" si="47"/>
        <v>0</v>
      </c>
      <c r="HD71">
        <f>GM71</f>
        <v>206.01</v>
      </c>
      <c r="IK71">
        <v>0</v>
      </c>
    </row>
    <row r="73" spans="1:245" x14ac:dyDescent="0.2">
      <c r="A73">
        <v>51</v>
      </c>
      <c r="B73">
        <f>B20</f>
        <v>1</v>
      </c>
      <c r="C73">
        <f>A20</f>
        <v>3</v>
      </c>
      <c r="D73">
        <f>ROW(A20)</f>
        <v>20</v>
      </c>
      <c r="F73" t="str">
        <f>IF(F20&lt;&gt;"",F20,"")</f>
        <v>Ремонт ступеней</v>
      </c>
      <c r="G73" t="str">
        <f>IF(G20&lt;&gt;"",G20,"")</f>
        <v>Ремонт ступеней</v>
      </c>
      <c r="H73">
        <v>0</v>
      </c>
      <c r="O73">
        <f t="shared" ref="O73:T73" si="63">ROUND(AB73,2)</f>
        <v>26154.39</v>
      </c>
      <c r="P73">
        <f t="shared" si="63"/>
        <v>23281.58</v>
      </c>
      <c r="Q73">
        <f t="shared" si="63"/>
        <v>717.3</v>
      </c>
      <c r="R73">
        <f t="shared" si="63"/>
        <v>148.5</v>
      </c>
      <c r="S73">
        <f t="shared" si="63"/>
        <v>2155.5100000000002</v>
      </c>
      <c r="T73">
        <f t="shared" si="63"/>
        <v>0</v>
      </c>
      <c r="U73">
        <f>AH73</f>
        <v>250.0861147</v>
      </c>
      <c r="V73">
        <f>AI73</f>
        <v>13.531219999999999</v>
      </c>
      <c r="W73">
        <f>ROUND(AJ73,2)</f>
        <v>71.45</v>
      </c>
      <c r="X73">
        <f>ROUND(AK73,2)</f>
        <v>2347.58</v>
      </c>
      <c r="Y73">
        <f>ROUND(AL73,2)</f>
        <v>1606.01</v>
      </c>
      <c r="AB73">
        <f>ROUND(SUMIF(AA24:AA71,"=939971439",O24:O71),2)</f>
        <v>26154.39</v>
      </c>
      <c r="AC73">
        <f>ROUND(SUMIF(AA24:AA71,"=939971439",P24:P71),2)</f>
        <v>23281.58</v>
      </c>
      <c r="AD73">
        <f>ROUND(SUMIF(AA24:AA71,"=939971439",Q24:Q71),2)</f>
        <v>717.3</v>
      </c>
      <c r="AE73">
        <f>ROUND(SUMIF(AA24:AA71,"=939971439",R24:R71),2)</f>
        <v>148.5</v>
      </c>
      <c r="AF73">
        <f>ROUND(SUMIF(AA24:AA71,"=939971439",S24:S71),2)</f>
        <v>2155.5100000000002</v>
      </c>
      <c r="AG73">
        <f>ROUND(SUMIF(AA24:AA71,"=939971439",T24:T71),2)</f>
        <v>0</v>
      </c>
      <c r="AH73">
        <f>SUMIF(AA24:AA71,"=939971439",U24:U71)</f>
        <v>250.0861147</v>
      </c>
      <c r="AI73">
        <f>SUMIF(AA24:AA71,"=939971439",V24:V71)</f>
        <v>13.531219999999999</v>
      </c>
      <c r="AJ73">
        <f>ROUND(SUMIF(AA24:AA71,"=939971439",W24:W71),2)</f>
        <v>71.45</v>
      </c>
      <c r="AK73">
        <f>ROUND(SUMIF(AA24:AA71,"=939971439",X24:X71),2)</f>
        <v>2347.58</v>
      </c>
      <c r="AL73">
        <f>ROUND(SUMIF(AA24:AA71,"=939971439",Y24:Y71),2)</f>
        <v>1606.01</v>
      </c>
      <c r="AO73">
        <f t="shared" ref="AO73:BD73" si="64">ROUND(BX73,2)</f>
        <v>0</v>
      </c>
      <c r="AP73">
        <f t="shared" si="64"/>
        <v>0</v>
      </c>
      <c r="AQ73">
        <f t="shared" si="64"/>
        <v>0</v>
      </c>
      <c r="AR73">
        <f t="shared" si="64"/>
        <v>30107.98</v>
      </c>
      <c r="AS73">
        <f t="shared" si="64"/>
        <v>30107.98</v>
      </c>
      <c r="AT73">
        <f t="shared" si="64"/>
        <v>0</v>
      </c>
      <c r="AU73">
        <f t="shared" si="64"/>
        <v>0</v>
      </c>
      <c r="AV73">
        <f t="shared" si="64"/>
        <v>23281.58</v>
      </c>
      <c r="AW73">
        <f t="shared" si="64"/>
        <v>23281.58</v>
      </c>
      <c r="AX73">
        <f t="shared" si="64"/>
        <v>0</v>
      </c>
      <c r="AY73">
        <f t="shared" si="64"/>
        <v>23281.58</v>
      </c>
      <c r="AZ73">
        <f t="shared" si="64"/>
        <v>0</v>
      </c>
      <c r="BA73">
        <f t="shared" si="64"/>
        <v>0</v>
      </c>
      <c r="BB73">
        <f t="shared" si="64"/>
        <v>0</v>
      </c>
      <c r="BC73">
        <f t="shared" si="64"/>
        <v>0</v>
      </c>
      <c r="BD73">
        <f t="shared" si="64"/>
        <v>73.3</v>
      </c>
      <c r="BX73">
        <f>ROUND(SUMIF(AA24:AA71,"=939971439",FQ24:FQ71),2)</f>
        <v>0</v>
      </c>
      <c r="BY73">
        <f>ROUND(SUMIF(AA24:AA71,"=939971439",FR24:FR71),2)</f>
        <v>0</v>
      </c>
      <c r="BZ73">
        <f>ROUND(SUMIF(AA24:AA71,"=939971439",GL24:GL71),2)</f>
        <v>0</v>
      </c>
      <c r="CA73">
        <f>ROUND(SUMIF(AA24:AA71,"=939971439",GM24:GM71),2)</f>
        <v>30107.98</v>
      </c>
      <c r="CB73">
        <f>ROUND(SUMIF(AA24:AA71,"=939971439",GN24:GN71),2)</f>
        <v>30107.98</v>
      </c>
      <c r="CC73">
        <f>ROUND(SUMIF(AA24:AA71,"=939971439",GO24:GO71),2)</f>
        <v>0</v>
      </c>
      <c r="CD73">
        <f>ROUND(SUMIF(AA24:AA71,"=939971439",GP24:GP71),2)</f>
        <v>0</v>
      </c>
      <c r="CE73">
        <f>AC73-BX73</f>
        <v>23281.58</v>
      </c>
      <c r="CF73">
        <f>AC73-BY73</f>
        <v>23281.58</v>
      </c>
      <c r="CG73">
        <f>BX73-BZ73</f>
        <v>0</v>
      </c>
      <c r="CH73">
        <f>AC73-BX73-BY73+BZ73</f>
        <v>23281.58</v>
      </c>
      <c r="CI73">
        <f>BY73-BZ73</f>
        <v>0</v>
      </c>
      <c r="CJ73">
        <f>ROUND(SUMIF(AA24:AA71,"=939971439",GX24:GX71),2)</f>
        <v>0</v>
      </c>
      <c r="CK73">
        <f>ROUND(SUMIF(AA24:AA71,"=939971439",GY24:GY71),2)</f>
        <v>0</v>
      </c>
      <c r="CL73">
        <f>ROUND(SUMIF(AA24:AA71,"=939971439",GZ24:GZ71),2)</f>
        <v>0</v>
      </c>
      <c r="CM73">
        <f>ROUND(SUMIF(AA24:AA71,"=939971439",HD24:HD71),2)</f>
        <v>73.3</v>
      </c>
      <c r="DG73">
        <f t="shared" ref="DG73:DL73" si="65">ROUND(DT73,2)</f>
        <v>138712.72</v>
      </c>
      <c r="DH73">
        <f t="shared" si="65"/>
        <v>58554.05</v>
      </c>
      <c r="DI73">
        <f t="shared" si="65"/>
        <v>8284.58</v>
      </c>
      <c r="DJ73">
        <f t="shared" si="65"/>
        <v>4968.8999999999996</v>
      </c>
      <c r="DK73">
        <f t="shared" si="65"/>
        <v>71874.09</v>
      </c>
      <c r="DL73">
        <f t="shared" si="65"/>
        <v>0</v>
      </c>
      <c r="DM73">
        <f>DZ73</f>
        <v>250.0861147</v>
      </c>
      <c r="DN73">
        <f>EA73</f>
        <v>13.531219999999999</v>
      </c>
      <c r="DO73">
        <f>ROUND(EB73,2)</f>
        <v>71.45</v>
      </c>
      <c r="DP73">
        <f>ROUND(EC73,2)</f>
        <v>78549.87</v>
      </c>
      <c r="DQ73">
        <f>ROUND(ED73,2)</f>
        <v>53736.72</v>
      </c>
      <c r="DT73">
        <f>ROUND(SUMIF(AA24:AA71,"=939971440",O24:O71),2)</f>
        <v>138712.72</v>
      </c>
      <c r="DU73">
        <f>ROUND(SUMIF(AA24:AA71,"=939971440",P24:P71),2)</f>
        <v>58554.05</v>
      </c>
      <c r="DV73">
        <f>ROUND(SUMIF(AA24:AA71,"=939971440",Q24:Q71),2)</f>
        <v>8284.58</v>
      </c>
      <c r="DW73">
        <f>ROUND(SUMIF(AA24:AA71,"=939971440",R24:R71),2)</f>
        <v>4968.8999999999996</v>
      </c>
      <c r="DX73">
        <f>ROUND(SUMIF(AA24:AA71,"=939971440",S24:S71),2)</f>
        <v>71874.09</v>
      </c>
      <c r="DY73">
        <f>ROUND(SUMIF(AA24:AA71,"=939971440",T24:T71),2)</f>
        <v>0</v>
      </c>
      <c r="DZ73">
        <f>SUMIF(AA24:AA71,"=939971440",U24:U71)</f>
        <v>250.0861147</v>
      </c>
      <c r="EA73">
        <f>SUMIF(AA24:AA71,"=939971440",V24:V71)</f>
        <v>13.531219999999999</v>
      </c>
      <c r="EB73">
        <f>ROUND(SUMIF(AA24:AA71,"=939971440",W24:W71),2)</f>
        <v>71.45</v>
      </c>
      <c r="EC73">
        <f>ROUND(SUMIF(AA24:AA71,"=939971440",X24:X71),2)</f>
        <v>78549.87</v>
      </c>
      <c r="ED73">
        <f>ROUND(SUMIF(AA24:AA71,"=939971440",Y24:Y71),2)</f>
        <v>53736.72</v>
      </c>
      <c r="EG73">
        <f t="shared" ref="EG73:EV73" si="66">ROUND(FP73,2)</f>
        <v>0</v>
      </c>
      <c r="EH73">
        <f t="shared" si="66"/>
        <v>0</v>
      </c>
      <c r="EI73">
        <f t="shared" si="66"/>
        <v>0</v>
      </c>
      <c r="EJ73">
        <f t="shared" si="66"/>
        <v>270999.31</v>
      </c>
      <c r="EK73">
        <f t="shared" si="66"/>
        <v>270999.31</v>
      </c>
      <c r="EL73">
        <f t="shared" si="66"/>
        <v>0</v>
      </c>
      <c r="EM73">
        <f t="shared" si="66"/>
        <v>0</v>
      </c>
      <c r="EN73">
        <f t="shared" si="66"/>
        <v>58554.05</v>
      </c>
      <c r="EO73">
        <f t="shared" si="66"/>
        <v>58554.05</v>
      </c>
      <c r="EP73">
        <f t="shared" si="66"/>
        <v>0</v>
      </c>
      <c r="EQ73">
        <f t="shared" si="66"/>
        <v>58554.05</v>
      </c>
      <c r="ER73">
        <f t="shared" si="66"/>
        <v>0</v>
      </c>
      <c r="ES73">
        <f t="shared" si="66"/>
        <v>0</v>
      </c>
      <c r="ET73">
        <f t="shared" si="66"/>
        <v>0</v>
      </c>
      <c r="EU73">
        <f t="shared" si="66"/>
        <v>0</v>
      </c>
      <c r="EV73">
        <f t="shared" si="66"/>
        <v>969.05</v>
      </c>
      <c r="FP73">
        <f>ROUND(SUMIF(AA24:AA71,"=939971440",FQ24:FQ71),2)</f>
        <v>0</v>
      </c>
      <c r="FQ73">
        <f>ROUND(SUMIF(AA24:AA71,"=939971440",FR24:FR71),2)</f>
        <v>0</v>
      </c>
      <c r="FR73">
        <f>ROUND(SUMIF(AA24:AA71,"=939971440",GL24:GL71),2)</f>
        <v>0</v>
      </c>
      <c r="FS73">
        <f>ROUND(SUMIF(AA24:AA71,"=939971440",GM24:GM71),2)</f>
        <v>270999.31</v>
      </c>
      <c r="FT73">
        <f>ROUND(SUMIF(AA24:AA71,"=939971440",GN24:GN71),2)</f>
        <v>270999.31</v>
      </c>
      <c r="FU73">
        <f>ROUND(SUMIF(AA24:AA71,"=939971440",GO24:GO71),2)</f>
        <v>0</v>
      </c>
      <c r="FV73">
        <f>ROUND(SUMIF(AA24:AA71,"=939971440",GP24:GP71),2)</f>
        <v>0</v>
      </c>
      <c r="FW73">
        <f>DU73-FP73</f>
        <v>58554.05</v>
      </c>
      <c r="FX73">
        <f>DU73-FQ73</f>
        <v>58554.05</v>
      </c>
      <c r="FY73">
        <f>FP73-FR73</f>
        <v>0</v>
      </c>
      <c r="FZ73">
        <f>DU73-FP73-FQ73+FR73</f>
        <v>58554.05</v>
      </c>
      <c r="GA73">
        <f>FQ73-FR73</f>
        <v>0</v>
      </c>
      <c r="GB73">
        <f>ROUND(SUMIF(AA24:AA71,"=939971440",GX24:GX71),2)</f>
        <v>0</v>
      </c>
      <c r="GC73">
        <f>ROUND(SUMIF(AA24:AA71,"=939971440",GY24:GY71),2)</f>
        <v>0</v>
      </c>
      <c r="GD73">
        <f>ROUND(SUMIF(AA24:AA71,"=939971440",GZ24:GZ71),2)</f>
        <v>0</v>
      </c>
      <c r="GE73">
        <f>ROUND(SUMIF(AA24:AA71,"=939971440",HD24:HD71),2)</f>
        <v>969.05</v>
      </c>
      <c r="GX73">
        <v>0</v>
      </c>
    </row>
    <row r="75" spans="1:245" x14ac:dyDescent="0.2">
      <c r="A75">
        <v>50</v>
      </c>
      <c r="B75">
        <v>0</v>
      </c>
      <c r="C75">
        <v>0</v>
      </c>
      <c r="D75">
        <v>1</v>
      </c>
      <c r="E75">
        <v>201</v>
      </c>
      <c r="F75">
        <f>ROUND(Source!O73,O75)</f>
        <v>26154.39</v>
      </c>
      <c r="G75" t="s">
        <v>214</v>
      </c>
      <c r="H75" t="s">
        <v>215</v>
      </c>
      <c r="K75">
        <v>201</v>
      </c>
      <c r="L75">
        <v>1</v>
      </c>
      <c r="M75">
        <v>3</v>
      </c>
      <c r="O75">
        <v>2</v>
      </c>
      <c r="P75">
        <f>ROUND(Source!DG73,O75)</f>
        <v>138712.72</v>
      </c>
    </row>
    <row r="76" spans="1:245" x14ac:dyDescent="0.2">
      <c r="A76">
        <v>50</v>
      </c>
      <c r="B76">
        <v>0</v>
      </c>
      <c r="C76">
        <v>0</v>
      </c>
      <c r="D76">
        <v>1</v>
      </c>
      <c r="E76">
        <v>202</v>
      </c>
      <c r="F76">
        <f>ROUND(Source!P73,O76)</f>
        <v>23281.58</v>
      </c>
      <c r="G76" t="s">
        <v>216</v>
      </c>
      <c r="H76" t="s">
        <v>217</v>
      </c>
      <c r="K76">
        <v>202</v>
      </c>
      <c r="L76">
        <v>2</v>
      </c>
      <c r="M76">
        <v>3</v>
      </c>
      <c r="O76">
        <v>2</v>
      </c>
      <c r="P76">
        <f>ROUND(Source!DH73,O76)</f>
        <v>58554.05</v>
      </c>
    </row>
    <row r="77" spans="1:245" x14ac:dyDescent="0.2">
      <c r="A77">
        <v>50</v>
      </c>
      <c r="B77">
        <v>0</v>
      </c>
      <c r="C77">
        <v>0</v>
      </c>
      <c r="D77">
        <v>1</v>
      </c>
      <c r="E77">
        <v>222</v>
      </c>
      <c r="F77">
        <f>ROUND(Source!AO73,O77)</f>
        <v>0</v>
      </c>
      <c r="G77" t="s">
        <v>218</v>
      </c>
      <c r="H77" t="s">
        <v>219</v>
      </c>
      <c r="K77">
        <v>222</v>
      </c>
      <c r="L77">
        <v>3</v>
      </c>
      <c r="M77">
        <v>3</v>
      </c>
      <c r="O77">
        <v>2</v>
      </c>
      <c r="P77">
        <f>ROUND(Source!EG73,O77)</f>
        <v>0</v>
      </c>
    </row>
    <row r="78" spans="1:245" x14ac:dyDescent="0.2">
      <c r="A78">
        <v>50</v>
      </c>
      <c r="B78">
        <v>0</v>
      </c>
      <c r="C78">
        <v>0</v>
      </c>
      <c r="D78">
        <v>1</v>
      </c>
      <c r="E78">
        <v>225</v>
      </c>
      <c r="F78">
        <f>ROUND(Source!AV73,O78)</f>
        <v>23281.58</v>
      </c>
      <c r="G78" t="s">
        <v>220</v>
      </c>
      <c r="H78" t="s">
        <v>221</v>
      </c>
      <c r="K78">
        <v>225</v>
      </c>
      <c r="L78">
        <v>4</v>
      </c>
      <c r="M78">
        <v>3</v>
      </c>
      <c r="O78">
        <v>2</v>
      </c>
      <c r="P78">
        <f>ROUND(Source!EN73,O78)</f>
        <v>58554.05</v>
      </c>
    </row>
    <row r="79" spans="1:245" x14ac:dyDescent="0.2">
      <c r="A79">
        <v>50</v>
      </c>
      <c r="B79">
        <v>0</v>
      </c>
      <c r="C79">
        <v>0</v>
      </c>
      <c r="D79">
        <v>1</v>
      </c>
      <c r="E79">
        <v>226</v>
      </c>
      <c r="F79">
        <f>ROUND(Source!AW73,O79)</f>
        <v>23281.58</v>
      </c>
      <c r="G79" t="s">
        <v>222</v>
      </c>
      <c r="H79" t="s">
        <v>223</v>
      </c>
      <c r="K79">
        <v>226</v>
      </c>
      <c r="L79">
        <v>5</v>
      </c>
      <c r="M79">
        <v>3</v>
      </c>
      <c r="O79">
        <v>2</v>
      </c>
      <c r="P79">
        <f>ROUND(Source!EO73,O79)</f>
        <v>58554.05</v>
      </c>
    </row>
    <row r="80" spans="1:245" x14ac:dyDescent="0.2">
      <c r="A80">
        <v>50</v>
      </c>
      <c r="B80">
        <v>0</v>
      </c>
      <c r="C80">
        <v>0</v>
      </c>
      <c r="D80">
        <v>1</v>
      </c>
      <c r="E80">
        <v>227</v>
      </c>
      <c r="F80">
        <f>ROUND(Source!AX73,O80)</f>
        <v>0</v>
      </c>
      <c r="G80" t="s">
        <v>224</v>
      </c>
      <c r="H80" t="s">
        <v>225</v>
      </c>
      <c r="K80">
        <v>227</v>
      </c>
      <c r="L80">
        <v>6</v>
      </c>
      <c r="M80">
        <v>3</v>
      </c>
      <c r="O80">
        <v>2</v>
      </c>
      <c r="P80">
        <f>ROUND(Source!EP73,O80)</f>
        <v>0</v>
      </c>
    </row>
    <row r="81" spans="1:16" x14ac:dyDescent="0.2">
      <c r="A81">
        <v>50</v>
      </c>
      <c r="B81">
        <v>0</v>
      </c>
      <c r="C81">
        <v>0</v>
      </c>
      <c r="D81">
        <v>1</v>
      </c>
      <c r="E81">
        <v>228</v>
      </c>
      <c r="F81">
        <f>ROUND(Source!AY73,O81)</f>
        <v>23281.58</v>
      </c>
      <c r="G81" t="s">
        <v>226</v>
      </c>
      <c r="H81" t="s">
        <v>227</v>
      </c>
      <c r="K81">
        <v>228</v>
      </c>
      <c r="L81">
        <v>7</v>
      </c>
      <c r="M81">
        <v>3</v>
      </c>
      <c r="O81">
        <v>2</v>
      </c>
      <c r="P81">
        <f>ROUND(Source!EQ73,O81)</f>
        <v>58554.05</v>
      </c>
    </row>
    <row r="82" spans="1:16" x14ac:dyDescent="0.2">
      <c r="A82">
        <v>50</v>
      </c>
      <c r="B82">
        <v>0</v>
      </c>
      <c r="C82">
        <v>0</v>
      </c>
      <c r="D82">
        <v>1</v>
      </c>
      <c r="E82">
        <v>216</v>
      </c>
      <c r="F82">
        <f>ROUND(Source!AP73,O82)</f>
        <v>0</v>
      </c>
      <c r="G82" t="s">
        <v>228</v>
      </c>
      <c r="H82" t="s">
        <v>229</v>
      </c>
      <c r="K82">
        <v>216</v>
      </c>
      <c r="L82">
        <v>8</v>
      </c>
      <c r="M82">
        <v>3</v>
      </c>
      <c r="O82">
        <v>2</v>
      </c>
      <c r="P82">
        <f>ROUND(Source!EH73,O82)</f>
        <v>0</v>
      </c>
    </row>
    <row r="83" spans="1:16" x14ac:dyDescent="0.2">
      <c r="A83">
        <v>50</v>
      </c>
      <c r="B83">
        <v>0</v>
      </c>
      <c r="C83">
        <v>0</v>
      </c>
      <c r="D83">
        <v>1</v>
      </c>
      <c r="E83">
        <v>223</v>
      </c>
      <c r="F83">
        <f>ROUND(Source!AQ73,O83)</f>
        <v>0</v>
      </c>
      <c r="G83" t="s">
        <v>230</v>
      </c>
      <c r="H83" t="s">
        <v>231</v>
      </c>
      <c r="K83">
        <v>223</v>
      </c>
      <c r="L83">
        <v>9</v>
      </c>
      <c r="M83">
        <v>3</v>
      </c>
      <c r="O83">
        <v>2</v>
      </c>
      <c r="P83">
        <f>ROUND(Source!EI73,O83)</f>
        <v>0</v>
      </c>
    </row>
    <row r="84" spans="1:16" x14ac:dyDescent="0.2">
      <c r="A84">
        <v>50</v>
      </c>
      <c r="B84">
        <v>0</v>
      </c>
      <c r="C84">
        <v>0</v>
      </c>
      <c r="D84">
        <v>1</v>
      </c>
      <c r="E84">
        <v>229</v>
      </c>
      <c r="F84">
        <f>ROUND(Source!AZ73,O84)</f>
        <v>0</v>
      </c>
      <c r="G84" t="s">
        <v>232</v>
      </c>
      <c r="H84" t="s">
        <v>233</v>
      </c>
      <c r="K84">
        <v>229</v>
      </c>
      <c r="L84">
        <v>10</v>
      </c>
      <c r="M84">
        <v>3</v>
      </c>
      <c r="O84">
        <v>2</v>
      </c>
      <c r="P84">
        <f>ROUND(Source!ER73,O84)</f>
        <v>0</v>
      </c>
    </row>
    <row r="85" spans="1:16" x14ac:dyDescent="0.2">
      <c r="A85">
        <v>50</v>
      </c>
      <c r="B85">
        <v>0</v>
      </c>
      <c r="C85">
        <v>0</v>
      </c>
      <c r="D85">
        <v>1</v>
      </c>
      <c r="E85">
        <v>203</v>
      </c>
      <c r="F85">
        <f>ROUND(Source!Q73,O85)</f>
        <v>717.3</v>
      </c>
      <c r="G85" t="s">
        <v>234</v>
      </c>
      <c r="H85" t="s">
        <v>235</v>
      </c>
      <c r="K85">
        <v>203</v>
      </c>
      <c r="L85">
        <v>11</v>
      </c>
      <c r="M85">
        <v>3</v>
      </c>
      <c r="O85">
        <v>2</v>
      </c>
      <c r="P85">
        <f>ROUND(Source!DI73,O85)</f>
        <v>8284.58</v>
      </c>
    </row>
    <row r="86" spans="1:16" x14ac:dyDescent="0.2">
      <c r="A86">
        <v>50</v>
      </c>
      <c r="B86">
        <v>0</v>
      </c>
      <c r="C86">
        <v>0</v>
      </c>
      <c r="D86">
        <v>1</v>
      </c>
      <c r="E86">
        <v>231</v>
      </c>
      <c r="F86">
        <f>ROUND(Source!BB73,O86)</f>
        <v>0</v>
      </c>
      <c r="G86" t="s">
        <v>236</v>
      </c>
      <c r="H86" t="s">
        <v>237</v>
      </c>
      <c r="K86">
        <v>231</v>
      </c>
      <c r="L86">
        <v>12</v>
      </c>
      <c r="M86">
        <v>3</v>
      </c>
      <c r="O86">
        <v>2</v>
      </c>
      <c r="P86">
        <f>ROUND(Source!ET73,O86)</f>
        <v>0</v>
      </c>
    </row>
    <row r="87" spans="1:16" x14ac:dyDescent="0.2">
      <c r="A87">
        <v>50</v>
      </c>
      <c r="B87">
        <v>0</v>
      </c>
      <c r="C87">
        <v>0</v>
      </c>
      <c r="D87">
        <v>1</v>
      </c>
      <c r="E87">
        <v>204</v>
      </c>
      <c r="F87">
        <f>ROUND(Source!R73,O87)</f>
        <v>148.5</v>
      </c>
      <c r="G87" t="s">
        <v>238</v>
      </c>
      <c r="H87" t="s">
        <v>239</v>
      </c>
      <c r="K87">
        <v>204</v>
      </c>
      <c r="L87">
        <v>13</v>
      </c>
      <c r="M87">
        <v>3</v>
      </c>
      <c r="O87">
        <v>2</v>
      </c>
      <c r="P87">
        <f>ROUND(Source!DJ73,O87)</f>
        <v>4968.8999999999996</v>
      </c>
    </row>
    <row r="88" spans="1:16" x14ac:dyDescent="0.2">
      <c r="A88">
        <v>50</v>
      </c>
      <c r="B88">
        <v>0</v>
      </c>
      <c r="C88">
        <v>0</v>
      </c>
      <c r="D88">
        <v>1</v>
      </c>
      <c r="E88">
        <v>205</v>
      </c>
      <c r="F88">
        <f>ROUND(Source!S73,O88)</f>
        <v>2155.5100000000002</v>
      </c>
      <c r="G88" t="s">
        <v>240</v>
      </c>
      <c r="H88" t="s">
        <v>241</v>
      </c>
      <c r="K88">
        <v>205</v>
      </c>
      <c r="L88">
        <v>14</v>
      </c>
      <c r="M88">
        <v>3</v>
      </c>
      <c r="O88">
        <v>2</v>
      </c>
      <c r="P88">
        <f>ROUND(Source!DK73,O88)</f>
        <v>71874.09</v>
      </c>
    </row>
    <row r="89" spans="1:16" x14ac:dyDescent="0.2">
      <c r="A89">
        <v>50</v>
      </c>
      <c r="B89">
        <v>0</v>
      </c>
      <c r="C89">
        <v>0</v>
      </c>
      <c r="D89">
        <v>1</v>
      </c>
      <c r="E89">
        <v>232</v>
      </c>
      <c r="F89">
        <f>ROUND(Source!BC73,O89)</f>
        <v>0</v>
      </c>
      <c r="G89" t="s">
        <v>242</v>
      </c>
      <c r="H89" t="s">
        <v>243</v>
      </c>
      <c r="K89">
        <v>232</v>
      </c>
      <c r="L89">
        <v>15</v>
      </c>
      <c r="M89">
        <v>3</v>
      </c>
      <c r="O89">
        <v>2</v>
      </c>
      <c r="P89">
        <f>ROUND(Source!EU73,O89)</f>
        <v>0</v>
      </c>
    </row>
    <row r="90" spans="1:16" x14ac:dyDescent="0.2">
      <c r="A90">
        <v>50</v>
      </c>
      <c r="B90">
        <v>0</v>
      </c>
      <c r="C90">
        <v>0</v>
      </c>
      <c r="D90">
        <v>1</v>
      </c>
      <c r="E90">
        <v>214</v>
      </c>
      <c r="F90">
        <f>ROUND(Source!AS73,O90)</f>
        <v>30107.98</v>
      </c>
      <c r="G90" t="s">
        <v>244</v>
      </c>
      <c r="H90" t="s">
        <v>245</v>
      </c>
      <c r="K90">
        <v>214</v>
      </c>
      <c r="L90">
        <v>16</v>
      </c>
      <c r="M90">
        <v>3</v>
      </c>
      <c r="O90">
        <v>2</v>
      </c>
      <c r="P90">
        <f>ROUND(Source!EK73,O90)</f>
        <v>270999.31</v>
      </c>
    </row>
    <row r="91" spans="1:16" x14ac:dyDescent="0.2">
      <c r="A91">
        <v>50</v>
      </c>
      <c r="B91">
        <v>0</v>
      </c>
      <c r="C91">
        <v>0</v>
      </c>
      <c r="D91">
        <v>1</v>
      </c>
      <c r="E91">
        <v>215</v>
      </c>
      <c r="F91">
        <f>ROUND(Source!AT73,O91)</f>
        <v>0</v>
      </c>
      <c r="G91" t="s">
        <v>246</v>
      </c>
      <c r="H91" t="s">
        <v>247</v>
      </c>
      <c r="K91">
        <v>215</v>
      </c>
      <c r="L91">
        <v>17</v>
      </c>
      <c r="M91">
        <v>3</v>
      </c>
      <c r="O91">
        <v>2</v>
      </c>
      <c r="P91">
        <f>ROUND(Source!EL73,O91)</f>
        <v>0</v>
      </c>
    </row>
    <row r="92" spans="1:16" x14ac:dyDescent="0.2">
      <c r="A92">
        <v>50</v>
      </c>
      <c r="B92">
        <v>0</v>
      </c>
      <c r="C92">
        <v>0</v>
      </c>
      <c r="D92">
        <v>1</v>
      </c>
      <c r="E92">
        <v>217</v>
      </c>
      <c r="F92">
        <f>ROUND(Source!AU73,O92)</f>
        <v>0</v>
      </c>
      <c r="G92" t="s">
        <v>248</v>
      </c>
      <c r="H92" t="s">
        <v>249</v>
      </c>
      <c r="K92">
        <v>217</v>
      </c>
      <c r="L92">
        <v>18</v>
      </c>
      <c r="M92">
        <v>3</v>
      </c>
      <c r="O92">
        <v>2</v>
      </c>
      <c r="P92">
        <f>ROUND(Source!EM73,O92)</f>
        <v>0</v>
      </c>
    </row>
    <row r="93" spans="1:16" x14ac:dyDescent="0.2">
      <c r="A93">
        <v>50</v>
      </c>
      <c r="B93">
        <v>0</v>
      </c>
      <c r="C93">
        <v>0</v>
      </c>
      <c r="D93">
        <v>1</v>
      </c>
      <c r="E93">
        <v>230</v>
      </c>
      <c r="F93">
        <f>ROUND(Source!BA73,O93)</f>
        <v>0</v>
      </c>
      <c r="G93" t="s">
        <v>250</v>
      </c>
      <c r="H93" t="s">
        <v>251</v>
      </c>
      <c r="K93">
        <v>230</v>
      </c>
      <c r="L93">
        <v>19</v>
      </c>
      <c r="M93">
        <v>3</v>
      </c>
      <c r="O93">
        <v>2</v>
      </c>
      <c r="P93">
        <f>ROUND(Source!ES73,O93)</f>
        <v>0</v>
      </c>
    </row>
    <row r="94" spans="1:16" x14ac:dyDescent="0.2">
      <c r="A94">
        <v>50</v>
      </c>
      <c r="B94">
        <v>0</v>
      </c>
      <c r="C94">
        <v>0</v>
      </c>
      <c r="D94">
        <v>1</v>
      </c>
      <c r="E94">
        <v>206</v>
      </c>
      <c r="F94">
        <f>ROUND(Source!T73,O94)</f>
        <v>0</v>
      </c>
      <c r="G94" t="s">
        <v>252</v>
      </c>
      <c r="H94" t="s">
        <v>253</v>
      </c>
      <c r="K94">
        <v>206</v>
      </c>
      <c r="L94">
        <v>20</v>
      </c>
      <c r="M94">
        <v>3</v>
      </c>
      <c r="O94">
        <v>2</v>
      </c>
      <c r="P94">
        <f>ROUND(Source!DL73,O94)</f>
        <v>0</v>
      </c>
    </row>
    <row r="95" spans="1:16" x14ac:dyDescent="0.2">
      <c r="A95">
        <v>50</v>
      </c>
      <c r="B95">
        <v>0</v>
      </c>
      <c r="C95">
        <v>0</v>
      </c>
      <c r="D95">
        <v>1</v>
      </c>
      <c r="E95">
        <v>207</v>
      </c>
      <c r="F95">
        <f>Source!U73</f>
        <v>250.0861147</v>
      </c>
      <c r="G95" t="s">
        <v>254</v>
      </c>
      <c r="H95" t="s">
        <v>255</v>
      </c>
      <c r="K95">
        <v>207</v>
      </c>
      <c r="L95">
        <v>21</v>
      </c>
      <c r="M95">
        <v>3</v>
      </c>
      <c r="O95">
        <v>-1</v>
      </c>
      <c r="P95">
        <f>Source!DM73</f>
        <v>250.0861147</v>
      </c>
    </row>
    <row r="96" spans="1:16" x14ac:dyDescent="0.2">
      <c r="A96">
        <v>50</v>
      </c>
      <c r="B96">
        <v>0</v>
      </c>
      <c r="C96">
        <v>0</v>
      </c>
      <c r="D96">
        <v>1</v>
      </c>
      <c r="E96">
        <v>208</v>
      </c>
      <c r="F96">
        <f>Source!V73</f>
        <v>13.531219999999999</v>
      </c>
      <c r="G96" t="s">
        <v>256</v>
      </c>
      <c r="H96" t="s">
        <v>257</v>
      </c>
      <c r="K96">
        <v>208</v>
      </c>
      <c r="L96">
        <v>22</v>
      </c>
      <c r="M96">
        <v>3</v>
      </c>
      <c r="O96">
        <v>-1</v>
      </c>
      <c r="P96">
        <f>Source!DN73</f>
        <v>13.531219999999999</v>
      </c>
    </row>
    <row r="97" spans="1:206" x14ac:dyDescent="0.2">
      <c r="A97">
        <v>50</v>
      </c>
      <c r="B97">
        <v>0</v>
      </c>
      <c r="C97">
        <v>0</v>
      </c>
      <c r="D97">
        <v>1</v>
      </c>
      <c r="E97">
        <v>209</v>
      </c>
      <c r="F97">
        <f>ROUND(Source!W73,O97)</f>
        <v>71.45</v>
      </c>
      <c r="G97" t="s">
        <v>258</v>
      </c>
      <c r="H97" t="s">
        <v>259</v>
      </c>
      <c r="K97">
        <v>209</v>
      </c>
      <c r="L97">
        <v>23</v>
      </c>
      <c r="M97">
        <v>3</v>
      </c>
      <c r="O97">
        <v>2</v>
      </c>
      <c r="P97">
        <f>ROUND(Source!DO73,O97)</f>
        <v>71.45</v>
      </c>
    </row>
    <row r="98" spans="1:206" x14ac:dyDescent="0.2">
      <c r="A98">
        <v>50</v>
      </c>
      <c r="B98">
        <v>0</v>
      </c>
      <c r="C98">
        <v>0</v>
      </c>
      <c r="D98">
        <v>1</v>
      </c>
      <c r="E98">
        <v>233</v>
      </c>
      <c r="F98">
        <f>ROUND(Source!BD73,O98)</f>
        <v>73.3</v>
      </c>
      <c r="G98" t="s">
        <v>260</v>
      </c>
      <c r="H98" t="s">
        <v>261</v>
      </c>
      <c r="K98">
        <v>233</v>
      </c>
      <c r="L98">
        <v>24</v>
      </c>
      <c r="M98">
        <v>3</v>
      </c>
      <c r="O98">
        <v>2</v>
      </c>
      <c r="P98">
        <f>ROUND(Source!EV73,O98)</f>
        <v>969.05</v>
      </c>
    </row>
    <row r="99" spans="1:206" x14ac:dyDescent="0.2">
      <c r="A99">
        <v>50</v>
      </c>
      <c r="B99">
        <v>0</v>
      </c>
      <c r="C99">
        <v>0</v>
      </c>
      <c r="D99">
        <v>1</v>
      </c>
      <c r="E99">
        <v>210</v>
      </c>
      <c r="F99">
        <f>ROUND(Source!X73,O99)</f>
        <v>2347.58</v>
      </c>
      <c r="G99" t="s">
        <v>262</v>
      </c>
      <c r="H99" t="s">
        <v>263</v>
      </c>
      <c r="K99">
        <v>210</v>
      </c>
      <c r="L99">
        <v>25</v>
      </c>
      <c r="M99">
        <v>3</v>
      </c>
      <c r="O99">
        <v>2</v>
      </c>
      <c r="P99">
        <f>ROUND(Source!DP73,O99)</f>
        <v>78549.87</v>
      </c>
    </row>
    <row r="100" spans="1:206" x14ac:dyDescent="0.2">
      <c r="A100">
        <v>50</v>
      </c>
      <c r="B100">
        <v>0</v>
      </c>
      <c r="C100">
        <v>0</v>
      </c>
      <c r="D100">
        <v>1</v>
      </c>
      <c r="E100">
        <v>211</v>
      </c>
      <c r="F100">
        <f>ROUND(Source!Y73,O100)</f>
        <v>1606.01</v>
      </c>
      <c r="G100" t="s">
        <v>264</v>
      </c>
      <c r="H100" t="s">
        <v>265</v>
      </c>
      <c r="K100">
        <v>211</v>
      </c>
      <c r="L100">
        <v>26</v>
      </c>
      <c r="M100">
        <v>3</v>
      </c>
      <c r="O100">
        <v>2</v>
      </c>
      <c r="P100">
        <f>ROUND(Source!DQ73,O100)</f>
        <v>53736.72</v>
      </c>
    </row>
    <row r="101" spans="1:206" x14ac:dyDescent="0.2">
      <c r="A101">
        <v>50</v>
      </c>
      <c r="B101">
        <v>0</v>
      </c>
      <c r="C101">
        <v>0</v>
      </c>
      <c r="D101">
        <v>1</v>
      </c>
      <c r="E101">
        <v>224</v>
      </c>
      <c r="F101">
        <f>ROUND(Source!AR73,O101)</f>
        <v>30107.98</v>
      </c>
      <c r="G101" t="s">
        <v>266</v>
      </c>
      <c r="H101" t="s">
        <v>267</v>
      </c>
      <c r="K101">
        <v>224</v>
      </c>
      <c r="L101">
        <v>27</v>
      </c>
      <c r="M101">
        <v>3</v>
      </c>
      <c r="O101">
        <v>2</v>
      </c>
      <c r="P101">
        <f>ROUND(Source!EJ73,O101)</f>
        <v>270999.31</v>
      </c>
    </row>
    <row r="103" spans="1:206" x14ac:dyDescent="0.2">
      <c r="A103">
        <v>51</v>
      </c>
      <c r="B103">
        <f>B12</f>
        <v>187</v>
      </c>
      <c r="C103">
        <f>A12</f>
        <v>1</v>
      </c>
      <c r="D103">
        <f>ROW(A12)</f>
        <v>12</v>
      </c>
      <c r="F103" t="str">
        <f>IF(F12&lt;&gt;"",F12,"")</f>
        <v>Новый объект</v>
      </c>
      <c r="G103" t="str">
        <f>IF(G12&lt;&gt;"",G12,"")</f>
        <v>МАДОУ д-с №7 "Семицветик" г.о. Пущино Московской обл.</v>
      </c>
      <c r="H103">
        <v>0</v>
      </c>
      <c r="O103">
        <f t="shared" ref="O103:T103" si="67">ROUND(O73,2)</f>
        <v>26154.39</v>
      </c>
      <c r="P103">
        <f t="shared" si="67"/>
        <v>23281.58</v>
      </c>
      <c r="Q103">
        <f t="shared" si="67"/>
        <v>717.3</v>
      </c>
      <c r="R103">
        <f t="shared" si="67"/>
        <v>148.5</v>
      </c>
      <c r="S103">
        <f t="shared" si="67"/>
        <v>2155.5100000000002</v>
      </c>
      <c r="T103">
        <f t="shared" si="67"/>
        <v>0</v>
      </c>
      <c r="U103">
        <f>U73</f>
        <v>250.0861147</v>
      </c>
      <c r="V103">
        <f>V73</f>
        <v>13.531219999999999</v>
      </c>
      <c r="W103">
        <f>ROUND(W73,2)</f>
        <v>71.45</v>
      </c>
      <c r="X103">
        <f>ROUND(X73,2)</f>
        <v>2347.58</v>
      </c>
      <c r="Y103">
        <f>ROUND(Y73,2)</f>
        <v>1606.01</v>
      </c>
      <c r="AO103">
        <f t="shared" ref="AO103:BD103" si="68">ROUND(AO73,2)</f>
        <v>0</v>
      </c>
      <c r="AP103">
        <f t="shared" si="68"/>
        <v>0</v>
      </c>
      <c r="AQ103">
        <f t="shared" si="68"/>
        <v>0</v>
      </c>
      <c r="AR103">
        <f t="shared" si="68"/>
        <v>30107.98</v>
      </c>
      <c r="AS103">
        <f t="shared" si="68"/>
        <v>30107.98</v>
      </c>
      <c r="AT103">
        <f t="shared" si="68"/>
        <v>0</v>
      </c>
      <c r="AU103">
        <f t="shared" si="68"/>
        <v>0</v>
      </c>
      <c r="AV103">
        <f t="shared" si="68"/>
        <v>23281.58</v>
      </c>
      <c r="AW103">
        <f t="shared" si="68"/>
        <v>23281.58</v>
      </c>
      <c r="AX103">
        <f t="shared" si="68"/>
        <v>0</v>
      </c>
      <c r="AY103">
        <f t="shared" si="68"/>
        <v>23281.58</v>
      </c>
      <c r="AZ103">
        <f t="shared" si="68"/>
        <v>0</v>
      </c>
      <c r="BA103">
        <f t="shared" si="68"/>
        <v>0</v>
      </c>
      <c r="BB103">
        <f t="shared" si="68"/>
        <v>0</v>
      </c>
      <c r="BC103">
        <f t="shared" si="68"/>
        <v>0</v>
      </c>
      <c r="BD103">
        <f t="shared" si="68"/>
        <v>73.3</v>
      </c>
      <c r="DG103">
        <f t="shared" ref="DG103:DL103" si="69">ROUND(DG73,2)</f>
        <v>138712.72</v>
      </c>
      <c r="DH103">
        <f t="shared" si="69"/>
        <v>58554.05</v>
      </c>
      <c r="DI103">
        <f t="shared" si="69"/>
        <v>8284.58</v>
      </c>
      <c r="DJ103">
        <f t="shared" si="69"/>
        <v>4968.8999999999996</v>
      </c>
      <c r="DK103">
        <f t="shared" si="69"/>
        <v>71874.09</v>
      </c>
      <c r="DL103">
        <f t="shared" si="69"/>
        <v>0</v>
      </c>
      <c r="DM103">
        <f>DM73</f>
        <v>250.0861147</v>
      </c>
      <c r="DN103">
        <f>DN73</f>
        <v>13.531219999999999</v>
      </c>
      <c r="DO103">
        <f>ROUND(DO73,2)</f>
        <v>71.45</v>
      </c>
      <c r="DP103">
        <f>ROUND(DP73,2)</f>
        <v>78549.87</v>
      </c>
      <c r="DQ103">
        <f>ROUND(DQ73,2)</f>
        <v>53736.72</v>
      </c>
      <c r="EG103">
        <f t="shared" ref="EG103:EV103" si="70">ROUND(EG73,2)</f>
        <v>0</v>
      </c>
      <c r="EH103">
        <f t="shared" si="70"/>
        <v>0</v>
      </c>
      <c r="EI103">
        <f t="shared" si="70"/>
        <v>0</v>
      </c>
      <c r="EJ103">
        <f t="shared" si="70"/>
        <v>270999.31</v>
      </c>
      <c r="EK103">
        <f t="shared" si="70"/>
        <v>270999.31</v>
      </c>
      <c r="EL103">
        <f t="shared" si="70"/>
        <v>0</v>
      </c>
      <c r="EM103">
        <f t="shared" si="70"/>
        <v>0</v>
      </c>
      <c r="EN103">
        <f t="shared" si="70"/>
        <v>58554.05</v>
      </c>
      <c r="EO103">
        <f t="shared" si="70"/>
        <v>58554.05</v>
      </c>
      <c r="EP103">
        <f t="shared" si="70"/>
        <v>0</v>
      </c>
      <c r="EQ103">
        <f t="shared" si="70"/>
        <v>58554.05</v>
      </c>
      <c r="ER103">
        <f t="shared" si="70"/>
        <v>0</v>
      </c>
      <c r="ES103">
        <f t="shared" si="70"/>
        <v>0</v>
      </c>
      <c r="ET103">
        <f t="shared" si="70"/>
        <v>0</v>
      </c>
      <c r="EU103">
        <f t="shared" si="70"/>
        <v>0</v>
      </c>
      <c r="EV103">
        <f t="shared" si="70"/>
        <v>969.05</v>
      </c>
      <c r="GX103">
        <v>0</v>
      </c>
    </row>
    <row r="105" spans="1:206" x14ac:dyDescent="0.2">
      <c r="A105">
        <v>50</v>
      </c>
      <c r="B105">
        <v>0</v>
      </c>
      <c r="C105">
        <v>0</v>
      </c>
      <c r="D105">
        <v>1</v>
      </c>
      <c r="E105">
        <v>201</v>
      </c>
      <c r="F105">
        <f>ROUND(Source!O103,O105)</f>
        <v>26154.39</v>
      </c>
      <c r="G105" t="s">
        <v>214</v>
      </c>
      <c r="H105" t="s">
        <v>215</v>
      </c>
      <c r="K105">
        <v>201</v>
      </c>
      <c r="L105">
        <v>1</v>
      </c>
      <c r="M105">
        <v>3</v>
      </c>
      <c r="O105">
        <v>2</v>
      </c>
      <c r="P105">
        <f>ROUND(Source!DG103,O105)</f>
        <v>138712.72</v>
      </c>
    </row>
    <row r="106" spans="1:206" x14ac:dyDescent="0.2">
      <c r="A106">
        <v>50</v>
      </c>
      <c r="B106">
        <v>0</v>
      </c>
      <c r="C106">
        <v>0</v>
      </c>
      <c r="D106">
        <v>1</v>
      </c>
      <c r="E106">
        <v>202</v>
      </c>
      <c r="F106">
        <f>ROUND(Source!P103,O106)</f>
        <v>23281.58</v>
      </c>
      <c r="G106" t="s">
        <v>216</v>
      </c>
      <c r="H106" t="s">
        <v>217</v>
      </c>
      <c r="K106">
        <v>202</v>
      </c>
      <c r="L106">
        <v>2</v>
      </c>
      <c r="M106">
        <v>3</v>
      </c>
      <c r="O106">
        <v>2</v>
      </c>
      <c r="P106">
        <f>ROUND(Source!DH103,O106)</f>
        <v>58554.05</v>
      </c>
    </row>
    <row r="107" spans="1:206" x14ac:dyDescent="0.2">
      <c r="A107">
        <v>50</v>
      </c>
      <c r="B107">
        <v>0</v>
      </c>
      <c r="C107">
        <v>0</v>
      </c>
      <c r="D107">
        <v>1</v>
      </c>
      <c r="E107">
        <v>222</v>
      </c>
      <c r="F107">
        <f>ROUND(Source!AO103,O107)</f>
        <v>0</v>
      </c>
      <c r="G107" t="s">
        <v>218</v>
      </c>
      <c r="H107" t="s">
        <v>219</v>
      </c>
      <c r="K107">
        <v>222</v>
      </c>
      <c r="L107">
        <v>3</v>
      </c>
      <c r="M107">
        <v>3</v>
      </c>
      <c r="O107">
        <v>2</v>
      </c>
      <c r="P107">
        <f>ROUND(Source!EG103,O107)</f>
        <v>0</v>
      </c>
    </row>
    <row r="108" spans="1:206" x14ac:dyDescent="0.2">
      <c r="A108">
        <v>50</v>
      </c>
      <c r="B108">
        <v>0</v>
      </c>
      <c r="C108">
        <v>0</v>
      </c>
      <c r="D108">
        <v>1</v>
      </c>
      <c r="E108">
        <v>225</v>
      </c>
      <c r="F108">
        <f>ROUND(Source!AV103,O108)</f>
        <v>23281.58</v>
      </c>
      <c r="G108" t="s">
        <v>220</v>
      </c>
      <c r="H108" t="s">
        <v>221</v>
      </c>
      <c r="K108">
        <v>225</v>
      </c>
      <c r="L108">
        <v>4</v>
      </c>
      <c r="M108">
        <v>3</v>
      </c>
      <c r="O108">
        <v>2</v>
      </c>
      <c r="P108">
        <f>ROUND(Source!EN103,O108)</f>
        <v>58554.05</v>
      </c>
    </row>
    <row r="109" spans="1:206" x14ac:dyDescent="0.2">
      <c r="A109">
        <v>50</v>
      </c>
      <c r="B109">
        <v>0</v>
      </c>
      <c r="C109">
        <v>0</v>
      </c>
      <c r="D109">
        <v>1</v>
      </c>
      <c r="E109">
        <v>226</v>
      </c>
      <c r="F109">
        <f>ROUND(Source!AW103,O109)</f>
        <v>23281.58</v>
      </c>
      <c r="G109" t="s">
        <v>222</v>
      </c>
      <c r="H109" t="s">
        <v>223</v>
      </c>
      <c r="K109">
        <v>226</v>
      </c>
      <c r="L109">
        <v>5</v>
      </c>
      <c r="M109">
        <v>3</v>
      </c>
      <c r="O109">
        <v>2</v>
      </c>
      <c r="P109">
        <f>ROUND(Source!EO103,O109)</f>
        <v>58554.05</v>
      </c>
    </row>
    <row r="110" spans="1:206" x14ac:dyDescent="0.2">
      <c r="A110">
        <v>50</v>
      </c>
      <c r="B110">
        <v>0</v>
      </c>
      <c r="C110">
        <v>0</v>
      </c>
      <c r="D110">
        <v>1</v>
      </c>
      <c r="E110">
        <v>227</v>
      </c>
      <c r="F110">
        <f>ROUND(Source!AX103,O110)</f>
        <v>0</v>
      </c>
      <c r="G110" t="s">
        <v>224</v>
      </c>
      <c r="H110" t="s">
        <v>225</v>
      </c>
      <c r="K110">
        <v>227</v>
      </c>
      <c r="L110">
        <v>6</v>
      </c>
      <c r="M110">
        <v>3</v>
      </c>
      <c r="O110">
        <v>2</v>
      </c>
      <c r="P110">
        <f>ROUND(Source!EP103,O110)</f>
        <v>0</v>
      </c>
    </row>
    <row r="111" spans="1:206" x14ac:dyDescent="0.2">
      <c r="A111">
        <v>50</v>
      </c>
      <c r="B111">
        <v>0</v>
      </c>
      <c r="C111">
        <v>0</v>
      </c>
      <c r="D111">
        <v>1</v>
      </c>
      <c r="E111">
        <v>228</v>
      </c>
      <c r="F111">
        <f>ROUND(Source!AY103,O111)</f>
        <v>23281.58</v>
      </c>
      <c r="G111" t="s">
        <v>226</v>
      </c>
      <c r="H111" t="s">
        <v>227</v>
      </c>
      <c r="K111">
        <v>228</v>
      </c>
      <c r="L111">
        <v>7</v>
      </c>
      <c r="M111">
        <v>3</v>
      </c>
      <c r="O111">
        <v>2</v>
      </c>
      <c r="P111">
        <f>ROUND(Source!EQ103,O111)</f>
        <v>58554.05</v>
      </c>
    </row>
    <row r="112" spans="1:206" x14ac:dyDescent="0.2">
      <c r="A112">
        <v>50</v>
      </c>
      <c r="B112">
        <v>0</v>
      </c>
      <c r="C112">
        <v>0</v>
      </c>
      <c r="D112">
        <v>1</v>
      </c>
      <c r="E112">
        <v>216</v>
      </c>
      <c r="F112">
        <f>ROUND(Source!AP103,O112)</f>
        <v>0</v>
      </c>
      <c r="G112" t="s">
        <v>228</v>
      </c>
      <c r="H112" t="s">
        <v>229</v>
      </c>
      <c r="K112">
        <v>216</v>
      </c>
      <c r="L112">
        <v>8</v>
      </c>
      <c r="M112">
        <v>3</v>
      </c>
      <c r="O112">
        <v>2</v>
      </c>
      <c r="P112">
        <f>ROUND(Source!EH103,O112)</f>
        <v>0</v>
      </c>
    </row>
    <row r="113" spans="1:16" x14ac:dyDescent="0.2">
      <c r="A113">
        <v>50</v>
      </c>
      <c r="B113">
        <v>0</v>
      </c>
      <c r="C113">
        <v>0</v>
      </c>
      <c r="D113">
        <v>1</v>
      </c>
      <c r="E113">
        <v>223</v>
      </c>
      <c r="F113">
        <f>ROUND(Source!AQ103,O113)</f>
        <v>0</v>
      </c>
      <c r="G113" t="s">
        <v>230</v>
      </c>
      <c r="H113" t="s">
        <v>231</v>
      </c>
      <c r="K113">
        <v>223</v>
      </c>
      <c r="L113">
        <v>9</v>
      </c>
      <c r="M113">
        <v>3</v>
      </c>
      <c r="O113">
        <v>2</v>
      </c>
      <c r="P113">
        <f>ROUND(Source!EI103,O113)</f>
        <v>0</v>
      </c>
    </row>
    <row r="114" spans="1:16" x14ac:dyDescent="0.2">
      <c r="A114">
        <v>50</v>
      </c>
      <c r="B114">
        <v>0</v>
      </c>
      <c r="C114">
        <v>0</v>
      </c>
      <c r="D114">
        <v>1</v>
      </c>
      <c r="E114">
        <v>229</v>
      </c>
      <c r="F114">
        <f>ROUND(Source!AZ103,O114)</f>
        <v>0</v>
      </c>
      <c r="G114" t="s">
        <v>232</v>
      </c>
      <c r="H114" t="s">
        <v>233</v>
      </c>
      <c r="K114">
        <v>229</v>
      </c>
      <c r="L114">
        <v>10</v>
      </c>
      <c r="M114">
        <v>3</v>
      </c>
      <c r="O114">
        <v>2</v>
      </c>
      <c r="P114">
        <f>ROUND(Source!ER103,O114)</f>
        <v>0</v>
      </c>
    </row>
    <row r="115" spans="1:16" x14ac:dyDescent="0.2">
      <c r="A115">
        <v>50</v>
      </c>
      <c r="B115">
        <v>0</v>
      </c>
      <c r="C115">
        <v>0</v>
      </c>
      <c r="D115">
        <v>1</v>
      </c>
      <c r="E115">
        <v>203</v>
      </c>
      <c r="F115">
        <f>ROUND(Source!Q103,O115)</f>
        <v>717.3</v>
      </c>
      <c r="G115" t="s">
        <v>234</v>
      </c>
      <c r="H115" t="s">
        <v>235</v>
      </c>
      <c r="K115">
        <v>203</v>
      </c>
      <c r="L115">
        <v>11</v>
      </c>
      <c r="M115">
        <v>3</v>
      </c>
      <c r="O115">
        <v>2</v>
      </c>
      <c r="P115">
        <f>ROUND(Source!DI103,O115)</f>
        <v>8284.58</v>
      </c>
    </row>
    <row r="116" spans="1:16" x14ac:dyDescent="0.2">
      <c r="A116">
        <v>50</v>
      </c>
      <c r="B116">
        <v>0</v>
      </c>
      <c r="C116">
        <v>0</v>
      </c>
      <c r="D116">
        <v>1</v>
      </c>
      <c r="E116">
        <v>231</v>
      </c>
      <c r="F116">
        <f>ROUND(Source!BB103,O116)</f>
        <v>0</v>
      </c>
      <c r="G116" t="s">
        <v>236</v>
      </c>
      <c r="H116" t="s">
        <v>237</v>
      </c>
      <c r="K116">
        <v>231</v>
      </c>
      <c r="L116">
        <v>12</v>
      </c>
      <c r="M116">
        <v>3</v>
      </c>
      <c r="O116">
        <v>2</v>
      </c>
      <c r="P116">
        <f>ROUND(Source!ET103,O116)</f>
        <v>0</v>
      </c>
    </row>
    <row r="117" spans="1:16" x14ac:dyDescent="0.2">
      <c r="A117">
        <v>50</v>
      </c>
      <c r="B117">
        <v>0</v>
      </c>
      <c r="C117">
        <v>0</v>
      </c>
      <c r="D117">
        <v>1</v>
      </c>
      <c r="E117">
        <v>204</v>
      </c>
      <c r="F117">
        <f>ROUND(Source!R103,O117)</f>
        <v>148.5</v>
      </c>
      <c r="G117" t="s">
        <v>238</v>
      </c>
      <c r="H117" t="s">
        <v>239</v>
      </c>
      <c r="K117">
        <v>204</v>
      </c>
      <c r="L117">
        <v>13</v>
      </c>
      <c r="M117">
        <v>3</v>
      </c>
      <c r="O117">
        <v>2</v>
      </c>
      <c r="P117">
        <f>ROUND(Source!DJ103,O117)</f>
        <v>4968.8999999999996</v>
      </c>
    </row>
    <row r="118" spans="1:16" x14ac:dyDescent="0.2">
      <c r="A118">
        <v>50</v>
      </c>
      <c r="B118">
        <v>0</v>
      </c>
      <c r="C118">
        <v>0</v>
      </c>
      <c r="D118">
        <v>1</v>
      </c>
      <c r="E118">
        <v>205</v>
      </c>
      <c r="F118">
        <f>ROUND(Source!S103,O118)</f>
        <v>2155.5100000000002</v>
      </c>
      <c r="G118" t="s">
        <v>240</v>
      </c>
      <c r="H118" t="s">
        <v>241</v>
      </c>
      <c r="K118">
        <v>205</v>
      </c>
      <c r="L118">
        <v>14</v>
      </c>
      <c r="M118">
        <v>3</v>
      </c>
      <c r="O118">
        <v>2</v>
      </c>
      <c r="P118">
        <f>ROUND(Source!DK103,O118)</f>
        <v>71874.09</v>
      </c>
    </row>
    <row r="119" spans="1:16" x14ac:dyDescent="0.2">
      <c r="A119">
        <v>50</v>
      </c>
      <c r="B119">
        <v>0</v>
      </c>
      <c r="C119">
        <v>0</v>
      </c>
      <c r="D119">
        <v>1</v>
      </c>
      <c r="E119">
        <v>232</v>
      </c>
      <c r="F119">
        <f>ROUND(Source!BC103,O119)</f>
        <v>0</v>
      </c>
      <c r="G119" t="s">
        <v>242</v>
      </c>
      <c r="H119" t="s">
        <v>243</v>
      </c>
      <c r="K119">
        <v>232</v>
      </c>
      <c r="L119">
        <v>15</v>
      </c>
      <c r="M119">
        <v>3</v>
      </c>
      <c r="O119">
        <v>2</v>
      </c>
      <c r="P119">
        <f>ROUND(Source!EU103,O119)</f>
        <v>0</v>
      </c>
    </row>
    <row r="120" spans="1:16" x14ac:dyDescent="0.2">
      <c r="A120">
        <v>50</v>
      </c>
      <c r="B120">
        <v>0</v>
      </c>
      <c r="C120">
        <v>0</v>
      </c>
      <c r="D120">
        <v>1</v>
      </c>
      <c r="E120">
        <v>214</v>
      </c>
      <c r="F120">
        <f>ROUND(Source!AS103,O120)</f>
        <v>30107.98</v>
      </c>
      <c r="G120" t="s">
        <v>244</v>
      </c>
      <c r="H120" t="s">
        <v>245</v>
      </c>
      <c r="K120">
        <v>214</v>
      </c>
      <c r="L120">
        <v>16</v>
      </c>
      <c r="M120">
        <v>3</v>
      </c>
      <c r="O120">
        <v>2</v>
      </c>
      <c r="P120">
        <f>ROUND(Source!EK103,O120)</f>
        <v>270999.31</v>
      </c>
    </row>
    <row r="121" spans="1:16" x14ac:dyDescent="0.2">
      <c r="A121">
        <v>50</v>
      </c>
      <c r="B121">
        <v>0</v>
      </c>
      <c r="C121">
        <v>0</v>
      </c>
      <c r="D121">
        <v>1</v>
      </c>
      <c r="E121">
        <v>215</v>
      </c>
      <c r="F121">
        <f>ROUND(Source!AT103,O121)</f>
        <v>0</v>
      </c>
      <c r="G121" t="s">
        <v>246</v>
      </c>
      <c r="H121" t="s">
        <v>247</v>
      </c>
      <c r="K121">
        <v>215</v>
      </c>
      <c r="L121">
        <v>17</v>
      </c>
      <c r="M121">
        <v>3</v>
      </c>
      <c r="O121">
        <v>2</v>
      </c>
      <c r="P121">
        <f>ROUND(Source!EL103,O121)</f>
        <v>0</v>
      </c>
    </row>
    <row r="122" spans="1:16" x14ac:dyDescent="0.2">
      <c r="A122">
        <v>50</v>
      </c>
      <c r="B122">
        <v>0</v>
      </c>
      <c r="C122">
        <v>0</v>
      </c>
      <c r="D122">
        <v>1</v>
      </c>
      <c r="E122">
        <v>217</v>
      </c>
      <c r="F122">
        <f>ROUND(Source!AU103,O122)</f>
        <v>0</v>
      </c>
      <c r="G122" t="s">
        <v>248</v>
      </c>
      <c r="H122" t="s">
        <v>249</v>
      </c>
      <c r="K122">
        <v>217</v>
      </c>
      <c r="L122">
        <v>18</v>
      </c>
      <c r="M122">
        <v>3</v>
      </c>
      <c r="O122">
        <v>2</v>
      </c>
      <c r="P122">
        <f>ROUND(Source!EM103,O122)</f>
        <v>0</v>
      </c>
    </row>
    <row r="123" spans="1:16" x14ac:dyDescent="0.2">
      <c r="A123">
        <v>50</v>
      </c>
      <c r="B123">
        <v>0</v>
      </c>
      <c r="C123">
        <v>0</v>
      </c>
      <c r="D123">
        <v>1</v>
      </c>
      <c r="E123">
        <v>230</v>
      </c>
      <c r="F123">
        <f>ROUND(Source!BA103,O123)</f>
        <v>0</v>
      </c>
      <c r="G123" t="s">
        <v>250</v>
      </c>
      <c r="H123" t="s">
        <v>251</v>
      </c>
      <c r="K123">
        <v>230</v>
      </c>
      <c r="L123">
        <v>19</v>
      </c>
      <c r="M123">
        <v>3</v>
      </c>
      <c r="O123">
        <v>2</v>
      </c>
      <c r="P123">
        <f>ROUND(Source!ES103,O123)</f>
        <v>0</v>
      </c>
    </row>
    <row r="124" spans="1:16" x14ac:dyDescent="0.2">
      <c r="A124">
        <v>50</v>
      </c>
      <c r="B124">
        <v>0</v>
      </c>
      <c r="C124">
        <v>0</v>
      </c>
      <c r="D124">
        <v>1</v>
      </c>
      <c r="E124">
        <v>206</v>
      </c>
      <c r="F124">
        <f>ROUND(Source!T103,O124)</f>
        <v>0</v>
      </c>
      <c r="G124" t="s">
        <v>252</v>
      </c>
      <c r="H124" t="s">
        <v>253</v>
      </c>
      <c r="K124">
        <v>206</v>
      </c>
      <c r="L124">
        <v>20</v>
      </c>
      <c r="M124">
        <v>3</v>
      </c>
      <c r="O124">
        <v>2</v>
      </c>
      <c r="P124">
        <f>ROUND(Source!DL103,O124)</f>
        <v>0</v>
      </c>
    </row>
    <row r="125" spans="1:16" x14ac:dyDescent="0.2">
      <c r="A125">
        <v>50</v>
      </c>
      <c r="B125">
        <v>0</v>
      </c>
      <c r="C125">
        <v>0</v>
      </c>
      <c r="D125">
        <v>1</v>
      </c>
      <c r="E125">
        <v>207</v>
      </c>
      <c r="F125">
        <f>Source!U103</f>
        <v>250.0861147</v>
      </c>
      <c r="G125" t="s">
        <v>254</v>
      </c>
      <c r="H125" t="s">
        <v>255</v>
      </c>
      <c r="K125">
        <v>207</v>
      </c>
      <c r="L125">
        <v>21</v>
      </c>
      <c r="M125">
        <v>3</v>
      </c>
      <c r="O125">
        <v>-1</v>
      </c>
      <c r="P125">
        <f>Source!DM103</f>
        <v>250.0861147</v>
      </c>
    </row>
    <row r="126" spans="1:16" x14ac:dyDescent="0.2">
      <c r="A126">
        <v>50</v>
      </c>
      <c r="B126">
        <v>0</v>
      </c>
      <c r="C126">
        <v>0</v>
      </c>
      <c r="D126">
        <v>1</v>
      </c>
      <c r="E126">
        <v>208</v>
      </c>
      <c r="F126">
        <f>Source!V103</f>
        <v>13.531219999999999</v>
      </c>
      <c r="G126" t="s">
        <v>256</v>
      </c>
      <c r="H126" t="s">
        <v>257</v>
      </c>
      <c r="K126">
        <v>208</v>
      </c>
      <c r="L126">
        <v>22</v>
      </c>
      <c r="M126">
        <v>3</v>
      </c>
      <c r="O126">
        <v>-1</v>
      </c>
      <c r="P126">
        <f>Source!DN103</f>
        <v>13.531219999999999</v>
      </c>
    </row>
    <row r="127" spans="1:16" x14ac:dyDescent="0.2">
      <c r="A127">
        <v>50</v>
      </c>
      <c r="B127">
        <v>0</v>
      </c>
      <c r="C127">
        <v>0</v>
      </c>
      <c r="D127">
        <v>1</v>
      </c>
      <c r="E127">
        <v>209</v>
      </c>
      <c r="F127">
        <f>ROUND(Source!W103,O127)</f>
        <v>71.45</v>
      </c>
      <c r="G127" t="s">
        <v>258</v>
      </c>
      <c r="H127" t="s">
        <v>259</v>
      </c>
      <c r="K127">
        <v>209</v>
      </c>
      <c r="L127">
        <v>23</v>
      </c>
      <c r="M127">
        <v>3</v>
      </c>
      <c r="O127">
        <v>2</v>
      </c>
      <c r="P127">
        <f>ROUND(Source!DO103,O127)</f>
        <v>71.45</v>
      </c>
    </row>
    <row r="128" spans="1:16" x14ac:dyDescent="0.2">
      <c r="A128">
        <v>50</v>
      </c>
      <c r="B128">
        <v>0</v>
      </c>
      <c r="C128">
        <v>0</v>
      </c>
      <c r="D128">
        <v>1</v>
      </c>
      <c r="E128">
        <v>233</v>
      </c>
      <c r="F128">
        <f>ROUND(Source!BD103,O128)</f>
        <v>73.3</v>
      </c>
      <c r="G128" t="s">
        <v>260</v>
      </c>
      <c r="H128" t="s">
        <v>261</v>
      </c>
      <c r="K128">
        <v>233</v>
      </c>
      <c r="L128">
        <v>24</v>
      </c>
      <c r="M128">
        <v>3</v>
      </c>
      <c r="O128">
        <v>2</v>
      </c>
      <c r="P128">
        <f>ROUND(Source!EV103,O128)</f>
        <v>969.05</v>
      </c>
    </row>
    <row r="129" spans="1:16" x14ac:dyDescent="0.2">
      <c r="A129">
        <v>50</v>
      </c>
      <c r="B129">
        <v>0</v>
      </c>
      <c r="C129">
        <v>0</v>
      </c>
      <c r="D129">
        <v>1</v>
      </c>
      <c r="E129">
        <v>210</v>
      </c>
      <c r="F129">
        <f>ROUND(Source!X103,O129)</f>
        <v>2347.58</v>
      </c>
      <c r="G129" t="s">
        <v>262</v>
      </c>
      <c r="H129" t="s">
        <v>263</v>
      </c>
      <c r="K129">
        <v>210</v>
      </c>
      <c r="L129">
        <v>25</v>
      </c>
      <c r="M129">
        <v>3</v>
      </c>
      <c r="O129">
        <v>2</v>
      </c>
      <c r="P129">
        <f>ROUND(Source!DP103,O129)</f>
        <v>78549.87</v>
      </c>
    </row>
    <row r="130" spans="1:16" x14ac:dyDescent="0.2">
      <c r="A130">
        <v>50</v>
      </c>
      <c r="B130">
        <v>0</v>
      </c>
      <c r="C130">
        <v>0</v>
      </c>
      <c r="D130">
        <v>1</v>
      </c>
      <c r="E130">
        <v>211</v>
      </c>
      <c r="F130">
        <f>ROUND(Source!Y103,O130)</f>
        <v>1606.01</v>
      </c>
      <c r="G130" t="s">
        <v>264</v>
      </c>
      <c r="H130" t="s">
        <v>265</v>
      </c>
      <c r="K130">
        <v>211</v>
      </c>
      <c r="L130">
        <v>26</v>
      </c>
      <c r="M130">
        <v>3</v>
      </c>
      <c r="O130">
        <v>2</v>
      </c>
      <c r="P130">
        <f>ROUND(Source!DQ103,O130)</f>
        <v>53736.72</v>
      </c>
    </row>
    <row r="131" spans="1:16" x14ac:dyDescent="0.2">
      <c r="A131">
        <v>50</v>
      </c>
      <c r="B131">
        <v>0</v>
      </c>
      <c r="C131">
        <v>0</v>
      </c>
      <c r="D131">
        <v>1</v>
      </c>
      <c r="E131">
        <v>224</v>
      </c>
      <c r="F131">
        <f>ROUND(Source!AR103,O131)</f>
        <v>30107.98</v>
      </c>
      <c r="G131" t="s">
        <v>266</v>
      </c>
      <c r="H131" t="s">
        <v>267</v>
      </c>
      <c r="K131">
        <v>224</v>
      </c>
      <c r="L131">
        <v>27</v>
      </c>
      <c r="M131">
        <v>3</v>
      </c>
      <c r="O131">
        <v>2</v>
      </c>
      <c r="P131">
        <f>ROUND(Source!EJ103,O131)</f>
        <v>270999.31</v>
      </c>
    </row>
    <row r="132" spans="1:16" x14ac:dyDescent="0.2">
      <c r="A132">
        <v>50</v>
      </c>
      <c r="B132">
        <v>1</v>
      </c>
      <c r="C132">
        <v>0</v>
      </c>
      <c r="D132">
        <v>2</v>
      </c>
      <c r="E132">
        <v>833073649</v>
      </c>
      <c r="F132">
        <f>ROUND(F131*0.2,O132)</f>
        <v>6021.6</v>
      </c>
      <c r="G132" t="s">
        <v>268</v>
      </c>
      <c r="H132" t="s">
        <v>269</v>
      </c>
      <c r="K132">
        <v>212</v>
      </c>
      <c r="L132">
        <v>28</v>
      </c>
      <c r="M132">
        <v>0</v>
      </c>
      <c r="O132">
        <v>2</v>
      </c>
      <c r="P132">
        <f>ROUND(P131*0.2,O132)</f>
        <v>54199.86</v>
      </c>
    </row>
    <row r="133" spans="1:16" x14ac:dyDescent="0.2">
      <c r="A133">
        <v>50</v>
      </c>
      <c r="B133">
        <v>1</v>
      </c>
      <c r="C133">
        <v>0</v>
      </c>
      <c r="D133">
        <v>2</v>
      </c>
      <c r="E133">
        <v>789314557</v>
      </c>
      <c r="F133">
        <f>ROUND(F131+F132,O133)</f>
        <v>36129.58</v>
      </c>
      <c r="G133" t="s">
        <v>270</v>
      </c>
      <c r="H133" t="s">
        <v>271</v>
      </c>
      <c r="K133">
        <v>212</v>
      </c>
      <c r="L133">
        <v>29</v>
      </c>
      <c r="M133">
        <v>0</v>
      </c>
      <c r="O133">
        <v>2</v>
      </c>
      <c r="P133">
        <f>ROUND(P131+P132,O133)</f>
        <v>325199.17</v>
      </c>
    </row>
    <row r="135" spans="1:16" x14ac:dyDescent="0.2">
      <c r="A135">
        <v>61</v>
      </c>
      <c r="F135">
        <v>5</v>
      </c>
      <c r="G135" t="s">
        <v>272</v>
      </c>
      <c r="H135" t="s">
        <v>273</v>
      </c>
    </row>
    <row r="136" spans="1:16" x14ac:dyDescent="0.2">
      <c r="A136">
        <v>61</v>
      </c>
      <c r="F136">
        <v>20</v>
      </c>
      <c r="G136" t="s">
        <v>274</v>
      </c>
      <c r="H136" t="s">
        <v>273</v>
      </c>
    </row>
    <row r="137" spans="1:16" x14ac:dyDescent="0.2">
      <c r="A137">
        <v>61</v>
      </c>
      <c r="F137">
        <v>0</v>
      </c>
      <c r="G137" t="s">
        <v>275</v>
      </c>
      <c r="H137" t="s">
        <v>273</v>
      </c>
    </row>
    <row r="138" spans="1:16" x14ac:dyDescent="0.2">
      <c r="A138">
        <v>61</v>
      </c>
      <c r="F138">
        <v>2.9</v>
      </c>
      <c r="G138" t="s">
        <v>276</v>
      </c>
      <c r="H138" t="s">
        <v>273</v>
      </c>
    </row>
    <row r="139" spans="1:16" x14ac:dyDescent="0.2">
      <c r="A139">
        <v>61</v>
      </c>
      <c r="F139">
        <v>22</v>
      </c>
      <c r="G139" t="s">
        <v>277</v>
      </c>
      <c r="H139" t="s">
        <v>273</v>
      </c>
    </row>
    <row r="140" spans="1:16" x14ac:dyDescent="0.2">
      <c r="A140">
        <v>61</v>
      </c>
      <c r="F140">
        <v>10.8</v>
      </c>
      <c r="G140" t="s">
        <v>278</v>
      </c>
      <c r="H140" t="s">
        <v>273</v>
      </c>
    </row>
    <row r="141" spans="1:16" x14ac:dyDescent="0.2">
      <c r="A141">
        <v>61</v>
      </c>
      <c r="F141">
        <v>34.799999999999997</v>
      </c>
      <c r="G141" t="s">
        <v>279</v>
      </c>
      <c r="H141" t="s">
        <v>273</v>
      </c>
    </row>
    <row r="142" spans="1:16" x14ac:dyDescent="0.2">
      <c r="A142">
        <v>61</v>
      </c>
      <c r="F142">
        <v>2.73</v>
      </c>
      <c r="G142" t="s">
        <v>280</v>
      </c>
      <c r="H142" t="s">
        <v>273</v>
      </c>
    </row>
    <row r="143" spans="1:16" x14ac:dyDescent="0.2">
      <c r="A143">
        <v>61</v>
      </c>
      <c r="F143">
        <v>0.82</v>
      </c>
      <c r="G143" t="s">
        <v>281</v>
      </c>
      <c r="H143" t="s">
        <v>273</v>
      </c>
    </row>
    <row r="144" spans="1:16" x14ac:dyDescent="0.2">
      <c r="A144">
        <v>61</v>
      </c>
      <c r="F144">
        <v>2.5</v>
      </c>
      <c r="G144" t="s">
        <v>282</v>
      </c>
      <c r="H144" t="s">
        <v>273</v>
      </c>
    </row>
    <row r="145" spans="1:15" x14ac:dyDescent="0.2">
      <c r="A145">
        <v>61</v>
      </c>
      <c r="F145">
        <v>13.6</v>
      </c>
      <c r="G145" t="s">
        <v>283</v>
      </c>
      <c r="H145" t="s">
        <v>273</v>
      </c>
    </row>
    <row r="146" spans="1:15" x14ac:dyDescent="0.2">
      <c r="A146">
        <v>61</v>
      </c>
      <c r="F146">
        <v>0</v>
      </c>
      <c r="G146" t="s">
        <v>284</v>
      </c>
      <c r="H146" t="s">
        <v>273</v>
      </c>
    </row>
    <row r="147" spans="1:15" x14ac:dyDescent="0.2">
      <c r="A147">
        <v>61</v>
      </c>
      <c r="F147">
        <v>12</v>
      </c>
      <c r="G147" t="s">
        <v>285</v>
      </c>
      <c r="H147" t="s">
        <v>273</v>
      </c>
    </row>
    <row r="148" spans="1:15" x14ac:dyDescent="0.2">
      <c r="A148">
        <v>61</v>
      </c>
      <c r="F148">
        <v>0</v>
      </c>
      <c r="G148" t="s">
        <v>286</v>
      </c>
      <c r="H148" t="s">
        <v>273</v>
      </c>
    </row>
    <row r="149" spans="1:15" x14ac:dyDescent="0.2">
      <c r="A149">
        <v>61</v>
      </c>
      <c r="F149">
        <v>0</v>
      </c>
      <c r="G149" t="s">
        <v>287</v>
      </c>
      <c r="H149" t="s">
        <v>273</v>
      </c>
    </row>
    <row r="150" spans="1:15" x14ac:dyDescent="0.2">
      <c r="A150">
        <v>61</v>
      </c>
      <c r="F150">
        <v>2.73</v>
      </c>
      <c r="G150" t="s">
        <v>288</v>
      </c>
      <c r="H150" t="s">
        <v>273</v>
      </c>
    </row>
    <row r="151" spans="1:15" x14ac:dyDescent="0.2">
      <c r="A151">
        <v>61</v>
      </c>
      <c r="F151">
        <v>5.89</v>
      </c>
      <c r="G151" t="s">
        <v>289</v>
      </c>
      <c r="H151" t="s">
        <v>273</v>
      </c>
    </row>
    <row r="152" spans="1:15" x14ac:dyDescent="0.2">
      <c r="A152">
        <v>61</v>
      </c>
      <c r="F152">
        <v>5.42</v>
      </c>
      <c r="G152" t="s">
        <v>290</v>
      </c>
      <c r="H152" t="s">
        <v>273</v>
      </c>
    </row>
    <row r="153" spans="1:15" x14ac:dyDescent="0.2">
      <c r="A153">
        <v>61</v>
      </c>
      <c r="F153">
        <v>13.6</v>
      </c>
      <c r="G153" t="s">
        <v>291</v>
      </c>
      <c r="H153" t="s">
        <v>273</v>
      </c>
    </row>
    <row r="154" spans="1:15" x14ac:dyDescent="0.2">
      <c r="A154">
        <v>61</v>
      </c>
      <c r="F154">
        <v>15.46</v>
      </c>
      <c r="G154" t="s">
        <v>292</v>
      </c>
      <c r="H154" t="s">
        <v>273</v>
      </c>
    </row>
    <row r="155" spans="1:15" x14ac:dyDescent="0.2">
      <c r="A155">
        <v>61</v>
      </c>
      <c r="F155">
        <v>3.86</v>
      </c>
      <c r="G155" t="s">
        <v>293</v>
      </c>
      <c r="H155" t="s">
        <v>294</v>
      </c>
    </row>
    <row r="156" spans="1:15" x14ac:dyDescent="0.2">
      <c r="A156">
        <v>61</v>
      </c>
      <c r="F156">
        <v>3.77</v>
      </c>
      <c r="G156" t="s">
        <v>295</v>
      </c>
      <c r="H156" t="s">
        <v>296</v>
      </c>
    </row>
    <row r="159" spans="1:15" x14ac:dyDescent="0.2">
      <c r="A159">
        <v>70</v>
      </c>
      <c r="B159">
        <v>1</v>
      </c>
      <c r="D159">
        <v>1</v>
      </c>
      <c r="E159" t="s">
        <v>297</v>
      </c>
      <c r="F159" t="s">
        <v>298</v>
      </c>
      <c r="G159">
        <v>1</v>
      </c>
      <c r="H159">
        <v>0</v>
      </c>
      <c r="J159">
        <v>1</v>
      </c>
      <c r="K159">
        <v>0</v>
      </c>
      <c r="N159">
        <v>0</v>
      </c>
      <c r="O159">
        <v>1</v>
      </c>
    </row>
    <row r="160" spans="1:15" x14ac:dyDescent="0.2">
      <c r="A160">
        <v>70</v>
      </c>
      <c r="B160">
        <v>1</v>
      </c>
      <c r="D160">
        <v>2</v>
      </c>
      <c r="E160" t="s">
        <v>299</v>
      </c>
      <c r="F160" t="s">
        <v>300</v>
      </c>
      <c r="G160">
        <v>0</v>
      </c>
      <c r="H160">
        <v>0</v>
      </c>
      <c r="J160">
        <v>1</v>
      </c>
      <c r="K160">
        <v>0</v>
      </c>
      <c r="N160">
        <v>0</v>
      </c>
      <c r="O160">
        <v>0</v>
      </c>
    </row>
    <row r="161" spans="1:15" x14ac:dyDescent="0.2">
      <c r="A161">
        <v>70</v>
      </c>
      <c r="B161">
        <v>1</v>
      </c>
      <c r="D161">
        <v>3</v>
      </c>
      <c r="E161" t="s">
        <v>301</v>
      </c>
      <c r="F161" t="s">
        <v>302</v>
      </c>
      <c r="G161">
        <v>0</v>
      </c>
      <c r="H161">
        <v>0</v>
      </c>
      <c r="J161">
        <v>1</v>
      </c>
      <c r="K161">
        <v>0</v>
      </c>
      <c r="N161">
        <v>0</v>
      </c>
      <c r="O161">
        <v>0</v>
      </c>
    </row>
    <row r="162" spans="1:15" x14ac:dyDescent="0.2">
      <c r="A162">
        <v>70</v>
      </c>
      <c r="B162">
        <v>1</v>
      </c>
      <c r="D162">
        <v>4</v>
      </c>
      <c r="E162" t="s">
        <v>303</v>
      </c>
      <c r="F162" t="s">
        <v>304</v>
      </c>
      <c r="G162">
        <v>0</v>
      </c>
      <c r="H162">
        <v>0</v>
      </c>
      <c r="I162" t="s">
        <v>305</v>
      </c>
      <c r="J162">
        <v>0</v>
      </c>
      <c r="K162">
        <v>0</v>
      </c>
      <c r="N162">
        <v>0</v>
      </c>
      <c r="O162">
        <v>0</v>
      </c>
    </row>
    <row r="163" spans="1:15" x14ac:dyDescent="0.2">
      <c r="A163">
        <v>70</v>
      </c>
      <c r="B163">
        <v>1</v>
      </c>
      <c r="D163">
        <v>5</v>
      </c>
      <c r="E163" t="s">
        <v>306</v>
      </c>
      <c r="F163" t="s">
        <v>307</v>
      </c>
      <c r="G163">
        <v>0</v>
      </c>
      <c r="H163">
        <v>0</v>
      </c>
      <c r="I163" t="s">
        <v>308</v>
      </c>
      <c r="J163">
        <v>0</v>
      </c>
      <c r="K163">
        <v>0</v>
      </c>
      <c r="N163">
        <v>0</v>
      </c>
      <c r="O163">
        <v>0</v>
      </c>
    </row>
    <row r="164" spans="1:15" x14ac:dyDescent="0.2">
      <c r="A164">
        <v>70</v>
      </c>
      <c r="B164">
        <v>1</v>
      </c>
      <c r="D164">
        <v>6</v>
      </c>
      <c r="E164" t="s">
        <v>309</v>
      </c>
      <c r="F164" t="s">
        <v>310</v>
      </c>
      <c r="G164">
        <v>0</v>
      </c>
      <c r="H164">
        <v>0</v>
      </c>
      <c r="I164" t="s">
        <v>311</v>
      </c>
      <c r="J164">
        <v>0</v>
      </c>
      <c r="K164">
        <v>0</v>
      </c>
      <c r="N164">
        <v>0</v>
      </c>
      <c r="O164">
        <v>0</v>
      </c>
    </row>
    <row r="165" spans="1:15" x14ac:dyDescent="0.2">
      <c r="A165">
        <v>70</v>
      </c>
      <c r="B165">
        <v>1</v>
      </c>
      <c r="D165">
        <v>7</v>
      </c>
      <c r="E165" t="s">
        <v>312</v>
      </c>
      <c r="F165" t="s">
        <v>313</v>
      </c>
      <c r="G165">
        <v>1</v>
      </c>
      <c r="H165">
        <v>0</v>
      </c>
      <c r="J165">
        <v>0</v>
      </c>
      <c r="K165">
        <v>0</v>
      </c>
      <c r="N165">
        <v>0</v>
      </c>
      <c r="O165">
        <v>1</v>
      </c>
    </row>
    <row r="166" spans="1:15" x14ac:dyDescent="0.2">
      <c r="A166">
        <v>70</v>
      </c>
      <c r="B166">
        <v>1</v>
      </c>
      <c r="D166">
        <v>8</v>
      </c>
      <c r="E166" t="s">
        <v>314</v>
      </c>
      <c r="F166" t="s">
        <v>315</v>
      </c>
      <c r="G166">
        <v>0</v>
      </c>
      <c r="H166">
        <v>0</v>
      </c>
      <c r="I166" t="s">
        <v>316</v>
      </c>
      <c r="J166">
        <v>0</v>
      </c>
      <c r="K166">
        <v>0</v>
      </c>
      <c r="N166">
        <v>0</v>
      </c>
      <c r="O166">
        <v>0</v>
      </c>
    </row>
    <row r="167" spans="1:15" x14ac:dyDescent="0.2">
      <c r="A167">
        <v>70</v>
      </c>
      <c r="B167">
        <v>1</v>
      </c>
      <c r="D167">
        <v>9</v>
      </c>
      <c r="E167" t="s">
        <v>317</v>
      </c>
      <c r="F167" t="s">
        <v>318</v>
      </c>
      <c r="G167">
        <v>0</v>
      </c>
      <c r="H167">
        <v>0</v>
      </c>
      <c r="I167" t="s">
        <v>319</v>
      </c>
      <c r="J167">
        <v>0</v>
      </c>
      <c r="K167">
        <v>0</v>
      </c>
      <c r="N167">
        <v>0</v>
      </c>
      <c r="O167">
        <v>0</v>
      </c>
    </row>
    <row r="168" spans="1:15" x14ac:dyDescent="0.2">
      <c r="A168">
        <v>70</v>
      </c>
      <c r="B168">
        <v>1</v>
      </c>
      <c r="D168">
        <v>10</v>
      </c>
      <c r="E168" t="s">
        <v>320</v>
      </c>
      <c r="F168" t="s">
        <v>321</v>
      </c>
      <c r="G168">
        <v>0</v>
      </c>
      <c r="H168">
        <v>0</v>
      </c>
      <c r="I168" t="s">
        <v>322</v>
      </c>
      <c r="J168">
        <v>0</v>
      </c>
      <c r="K168">
        <v>0</v>
      </c>
      <c r="N168">
        <v>0</v>
      </c>
      <c r="O168">
        <v>0</v>
      </c>
    </row>
    <row r="169" spans="1:15" x14ac:dyDescent="0.2">
      <c r="A169">
        <v>70</v>
      </c>
      <c r="B169">
        <v>1</v>
      </c>
      <c r="D169">
        <v>11</v>
      </c>
      <c r="E169" t="s">
        <v>323</v>
      </c>
      <c r="F169" t="s">
        <v>324</v>
      </c>
      <c r="G169">
        <v>0</v>
      </c>
      <c r="H169">
        <v>0</v>
      </c>
      <c r="I169" t="s">
        <v>325</v>
      </c>
      <c r="J169">
        <v>0</v>
      </c>
      <c r="K169">
        <v>0</v>
      </c>
      <c r="N169">
        <v>0</v>
      </c>
      <c r="O169">
        <v>0</v>
      </c>
    </row>
    <row r="170" spans="1:15" x14ac:dyDescent="0.2">
      <c r="A170">
        <v>70</v>
      </c>
      <c r="B170">
        <v>1</v>
      </c>
      <c r="D170">
        <v>12</v>
      </c>
      <c r="E170" t="s">
        <v>326</v>
      </c>
      <c r="F170" t="s">
        <v>327</v>
      </c>
      <c r="G170">
        <v>0</v>
      </c>
      <c r="H170">
        <v>0</v>
      </c>
      <c r="J170">
        <v>0</v>
      </c>
      <c r="K170">
        <v>0</v>
      </c>
      <c r="N170">
        <v>0</v>
      </c>
      <c r="O170">
        <v>0</v>
      </c>
    </row>
    <row r="171" spans="1:15" x14ac:dyDescent="0.2">
      <c r="A171">
        <v>70</v>
      </c>
      <c r="B171">
        <v>1</v>
      </c>
      <c r="D171">
        <v>1</v>
      </c>
      <c r="E171" t="s">
        <v>328</v>
      </c>
      <c r="F171" t="s">
        <v>329</v>
      </c>
      <c r="G171">
        <v>0.9</v>
      </c>
      <c r="H171">
        <v>1</v>
      </c>
      <c r="I171" t="s">
        <v>330</v>
      </c>
      <c r="J171">
        <v>0</v>
      </c>
      <c r="K171">
        <v>0</v>
      </c>
      <c r="N171">
        <v>0</v>
      </c>
      <c r="O171">
        <v>0.9</v>
      </c>
    </row>
    <row r="172" spans="1:15" x14ac:dyDescent="0.2">
      <c r="A172">
        <v>70</v>
      </c>
      <c r="B172">
        <v>1</v>
      </c>
      <c r="D172">
        <v>2</v>
      </c>
      <c r="E172" t="s">
        <v>331</v>
      </c>
      <c r="F172" t="s">
        <v>332</v>
      </c>
      <c r="G172">
        <v>0.85</v>
      </c>
      <c r="H172">
        <v>1</v>
      </c>
      <c r="I172" t="s">
        <v>333</v>
      </c>
      <c r="J172">
        <v>0</v>
      </c>
      <c r="K172">
        <v>0</v>
      </c>
      <c r="N172">
        <v>0</v>
      </c>
      <c r="O172">
        <v>0.85</v>
      </c>
    </row>
    <row r="173" spans="1:15" x14ac:dyDescent="0.2">
      <c r="A173">
        <v>70</v>
      </c>
      <c r="B173">
        <v>1</v>
      </c>
      <c r="D173">
        <v>3</v>
      </c>
      <c r="E173" t="s">
        <v>334</v>
      </c>
      <c r="F173" t="s">
        <v>335</v>
      </c>
      <c r="G173">
        <v>1</v>
      </c>
      <c r="H173">
        <v>0.85</v>
      </c>
      <c r="I173" t="s">
        <v>336</v>
      </c>
      <c r="J173">
        <v>0</v>
      </c>
      <c r="K173">
        <v>0</v>
      </c>
      <c r="N173">
        <v>0</v>
      </c>
      <c r="O173">
        <v>1</v>
      </c>
    </row>
    <row r="174" spans="1:15" x14ac:dyDescent="0.2">
      <c r="A174">
        <v>70</v>
      </c>
      <c r="B174">
        <v>1</v>
      </c>
      <c r="D174">
        <v>4</v>
      </c>
      <c r="E174" t="s">
        <v>337</v>
      </c>
      <c r="F174" t="s">
        <v>338</v>
      </c>
      <c r="G174">
        <v>1</v>
      </c>
      <c r="H174">
        <v>0</v>
      </c>
      <c r="J174">
        <v>0</v>
      </c>
      <c r="K174">
        <v>0</v>
      </c>
      <c r="N174">
        <v>0</v>
      </c>
      <c r="O174">
        <v>1</v>
      </c>
    </row>
    <row r="175" spans="1:15" x14ac:dyDescent="0.2">
      <c r="A175">
        <v>70</v>
      </c>
      <c r="B175">
        <v>1</v>
      </c>
      <c r="D175">
        <v>5</v>
      </c>
      <c r="E175" t="s">
        <v>339</v>
      </c>
      <c r="F175" t="s">
        <v>340</v>
      </c>
      <c r="G175">
        <v>1</v>
      </c>
      <c r="H175">
        <v>0.8</v>
      </c>
      <c r="I175" t="s">
        <v>341</v>
      </c>
      <c r="J175">
        <v>0</v>
      </c>
      <c r="K175">
        <v>0</v>
      </c>
      <c r="N175">
        <v>0</v>
      </c>
      <c r="O175">
        <v>1</v>
      </c>
    </row>
    <row r="176" spans="1:15" x14ac:dyDescent="0.2">
      <c r="A176">
        <v>70</v>
      </c>
      <c r="B176">
        <v>1</v>
      </c>
      <c r="D176">
        <v>6</v>
      </c>
      <c r="E176" t="s">
        <v>342</v>
      </c>
      <c r="F176" t="s">
        <v>343</v>
      </c>
      <c r="G176">
        <v>1</v>
      </c>
      <c r="H176">
        <v>0</v>
      </c>
      <c r="J176">
        <v>0</v>
      </c>
      <c r="K176">
        <v>0</v>
      </c>
      <c r="N176">
        <v>0</v>
      </c>
      <c r="O176">
        <v>0.85</v>
      </c>
    </row>
    <row r="177" spans="1:40" x14ac:dyDescent="0.2">
      <c r="A177">
        <v>70</v>
      </c>
      <c r="B177">
        <v>1</v>
      </c>
      <c r="D177">
        <v>7</v>
      </c>
      <c r="E177" t="s">
        <v>344</v>
      </c>
      <c r="F177" t="s">
        <v>345</v>
      </c>
      <c r="G177">
        <v>1</v>
      </c>
      <c r="H177">
        <v>0</v>
      </c>
      <c r="J177">
        <v>0</v>
      </c>
      <c r="K177">
        <v>0</v>
      </c>
      <c r="N177">
        <v>0</v>
      </c>
      <c r="O177">
        <v>0.8</v>
      </c>
    </row>
    <row r="178" spans="1:40" x14ac:dyDescent="0.2">
      <c r="A178">
        <v>70</v>
      </c>
      <c r="B178">
        <v>1</v>
      </c>
      <c r="D178">
        <v>8</v>
      </c>
      <c r="E178" t="s">
        <v>346</v>
      </c>
      <c r="F178" t="s">
        <v>347</v>
      </c>
      <c r="G178">
        <v>0.7</v>
      </c>
      <c r="H178">
        <v>0</v>
      </c>
      <c r="J178">
        <v>0</v>
      </c>
      <c r="K178">
        <v>0</v>
      </c>
      <c r="N178">
        <v>0</v>
      </c>
      <c r="O178">
        <v>0.7</v>
      </c>
    </row>
    <row r="179" spans="1:40" x14ac:dyDescent="0.2">
      <c r="A179">
        <v>70</v>
      </c>
      <c r="B179">
        <v>1</v>
      </c>
      <c r="D179">
        <v>9</v>
      </c>
      <c r="E179" t="s">
        <v>348</v>
      </c>
      <c r="F179" t="s">
        <v>349</v>
      </c>
      <c r="G179">
        <v>0.9</v>
      </c>
      <c r="H179">
        <v>0</v>
      </c>
      <c r="J179">
        <v>0</v>
      </c>
      <c r="K179">
        <v>0</v>
      </c>
      <c r="N179">
        <v>0</v>
      </c>
      <c r="O179">
        <v>0.9</v>
      </c>
    </row>
    <row r="180" spans="1:40" x14ac:dyDescent="0.2">
      <c r="A180">
        <v>70</v>
      </c>
      <c r="B180">
        <v>1</v>
      </c>
      <c r="D180">
        <v>10</v>
      </c>
      <c r="E180" t="s">
        <v>350</v>
      </c>
      <c r="F180" t="s">
        <v>351</v>
      </c>
      <c r="G180">
        <v>0.6</v>
      </c>
      <c r="H180">
        <v>0</v>
      </c>
      <c r="J180">
        <v>0</v>
      </c>
      <c r="K180">
        <v>0</v>
      </c>
      <c r="N180">
        <v>0</v>
      </c>
      <c r="O180">
        <v>0.6</v>
      </c>
    </row>
    <row r="181" spans="1:40" x14ac:dyDescent="0.2">
      <c r="A181">
        <v>70</v>
      </c>
      <c r="B181">
        <v>1</v>
      </c>
      <c r="D181">
        <v>11</v>
      </c>
      <c r="E181" t="s">
        <v>352</v>
      </c>
      <c r="F181" t="s">
        <v>353</v>
      </c>
      <c r="G181">
        <v>1.2</v>
      </c>
      <c r="H181">
        <v>0</v>
      </c>
      <c r="J181">
        <v>0</v>
      </c>
      <c r="K181">
        <v>0</v>
      </c>
      <c r="N181">
        <v>0</v>
      </c>
      <c r="O181">
        <v>1.2</v>
      </c>
    </row>
    <row r="182" spans="1:40" x14ac:dyDescent="0.2">
      <c r="A182">
        <v>70</v>
      </c>
      <c r="B182">
        <v>1</v>
      </c>
      <c r="D182">
        <v>12</v>
      </c>
      <c r="E182" t="s">
        <v>354</v>
      </c>
      <c r="F182" t="s">
        <v>355</v>
      </c>
      <c r="G182">
        <v>0</v>
      </c>
      <c r="H182">
        <v>0</v>
      </c>
      <c r="J182">
        <v>0</v>
      </c>
      <c r="K182">
        <v>0</v>
      </c>
      <c r="N182">
        <v>0</v>
      </c>
      <c r="O182">
        <v>0</v>
      </c>
    </row>
    <row r="183" spans="1:40" x14ac:dyDescent="0.2">
      <c r="A183">
        <v>70</v>
      </c>
      <c r="B183">
        <v>1</v>
      </c>
      <c r="D183">
        <v>13</v>
      </c>
      <c r="E183" t="s">
        <v>356</v>
      </c>
      <c r="F183" t="s">
        <v>357</v>
      </c>
      <c r="G183">
        <v>1</v>
      </c>
      <c r="H183">
        <v>0</v>
      </c>
      <c r="J183">
        <v>0</v>
      </c>
      <c r="K183">
        <v>0</v>
      </c>
      <c r="N183">
        <v>0</v>
      </c>
      <c r="O183">
        <v>1</v>
      </c>
    </row>
    <row r="185" spans="1:40" x14ac:dyDescent="0.2">
      <c r="A185">
        <v>-1</v>
      </c>
    </row>
    <row r="187" spans="1:40" x14ac:dyDescent="0.2">
      <c r="A187">
        <v>75</v>
      </c>
      <c r="B187" t="s">
        <v>358</v>
      </c>
      <c r="C187">
        <v>2000</v>
      </c>
      <c r="D187">
        <v>0</v>
      </c>
      <c r="E187">
        <v>1</v>
      </c>
      <c r="G187">
        <v>0</v>
      </c>
      <c r="H187">
        <v>1</v>
      </c>
      <c r="I187">
        <v>0</v>
      </c>
      <c r="J187">
        <v>3</v>
      </c>
      <c r="K187">
        <v>0</v>
      </c>
      <c r="L187">
        <v>0</v>
      </c>
      <c r="M187">
        <v>0</v>
      </c>
      <c r="N187">
        <v>939971439</v>
      </c>
      <c r="O187">
        <v>1</v>
      </c>
    </row>
    <row r="188" spans="1:40" x14ac:dyDescent="0.2">
      <c r="A188">
        <v>75</v>
      </c>
      <c r="B188" t="s">
        <v>359</v>
      </c>
      <c r="C188">
        <v>2021</v>
      </c>
      <c r="D188">
        <v>0</v>
      </c>
      <c r="E188">
        <v>5</v>
      </c>
      <c r="G188">
        <v>0</v>
      </c>
      <c r="H188">
        <v>1</v>
      </c>
      <c r="I188">
        <v>0</v>
      </c>
      <c r="J188">
        <v>3</v>
      </c>
      <c r="K188">
        <v>0</v>
      </c>
      <c r="L188">
        <v>0</v>
      </c>
      <c r="M188">
        <v>1</v>
      </c>
      <c r="N188">
        <v>939971440</v>
      </c>
      <c r="O188">
        <v>2</v>
      </c>
    </row>
    <row r="189" spans="1:40" x14ac:dyDescent="0.2">
      <c r="A189">
        <v>1</v>
      </c>
      <c r="B189" t="s">
        <v>360</v>
      </c>
      <c r="C189" t="s">
        <v>361</v>
      </c>
      <c r="D189">
        <v>2021</v>
      </c>
      <c r="E189">
        <v>5</v>
      </c>
      <c r="F189">
        <v>1</v>
      </c>
      <c r="G189">
        <v>1</v>
      </c>
      <c r="H189">
        <v>0</v>
      </c>
      <c r="I189">
        <v>2</v>
      </c>
      <c r="J189">
        <v>1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1</v>
      </c>
      <c r="AN189">
        <v>939971441</v>
      </c>
    </row>
    <row r="193" spans="1:5" x14ac:dyDescent="0.2">
      <c r="A193">
        <v>65</v>
      </c>
      <c r="C193">
        <v>1</v>
      </c>
      <c r="D193">
        <v>0</v>
      </c>
      <c r="E193">
        <v>245</v>
      </c>
    </row>
  </sheetData>
  <printOptions gridLines="1"/>
  <pageMargins left="0.75" right="0.75" top="1" bottom="1" header="0.5" footer="0.5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C55"/>
  <sheetViews>
    <sheetView zoomScaleNormal="100" workbookViewId="0"/>
  </sheetViews>
  <sheetFormatPr defaultRowHeight="12.75" x14ac:dyDescent="0.2"/>
  <cols>
    <col min="1" max="1025" width="9.140625" customWidth="1"/>
  </cols>
  <sheetData>
    <row r="1" spans="1:133" x14ac:dyDescent="0.2">
      <c r="A1">
        <v>0</v>
      </c>
      <c r="B1" t="s">
        <v>93</v>
      </c>
      <c r="D1" t="s">
        <v>362</v>
      </c>
      <c r="F1">
        <v>0</v>
      </c>
      <c r="G1">
        <v>0</v>
      </c>
      <c r="H1">
        <v>0</v>
      </c>
      <c r="I1" t="s">
        <v>95</v>
      </c>
      <c r="K1">
        <v>1</v>
      </c>
      <c r="L1">
        <v>40934</v>
      </c>
      <c r="M1">
        <v>211944327</v>
      </c>
      <c r="N1">
        <v>11</v>
      </c>
      <c r="O1">
        <v>3</v>
      </c>
      <c r="P1">
        <v>0</v>
      </c>
      <c r="Q1">
        <v>0</v>
      </c>
    </row>
    <row r="12" spans="1:133" x14ac:dyDescent="0.2">
      <c r="A12">
        <v>1</v>
      </c>
      <c r="B12">
        <v>53</v>
      </c>
      <c r="C12">
        <v>0</v>
      </c>
      <c r="E12">
        <v>0</v>
      </c>
      <c r="F12" t="s">
        <v>96</v>
      </c>
      <c r="G12" t="s">
        <v>97</v>
      </c>
      <c r="I12">
        <v>0</v>
      </c>
      <c r="K12">
        <v>0</v>
      </c>
      <c r="L12">
        <v>0</v>
      </c>
      <c r="M12"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V12">
        <v>0</v>
      </c>
      <c r="BB12">
        <v>0</v>
      </c>
      <c r="BH12" t="s">
        <v>98</v>
      </c>
      <c r="BI12" t="s">
        <v>99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100</v>
      </c>
      <c r="BZ12" t="s">
        <v>101</v>
      </c>
      <c r="CA12" t="s">
        <v>102</v>
      </c>
      <c r="CB12" t="s">
        <v>102</v>
      </c>
      <c r="CC12" t="s">
        <v>102</v>
      </c>
      <c r="CD12" t="s">
        <v>102</v>
      </c>
      <c r="CE12" t="s">
        <v>103</v>
      </c>
      <c r="CF12">
        <v>0</v>
      </c>
      <c r="CG12">
        <v>0</v>
      </c>
      <c r="CH12">
        <v>8200</v>
      </c>
      <c r="CK12">
        <v>1</v>
      </c>
      <c r="EC12">
        <v>0</v>
      </c>
    </row>
    <row r="14" spans="1:133" x14ac:dyDescent="0.2">
      <c r="A14">
        <v>22</v>
      </c>
      <c r="B14">
        <v>0</v>
      </c>
      <c r="C14">
        <v>0</v>
      </c>
      <c r="D14">
        <v>939971439</v>
      </c>
      <c r="E14">
        <v>939971440</v>
      </c>
      <c r="F14">
        <v>3</v>
      </c>
    </row>
    <row r="16" spans="1:133" x14ac:dyDescent="0.2">
      <c r="A16">
        <v>3</v>
      </c>
      <c r="B16">
        <v>1</v>
      </c>
      <c r="C16" t="s">
        <v>104</v>
      </c>
      <c r="D16" t="s">
        <v>104</v>
      </c>
      <c r="E16">
        <f>(Source!F90)/1000</f>
        <v>30.107980000000001</v>
      </c>
      <c r="F16">
        <f>(Source!F91)/1000</f>
        <v>0</v>
      </c>
      <c r="G16">
        <f>(Source!F82)/1000</f>
        <v>0</v>
      </c>
      <c r="H16">
        <f>(Source!F92)/1000+(Source!F93)/1000</f>
        <v>0</v>
      </c>
      <c r="I16">
        <f>E16+F16+G16+H16</f>
        <v>30.107980000000001</v>
      </c>
      <c r="J16">
        <f>(Source!F88)/1000</f>
        <v>2.15551</v>
      </c>
      <c r="T16">
        <f>(Source!P90)/1000</f>
        <v>270.99930999999998</v>
      </c>
      <c r="U16">
        <f>(Source!P91)/1000</f>
        <v>0</v>
      </c>
      <c r="V16">
        <f>(Source!P82)/1000</f>
        <v>0</v>
      </c>
      <c r="W16">
        <f>(Source!P92)/1000+(Source!P93)/1000</f>
        <v>0</v>
      </c>
      <c r="X16">
        <f>T16+U16+V16+W16</f>
        <v>270.99930999999998</v>
      </c>
      <c r="Y16">
        <f>(Source!P88)/1000</f>
        <v>71.874089999999995</v>
      </c>
      <c r="AI16">
        <v>0</v>
      </c>
      <c r="AJ16">
        <v>-1</v>
      </c>
      <c r="AN16">
        <v>0</v>
      </c>
      <c r="AT16">
        <v>26154.39</v>
      </c>
      <c r="AU16">
        <v>23281.58</v>
      </c>
      <c r="AV16">
        <v>0</v>
      </c>
      <c r="AW16">
        <v>0</v>
      </c>
      <c r="AX16">
        <v>0</v>
      </c>
      <c r="AY16">
        <v>717.3</v>
      </c>
      <c r="AZ16">
        <v>148.5</v>
      </c>
      <c r="BA16">
        <v>2155.5100000000002</v>
      </c>
      <c r="BB16">
        <v>30107.98</v>
      </c>
      <c r="BC16">
        <v>0</v>
      </c>
      <c r="BD16">
        <v>0</v>
      </c>
      <c r="BE16">
        <v>0</v>
      </c>
      <c r="BF16">
        <v>250.0861147</v>
      </c>
      <c r="BG16">
        <v>13.531219999999999</v>
      </c>
      <c r="BH16">
        <v>71.45</v>
      </c>
      <c r="BI16">
        <v>2347.58</v>
      </c>
      <c r="BJ16">
        <v>1606.01</v>
      </c>
      <c r="BK16">
        <v>30107.98</v>
      </c>
      <c r="BR16">
        <v>138712.72</v>
      </c>
      <c r="BS16">
        <v>58554.05</v>
      </c>
      <c r="BT16">
        <v>0</v>
      </c>
      <c r="BU16">
        <v>0</v>
      </c>
      <c r="BV16">
        <v>0</v>
      </c>
      <c r="BW16">
        <v>8284.58</v>
      </c>
      <c r="BX16">
        <v>4968.8999999999996</v>
      </c>
      <c r="BY16">
        <v>71874.09</v>
      </c>
      <c r="BZ16">
        <v>270999.31</v>
      </c>
      <c r="CA16">
        <v>0</v>
      </c>
      <c r="CB16">
        <v>0</v>
      </c>
      <c r="CC16">
        <v>0</v>
      </c>
      <c r="CD16">
        <v>250.0861147</v>
      </c>
      <c r="CE16">
        <v>13.531219999999999</v>
      </c>
      <c r="CF16">
        <v>71.45</v>
      </c>
      <c r="CG16">
        <v>78549.87</v>
      </c>
      <c r="CH16">
        <v>53736.72</v>
      </c>
      <c r="CI16">
        <v>270999.31</v>
      </c>
    </row>
    <row r="18" spans="1:25" x14ac:dyDescent="0.2">
      <c r="A18">
        <v>51</v>
      </c>
      <c r="E18">
        <f>SUMIF(A16:A17,3,E16:E17)</f>
        <v>30.107980000000001</v>
      </c>
      <c r="F18">
        <f>SUMIF(A16:A17,3,F16:F17)</f>
        <v>0</v>
      </c>
      <c r="G18">
        <f>SUMIF(A16:A17,3,G16:G17)</f>
        <v>0</v>
      </c>
      <c r="H18">
        <f>SUMIF(A16:A17,3,H16:H17)</f>
        <v>0</v>
      </c>
      <c r="I18">
        <f>SUMIF(A16:A17,3,I16:I17)</f>
        <v>30.107980000000001</v>
      </c>
      <c r="J18">
        <f>SUMIF(A16:A17,3,J16:J17)</f>
        <v>2.15551</v>
      </c>
      <c r="T18">
        <f>SUMIF(A16:A17,3,T16:T17)</f>
        <v>270.99930999999998</v>
      </c>
      <c r="U18">
        <f>SUMIF(A16:A17,3,U16:U17)</f>
        <v>0</v>
      </c>
      <c r="V18">
        <f>SUMIF(A16:A17,3,V16:V17)</f>
        <v>0</v>
      </c>
      <c r="W18">
        <f>SUMIF(A16:A17,3,W16:W17)</f>
        <v>0</v>
      </c>
      <c r="X18">
        <f>SUMIF(A16:A17,3,X16:X17)</f>
        <v>270.99930999999998</v>
      </c>
      <c r="Y18">
        <f>SUMIF(A16:A17,3,Y16:Y17)</f>
        <v>71.874089999999995</v>
      </c>
    </row>
    <row r="20" spans="1:25" x14ac:dyDescent="0.2">
      <c r="A20">
        <v>50</v>
      </c>
      <c r="B20">
        <v>0</v>
      </c>
      <c r="C20">
        <v>0</v>
      </c>
      <c r="D20">
        <v>1</v>
      </c>
      <c r="E20">
        <v>201</v>
      </c>
      <c r="F20">
        <v>26154.39</v>
      </c>
      <c r="G20" t="s">
        <v>214</v>
      </c>
      <c r="H20" t="s">
        <v>215</v>
      </c>
      <c r="K20">
        <v>201</v>
      </c>
      <c r="L20">
        <v>1</v>
      </c>
      <c r="M20">
        <v>3</v>
      </c>
      <c r="O20">
        <v>2</v>
      </c>
      <c r="P20">
        <v>138712.72</v>
      </c>
    </row>
    <row r="21" spans="1:25" x14ac:dyDescent="0.2">
      <c r="A21">
        <v>50</v>
      </c>
      <c r="B21">
        <v>0</v>
      </c>
      <c r="C21">
        <v>0</v>
      </c>
      <c r="D21">
        <v>1</v>
      </c>
      <c r="E21">
        <v>202</v>
      </c>
      <c r="F21">
        <v>23281.58</v>
      </c>
      <c r="G21" t="s">
        <v>216</v>
      </c>
      <c r="H21" t="s">
        <v>217</v>
      </c>
      <c r="K21">
        <v>202</v>
      </c>
      <c r="L21">
        <v>2</v>
      </c>
      <c r="M21">
        <v>3</v>
      </c>
      <c r="O21">
        <v>2</v>
      </c>
      <c r="P21">
        <v>58554.05</v>
      </c>
    </row>
    <row r="22" spans="1:25" x14ac:dyDescent="0.2">
      <c r="A22">
        <v>50</v>
      </c>
      <c r="B22">
        <v>0</v>
      </c>
      <c r="C22">
        <v>0</v>
      </c>
      <c r="D22">
        <v>1</v>
      </c>
      <c r="E22">
        <v>222</v>
      </c>
      <c r="F22">
        <v>0</v>
      </c>
      <c r="G22" t="s">
        <v>218</v>
      </c>
      <c r="H22" t="s">
        <v>219</v>
      </c>
      <c r="K22">
        <v>222</v>
      </c>
      <c r="L22">
        <v>3</v>
      </c>
      <c r="M22">
        <v>3</v>
      </c>
      <c r="O22">
        <v>2</v>
      </c>
      <c r="P22">
        <v>0</v>
      </c>
    </row>
    <row r="23" spans="1:25" x14ac:dyDescent="0.2">
      <c r="A23">
        <v>50</v>
      </c>
      <c r="B23">
        <v>0</v>
      </c>
      <c r="C23">
        <v>0</v>
      </c>
      <c r="D23">
        <v>1</v>
      </c>
      <c r="E23">
        <v>225</v>
      </c>
      <c r="F23">
        <v>23281.58</v>
      </c>
      <c r="G23" t="s">
        <v>220</v>
      </c>
      <c r="H23" t="s">
        <v>221</v>
      </c>
      <c r="K23">
        <v>225</v>
      </c>
      <c r="L23">
        <v>4</v>
      </c>
      <c r="M23">
        <v>3</v>
      </c>
      <c r="O23">
        <v>2</v>
      </c>
      <c r="P23">
        <v>58554.05</v>
      </c>
    </row>
    <row r="24" spans="1:25" x14ac:dyDescent="0.2">
      <c r="A24">
        <v>50</v>
      </c>
      <c r="B24">
        <v>0</v>
      </c>
      <c r="C24">
        <v>0</v>
      </c>
      <c r="D24">
        <v>1</v>
      </c>
      <c r="E24">
        <v>226</v>
      </c>
      <c r="F24">
        <v>23281.58</v>
      </c>
      <c r="G24" t="s">
        <v>222</v>
      </c>
      <c r="H24" t="s">
        <v>223</v>
      </c>
      <c r="K24">
        <v>226</v>
      </c>
      <c r="L24">
        <v>5</v>
      </c>
      <c r="M24">
        <v>3</v>
      </c>
      <c r="O24">
        <v>2</v>
      </c>
      <c r="P24">
        <v>58554.05</v>
      </c>
    </row>
    <row r="25" spans="1:25" x14ac:dyDescent="0.2">
      <c r="A25">
        <v>50</v>
      </c>
      <c r="B25">
        <v>0</v>
      </c>
      <c r="C25">
        <v>0</v>
      </c>
      <c r="D25">
        <v>1</v>
      </c>
      <c r="E25">
        <v>227</v>
      </c>
      <c r="F25">
        <v>0</v>
      </c>
      <c r="G25" t="s">
        <v>224</v>
      </c>
      <c r="H25" t="s">
        <v>225</v>
      </c>
      <c r="K25">
        <v>227</v>
      </c>
      <c r="L25">
        <v>6</v>
      </c>
      <c r="M25">
        <v>3</v>
      </c>
      <c r="O25">
        <v>2</v>
      </c>
      <c r="P25">
        <v>0</v>
      </c>
    </row>
    <row r="26" spans="1:25" x14ac:dyDescent="0.2">
      <c r="A26">
        <v>50</v>
      </c>
      <c r="B26">
        <v>0</v>
      </c>
      <c r="C26">
        <v>0</v>
      </c>
      <c r="D26">
        <v>1</v>
      </c>
      <c r="E26">
        <v>228</v>
      </c>
      <c r="F26">
        <v>23281.58</v>
      </c>
      <c r="G26" t="s">
        <v>226</v>
      </c>
      <c r="H26" t="s">
        <v>227</v>
      </c>
      <c r="K26">
        <v>228</v>
      </c>
      <c r="L26">
        <v>7</v>
      </c>
      <c r="M26">
        <v>3</v>
      </c>
      <c r="O26">
        <v>2</v>
      </c>
      <c r="P26">
        <v>58554.05</v>
      </c>
    </row>
    <row r="27" spans="1:25" x14ac:dyDescent="0.2">
      <c r="A27">
        <v>50</v>
      </c>
      <c r="B27">
        <v>0</v>
      </c>
      <c r="C27">
        <v>0</v>
      </c>
      <c r="D27">
        <v>1</v>
      </c>
      <c r="E27">
        <v>216</v>
      </c>
      <c r="F27">
        <v>0</v>
      </c>
      <c r="G27" t="s">
        <v>228</v>
      </c>
      <c r="H27" t="s">
        <v>229</v>
      </c>
      <c r="K27">
        <v>216</v>
      </c>
      <c r="L27">
        <v>8</v>
      </c>
      <c r="M27">
        <v>3</v>
      </c>
      <c r="O27">
        <v>2</v>
      </c>
      <c r="P27">
        <v>0</v>
      </c>
    </row>
    <row r="28" spans="1:25" x14ac:dyDescent="0.2">
      <c r="A28">
        <v>50</v>
      </c>
      <c r="B28">
        <v>0</v>
      </c>
      <c r="C28">
        <v>0</v>
      </c>
      <c r="D28">
        <v>1</v>
      </c>
      <c r="E28">
        <v>223</v>
      </c>
      <c r="F28">
        <v>0</v>
      </c>
      <c r="G28" t="s">
        <v>230</v>
      </c>
      <c r="H28" t="s">
        <v>231</v>
      </c>
      <c r="K28">
        <v>223</v>
      </c>
      <c r="L28">
        <v>9</v>
      </c>
      <c r="M28">
        <v>3</v>
      </c>
      <c r="O28">
        <v>2</v>
      </c>
      <c r="P28">
        <v>0</v>
      </c>
    </row>
    <row r="29" spans="1:25" x14ac:dyDescent="0.2">
      <c r="A29">
        <v>50</v>
      </c>
      <c r="B29">
        <v>0</v>
      </c>
      <c r="C29">
        <v>0</v>
      </c>
      <c r="D29">
        <v>1</v>
      </c>
      <c r="E29">
        <v>229</v>
      </c>
      <c r="F29">
        <v>0</v>
      </c>
      <c r="G29" t="s">
        <v>232</v>
      </c>
      <c r="H29" t="s">
        <v>233</v>
      </c>
      <c r="K29">
        <v>229</v>
      </c>
      <c r="L29">
        <v>10</v>
      </c>
      <c r="M29">
        <v>3</v>
      </c>
      <c r="O29">
        <v>2</v>
      </c>
      <c r="P29">
        <v>0</v>
      </c>
    </row>
    <row r="30" spans="1:25" x14ac:dyDescent="0.2">
      <c r="A30">
        <v>50</v>
      </c>
      <c r="B30">
        <v>0</v>
      </c>
      <c r="C30">
        <v>0</v>
      </c>
      <c r="D30">
        <v>1</v>
      </c>
      <c r="E30">
        <v>203</v>
      </c>
      <c r="F30">
        <v>717.3</v>
      </c>
      <c r="G30" t="s">
        <v>234</v>
      </c>
      <c r="H30" t="s">
        <v>235</v>
      </c>
      <c r="K30">
        <v>203</v>
      </c>
      <c r="L30">
        <v>11</v>
      </c>
      <c r="M30">
        <v>3</v>
      </c>
      <c r="O30">
        <v>2</v>
      </c>
      <c r="P30">
        <v>8284.58</v>
      </c>
    </row>
    <row r="31" spans="1:25" x14ac:dyDescent="0.2">
      <c r="A31">
        <v>50</v>
      </c>
      <c r="B31">
        <v>0</v>
      </c>
      <c r="C31">
        <v>0</v>
      </c>
      <c r="D31">
        <v>1</v>
      </c>
      <c r="E31">
        <v>231</v>
      </c>
      <c r="F31">
        <v>0</v>
      </c>
      <c r="G31" t="s">
        <v>236</v>
      </c>
      <c r="H31" t="s">
        <v>237</v>
      </c>
      <c r="K31">
        <v>231</v>
      </c>
      <c r="L31">
        <v>12</v>
      </c>
      <c r="M31">
        <v>3</v>
      </c>
      <c r="O31">
        <v>2</v>
      </c>
      <c r="P31">
        <v>0</v>
      </c>
    </row>
    <row r="32" spans="1:25" x14ac:dyDescent="0.2">
      <c r="A32">
        <v>50</v>
      </c>
      <c r="B32">
        <v>0</v>
      </c>
      <c r="C32">
        <v>0</v>
      </c>
      <c r="D32">
        <v>1</v>
      </c>
      <c r="E32">
        <v>204</v>
      </c>
      <c r="F32">
        <v>148.5</v>
      </c>
      <c r="G32" t="s">
        <v>238</v>
      </c>
      <c r="H32" t="s">
        <v>239</v>
      </c>
      <c r="K32">
        <v>204</v>
      </c>
      <c r="L32">
        <v>13</v>
      </c>
      <c r="M32">
        <v>3</v>
      </c>
      <c r="O32">
        <v>2</v>
      </c>
      <c r="P32">
        <v>4968.8999999999996</v>
      </c>
    </row>
    <row r="33" spans="1:16" x14ac:dyDescent="0.2">
      <c r="A33">
        <v>50</v>
      </c>
      <c r="B33">
        <v>0</v>
      </c>
      <c r="C33">
        <v>0</v>
      </c>
      <c r="D33">
        <v>1</v>
      </c>
      <c r="E33">
        <v>205</v>
      </c>
      <c r="F33">
        <v>2155.5100000000002</v>
      </c>
      <c r="G33" t="s">
        <v>240</v>
      </c>
      <c r="H33" t="s">
        <v>241</v>
      </c>
      <c r="K33">
        <v>205</v>
      </c>
      <c r="L33">
        <v>14</v>
      </c>
      <c r="M33">
        <v>3</v>
      </c>
      <c r="O33">
        <v>2</v>
      </c>
      <c r="P33">
        <v>71874.09</v>
      </c>
    </row>
    <row r="34" spans="1:16" x14ac:dyDescent="0.2">
      <c r="A34">
        <v>50</v>
      </c>
      <c r="B34">
        <v>0</v>
      </c>
      <c r="C34">
        <v>0</v>
      </c>
      <c r="D34">
        <v>1</v>
      </c>
      <c r="E34">
        <v>232</v>
      </c>
      <c r="F34">
        <v>0</v>
      </c>
      <c r="G34" t="s">
        <v>242</v>
      </c>
      <c r="H34" t="s">
        <v>243</v>
      </c>
      <c r="K34">
        <v>232</v>
      </c>
      <c r="L34">
        <v>15</v>
      </c>
      <c r="M34">
        <v>3</v>
      </c>
      <c r="O34">
        <v>2</v>
      </c>
      <c r="P34">
        <v>0</v>
      </c>
    </row>
    <row r="35" spans="1:16" x14ac:dyDescent="0.2">
      <c r="A35">
        <v>50</v>
      </c>
      <c r="B35">
        <v>0</v>
      </c>
      <c r="C35">
        <v>0</v>
      </c>
      <c r="D35">
        <v>1</v>
      </c>
      <c r="E35">
        <v>214</v>
      </c>
      <c r="F35">
        <v>30107.98</v>
      </c>
      <c r="G35" t="s">
        <v>244</v>
      </c>
      <c r="H35" t="s">
        <v>245</v>
      </c>
      <c r="K35">
        <v>214</v>
      </c>
      <c r="L35">
        <v>16</v>
      </c>
      <c r="M35">
        <v>3</v>
      </c>
      <c r="O35">
        <v>2</v>
      </c>
      <c r="P35">
        <v>270999.31</v>
      </c>
    </row>
    <row r="36" spans="1:16" x14ac:dyDescent="0.2">
      <c r="A36">
        <v>50</v>
      </c>
      <c r="B36">
        <v>0</v>
      </c>
      <c r="C36">
        <v>0</v>
      </c>
      <c r="D36">
        <v>1</v>
      </c>
      <c r="E36">
        <v>215</v>
      </c>
      <c r="F36">
        <v>0</v>
      </c>
      <c r="G36" t="s">
        <v>246</v>
      </c>
      <c r="H36" t="s">
        <v>247</v>
      </c>
      <c r="K36">
        <v>215</v>
      </c>
      <c r="L36">
        <v>17</v>
      </c>
      <c r="M36">
        <v>3</v>
      </c>
      <c r="O36">
        <v>2</v>
      </c>
      <c r="P36">
        <v>0</v>
      </c>
    </row>
    <row r="37" spans="1:16" x14ac:dyDescent="0.2">
      <c r="A37">
        <v>50</v>
      </c>
      <c r="B37">
        <v>0</v>
      </c>
      <c r="C37">
        <v>0</v>
      </c>
      <c r="D37">
        <v>1</v>
      </c>
      <c r="E37">
        <v>217</v>
      </c>
      <c r="F37">
        <v>0</v>
      </c>
      <c r="G37" t="s">
        <v>248</v>
      </c>
      <c r="H37" t="s">
        <v>249</v>
      </c>
      <c r="K37">
        <v>217</v>
      </c>
      <c r="L37">
        <v>18</v>
      </c>
      <c r="M37">
        <v>3</v>
      </c>
      <c r="O37">
        <v>2</v>
      </c>
      <c r="P37">
        <v>0</v>
      </c>
    </row>
    <row r="38" spans="1:16" x14ac:dyDescent="0.2">
      <c r="A38">
        <v>50</v>
      </c>
      <c r="B38">
        <v>0</v>
      </c>
      <c r="C38">
        <v>0</v>
      </c>
      <c r="D38">
        <v>1</v>
      </c>
      <c r="E38">
        <v>230</v>
      </c>
      <c r="F38">
        <v>0</v>
      </c>
      <c r="G38" t="s">
        <v>250</v>
      </c>
      <c r="H38" t="s">
        <v>251</v>
      </c>
      <c r="K38">
        <v>230</v>
      </c>
      <c r="L38">
        <v>19</v>
      </c>
      <c r="M38">
        <v>3</v>
      </c>
      <c r="O38">
        <v>2</v>
      </c>
      <c r="P38">
        <v>0</v>
      </c>
    </row>
    <row r="39" spans="1:16" x14ac:dyDescent="0.2">
      <c r="A39">
        <v>50</v>
      </c>
      <c r="B39">
        <v>0</v>
      </c>
      <c r="C39">
        <v>0</v>
      </c>
      <c r="D39">
        <v>1</v>
      </c>
      <c r="E39">
        <v>206</v>
      </c>
      <c r="F39">
        <v>0</v>
      </c>
      <c r="G39" t="s">
        <v>252</v>
      </c>
      <c r="H39" t="s">
        <v>253</v>
      </c>
      <c r="K39">
        <v>206</v>
      </c>
      <c r="L39">
        <v>20</v>
      </c>
      <c r="M39">
        <v>3</v>
      </c>
      <c r="O39">
        <v>2</v>
      </c>
      <c r="P39">
        <v>0</v>
      </c>
    </row>
    <row r="40" spans="1:16" x14ac:dyDescent="0.2">
      <c r="A40">
        <v>50</v>
      </c>
      <c r="B40">
        <v>0</v>
      </c>
      <c r="C40">
        <v>0</v>
      </c>
      <c r="D40">
        <v>1</v>
      </c>
      <c r="E40">
        <v>207</v>
      </c>
      <c r="F40">
        <v>250.0861147</v>
      </c>
      <c r="G40" t="s">
        <v>254</v>
      </c>
      <c r="H40" t="s">
        <v>255</v>
      </c>
      <c r="K40">
        <v>207</v>
      </c>
      <c r="L40">
        <v>21</v>
      </c>
      <c r="M40">
        <v>3</v>
      </c>
      <c r="O40">
        <v>-1</v>
      </c>
      <c r="P40">
        <v>250.0861147</v>
      </c>
    </row>
    <row r="41" spans="1:16" x14ac:dyDescent="0.2">
      <c r="A41">
        <v>50</v>
      </c>
      <c r="B41">
        <v>0</v>
      </c>
      <c r="C41">
        <v>0</v>
      </c>
      <c r="D41">
        <v>1</v>
      </c>
      <c r="E41">
        <v>208</v>
      </c>
      <c r="F41">
        <v>13.531219999999999</v>
      </c>
      <c r="G41" t="s">
        <v>256</v>
      </c>
      <c r="H41" t="s">
        <v>257</v>
      </c>
      <c r="K41">
        <v>208</v>
      </c>
      <c r="L41">
        <v>22</v>
      </c>
      <c r="M41">
        <v>3</v>
      </c>
      <c r="O41">
        <v>-1</v>
      </c>
      <c r="P41">
        <v>13.531219999999999</v>
      </c>
    </row>
    <row r="42" spans="1:16" x14ac:dyDescent="0.2">
      <c r="A42">
        <v>50</v>
      </c>
      <c r="B42">
        <v>0</v>
      </c>
      <c r="C42">
        <v>0</v>
      </c>
      <c r="D42">
        <v>1</v>
      </c>
      <c r="E42">
        <v>209</v>
      </c>
      <c r="F42">
        <v>71.45</v>
      </c>
      <c r="G42" t="s">
        <v>258</v>
      </c>
      <c r="H42" t="s">
        <v>259</v>
      </c>
      <c r="K42">
        <v>209</v>
      </c>
      <c r="L42">
        <v>23</v>
      </c>
      <c r="M42">
        <v>3</v>
      </c>
      <c r="O42">
        <v>2</v>
      </c>
      <c r="P42">
        <v>71.45</v>
      </c>
    </row>
    <row r="43" spans="1:16" x14ac:dyDescent="0.2">
      <c r="A43">
        <v>50</v>
      </c>
      <c r="B43">
        <v>0</v>
      </c>
      <c r="C43">
        <v>0</v>
      </c>
      <c r="D43">
        <v>1</v>
      </c>
      <c r="E43">
        <v>233</v>
      </c>
      <c r="F43">
        <v>73.3</v>
      </c>
      <c r="G43" t="s">
        <v>260</v>
      </c>
      <c r="H43" t="s">
        <v>261</v>
      </c>
      <c r="K43">
        <v>233</v>
      </c>
      <c r="L43">
        <v>24</v>
      </c>
      <c r="M43">
        <v>3</v>
      </c>
      <c r="O43">
        <v>2</v>
      </c>
      <c r="P43">
        <v>969.05</v>
      </c>
    </row>
    <row r="44" spans="1:16" x14ac:dyDescent="0.2">
      <c r="A44">
        <v>50</v>
      </c>
      <c r="B44">
        <v>0</v>
      </c>
      <c r="C44">
        <v>0</v>
      </c>
      <c r="D44">
        <v>1</v>
      </c>
      <c r="E44">
        <v>210</v>
      </c>
      <c r="F44">
        <v>2347.58</v>
      </c>
      <c r="G44" t="s">
        <v>262</v>
      </c>
      <c r="H44" t="s">
        <v>263</v>
      </c>
      <c r="K44">
        <v>210</v>
      </c>
      <c r="L44">
        <v>25</v>
      </c>
      <c r="M44">
        <v>3</v>
      </c>
      <c r="O44">
        <v>2</v>
      </c>
      <c r="P44">
        <v>78549.87</v>
      </c>
    </row>
    <row r="45" spans="1:16" x14ac:dyDescent="0.2">
      <c r="A45">
        <v>50</v>
      </c>
      <c r="B45">
        <v>0</v>
      </c>
      <c r="C45">
        <v>0</v>
      </c>
      <c r="D45">
        <v>1</v>
      </c>
      <c r="E45">
        <v>211</v>
      </c>
      <c r="F45">
        <v>1606.01</v>
      </c>
      <c r="G45" t="s">
        <v>264</v>
      </c>
      <c r="H45" t="s">
        <v>265</v>
      </c>
      <c r="K45">
        <v>211</v>
      </c>
      <c r="L45">
        <v>26</v>
      </c>
      <c r="M45">
        <v>3</v>
      </c>
      <c r="O45">
        <v>2</v>
      </c>
      <c r="P45">
        <v>53736.72</v>
      </c>
    </row>
    <row r="46" spans="1:16" x14ac:dyDescent="0.2">
      <c r="A46">
        <v>50</v>
      </c>
      <c r="B46">
        <v>0</v>
      </c>
      <c r="C46">
        <v>0</v>
      </c>
      <c r="D46">
        <v>1</v>
      </c>
      <c r="E46">
        <v>224</v>
      </c>
      <c r="F46">
        <v>30107.98</v>
      </c>
      <c r="G46" t="s">
        <v>266</v>
      </c>
      <c r="H46" t="s">
        <v>267</v>
      </c>
      <c r="K46">
        <v>224</v>
      </c>
      <c r="L46">
        <v>27</v>
      </c>
      <c r="M46">
        <v>3</v>
      </c>
      <c r="O46">
        <v>2</v>
      </c>
      <c r="P46">
        <v>270999.31</v>
      </c>
    </row>
    <row r="47" spans="1:16" x14ac:dyDescent="0.2">
      <c r="A47">
        <v>50</v>
      </c>
      <c r="B47">
        <v>1</v>
      </c>
      <c r="C47">
        <v>0</v>
      </c>
      <c r="D47">
        <v>2</v>
      </c>
      <c r="E47">
        <v>833073649</v>
      </c>
      <c r="F47">
        <v>6021.6</v>
      </c>
      <c r="G47" t="s">
        <v>268</v>
      </c>
      <c r="H47" t="s">
        <v>269</v>
      </c>
      <c r="K47">
        <v>212</v>
      </c>
      <c r="L47">
        <v>28</v>
      </c>
      <c r="M47">
        <v>0</v>
      </c>
      <c r="O47">
        <v>2</v>
      </c>
      <c r="P47">
        <v>54199.86</v>
      </c>
    </row>
    <row r="48" spans="1:16" x14ac:dyDescent="0.2">
      <c r="A48">
        <v>50</v>
      </c>
      <c r="B48">
        <v>1</v>
      </c>
      <c r="C48">
        <v>0</v>
      </c>
      <c r="D48">
        <v>2</v>
      </c>
      <c r="E48">
        <v>789314557</v>
      </c>
      <c r="F48">
        <v>36129.58</v>
      </c>
      <c r="G48" t="s">
        <v>270</v>
      </c>
      <c r="H48" t="s">
        <v>271</v>
      </c>
      <c r="K48">
        <v>212</v>
      </c>
      <c r="L48">
        <v>29</v>
      </c>
      <c r="M48">
        <v>0</v>
      </c>
      <c r="O48">
        <v>2</v>
      </c>
      <c r="P48">
        <v>325199.17</v>
      </c>
    </row>
    <row r="50" spans="1:40" x14ac:dyDescent="0.2">
      <c r="A50">
        <v>-1</v>
      </c>
    </row>
    <row r="53" spans="1:40" x14ac:dyDescent="0.2">
      <c r="A53">
        <v>75</v>
      </c>
      <c r="B53" t="s">
        <v>358</v>
      </c>
      <c r="C53">
        <v>2000</v>
      </c>
      <c r="D53">
        <v>0</v>
      </c>
      <c r="E53">
        <v>1</v>
      </c>
      <c r="G53">
        <v>0</v>
      </c>
      <c r="H53">
        <v>1</v>
      </c>
      <c r="I53">
        <v>0</v>
      </c>
      <c r="J53">
        <v>3</v>
      </c>
      <c r="K53">
        <v>0</v>
      </c>
      <c r="L53">
        <v>0</v>
      </c>
      <c r="M53">
        <v>0</v>
      </c>
      <c r="N53">
        <v>939971439</v>
      </c>
      <c r="O53">
        <v>1</v>
      </c>
    </row>
    <row r="54" spans="1:40" x14ac:dyDescent="0.2">
      <c r="A54">
        <v>75</v>
      </c>
      <c r="B54" t="s">
        <v>359</v>
      </c>
      <c r="C54">
        <v>2021</v>
      </c>
      <c r="D54">
        <v>0</v>
      </c>
      <c r="E54">
        <v>5</v>
      </c>
      <c r="G54">
        <v>0</v>
      </c>
      <c r="H54">
        <v>1</v>
      </c>
      <c r="I54">
        <v>0</v>
      </c>
      <c r="J54">
        <v>3</v>
      </c>
      <c r="K54">
        <v>0</v>
      </c>
      <c r="L54">
        <v>0</v>
      </c>
      <c r="M54">
        <v>1</v>
      </c>
      <c r="N54">
        <v>939971440</v>
      </c>
      <c r="O54">
        <v>2</v>
      </c>
    </row>
    <row r="55" spans="1:40" x14ac:dyDescent="0.2">
      <c r="A55">
        <v>1</v>
      </c>
      <c r="B55" t="s">
        <v>360</v>
      </c>
      <c r="C55" t="s">
        <v>361</v>
      </c>
      <c r="D55">
        <v>2021</v>
      </c>
      <c r="E55">
        <v>5</v>
      </c>
      <c r="F55">
        <v>1</v>
      </c>
      <c r="G55">
        <v>1</v>
      </c>
      <c r="H55">
        <v>0</v>
      </c>
      <c r="I55">
        <v>2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AN55">
        <v>939971441</v>
      </c>
    </row>
  </sheetData>
  <printOptions gridLines="1"/>
  <pageMargins left="0.75" right="0.75" top="1" bottom="1" header="0.5" footer="0.5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C148"/>
  <sheetViews>
    <sheetView zoomScaleNormal="100" workbookViewId="0"/>
  </sheetViews>
  <sheetFormatPr defaultRowHeight="12.75" x14ac:dyDescent="0.2"/>
  <cols>
    <col min="1" max="1025" width="9.140625" customWidth="1"/>
  </cols>
  <sheetData>
    <row r="1" spans="1:107" x14ac:dyDescent="0.2">
      <c r="A1">
        <f>ROW(Source!A24)</f>
        <v>24</v>
      </c>
      <c r="B1">
        <v>939971439</v>
      </c>
      <c r="C1">
        <v>939971563</v>
      </c>
      <c r="D1">
        <v>37778912</v>
      </c>
      <c r="E1">
        <v>1</v>
      </c>
      <c r="F1">
        <v>1</v>
      </c>
      <c r="G1">
        <v>1</v>
      </c>
      <c r="H1">
        <v>1</v>
      </c>
      <c r="I1" t="s">
        <v>363</v>
      </c>
      <c r="K1" t="s">
        <v>364</v>
      </c>
      <c r="L1">
        <v>1369</v>
      </c>
      <c r="N1">
        <v>1013</v>
      </c>
      <c r="O1" t="s">
        <v>365</v>
      </c>
      <c r="P1" t="s">
        <v>365</v>
      </c>
      <c r="Q1">
        <v>1</v>
      </c>
      <c r="W1">
        <v>0</v>
      </c>
      <c r="X1">
        <v>355262106</v>
      </c>
      <c r="Y1">
        <v>302.536</v>
      </c>
      <c r="AA1">
        <v>0</v>
      </c>
      <c r="AB1">
        <v>0</v>
      </c>
      <c r="AC1">
        <v>0</v>
      </c>
      <c r="AD1">
        <v>9.18</v>
      </c>
      <c r="AE1">
        <v>0</v>
      </c>
      <c r="AF1">
        <v>0</v>
      </c>
      <c r="AG1">
        <v>0</v>
      </c>
      <c r="AH1">
        <v>9.18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T1">
        <v>378.17</v>
      </c>
      <c r="AU1" t="s">
        <v>110</v>
      </c>
      <c r="AV1">
        <v>1</v>
      </c>
      <c r="AW1">
        <v>2</v>
      </c>
      <c r="AX1">
        <v>939972153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19.664840000000002</v>
      </c>
      <c r="CY1">
        <f>AD1</f>
        <v>9.18</v>
      </c>
      <c r="CZ1">
        <f>AH1</f>
        <v>9.18</v>
      </c>
      <c r="DA1">
        <f>AL1</f>
        <v>1</v>
      </c>
      <c r="DB1">
        <f t="shared" ref="DB1:DB7" si="0">ROUND((ROUND(AT1*CZ1,2)*0.8),6)</f>
        <v>2777.28</v>
      </c>
      <c r="DC1">
        <f t="shared" ref="DC1:DC7" si="1">ROUND((ROUND(AT1*AG1,2)*0.8),6)</f>
        <v>0</v>
      </c>
    </row>
    <row r="2" spans="1:107" x14ac:dyDescent="0.2">
      <c r="A2">
        <f>ROW(Source!A24)</f>
        <v>24</v>
      </c>
      <c r="B2">
        <v>939971439</v>
      </c>
      <c r="C2">
        <v>939971563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9</v>
      </c>
      <c r="K2" t="s">
        <v>366</v>
      </c>
      <c r="L2">
        <v>608254</v>
      </c>
      <c r="N2">
        <v>1013</v>
      </c>
      <c r="O2" t="s">
        <v>367</v>
      </c>
      <c r="P2" t="s">
        <v>367</v>
      </c>
      <c r="Q2">
        <v>1</v>
      </c>
      <c r="W2">
        <v>0</v>
      </c>
      <c r="X2">
        <v>-185737400</v>
      </c>
      <c r="Y2">
        <v>1.728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T2">
        <v>2.16</v>
      </c>
      <c r="AU2" t="s">
        <v>110</v>
      </c>
      <c r="AV2">
        <v>2</v>
      </c>
      <c r="AW2">
        <v>2</v>
      </c>
      <c r="AX2">
        <v>939972154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0.11232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ROW(Source!A24)</f>
        <v>24</v>
      </c>
      <c r="B3">
        <v>939971439</v>
      </c>
      <c r="C3">
        <v>939971563</v>
      </c>
      <c r="D3">
        <v>338036696</v>
      </c>
      <c r="E3">
        <v>1</v>
      </c>
      <c r="F3">
        <v>1</v>
      </c>
      <c r="G3">
        <v>1</v>
      </c>
      <c r="H3">
        <v>2</v>
      </c>
      <c r="I3" t="s">
        <v>368</v>
      </c>
      <c r="J3" t="s">
        <v>369</v>
      </c>
      <c r="K3" t="s">
        <v>370</v>
      </c>
      <c r="L3">
        <v>1368</v>
      </c>
      <c r="N3">
        <v>91022270</v>
      </c>
      <c r="O3" t="s">
        <v>371</v>
      </c>
      <c r="P3" t="s">
        <v>371</v>
      </c>
      <c r="Q3">
        <v>1</v>
      </c>
      <c r="W3">
        <v>0</v>
      </c>
      <c r="X3">
        <v>-6942991</v>
      </c>
      <c r="Y3">
        <v>0.27200000000000002</v>
      </c>
      <c r="AA3">
        <v>0</v>
      </c>
      <c r="AB3">
        <v>83.43</v>
      </c>
      <c r="AC3">
        <v>13.5</v>
      </c>
      <c r="AD3">
        <v>0</v>
      </c>
      <c r="AE3">
        <v>0</v>
      </c>
      <c r="AF3">
        <v>83.43</v>
      </c>
      <c r="AG3">
        <v>13.5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T3">
        <v>0.34</v>
      </c>
      <c r="AU3" t="s">
        <v>110</v>
      </c>
      <c r="AV3">
        <v>0</v>
      </c>
      <c r="AW3">
        <v>2</v>
      </c>
      <c r="AX3">
        <v>939972155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1.7680000000000001E-2</v>
      </c>
      <c r="CY3">
        <f>AB3</f>
        <v>83.43</v>
      </c>
      <c r="CZ3">
        <f>AF3</f>
        <v>83.43</v>
      </c>
      <c r="DA3">
        <f>AJ3</f>
        <v>1</v>
      </c>
      <c r="DB3">
        <f t="shared" si="0"/>
        <v>22.696000000000002</v>
      </c>
      <c r="DC3">
        <f t="shared" si="1"/>
        <v>3.6720000000000002</v>
      </c>
    </row>
    <row r="4" spans="1:107" x14ac:dyDescent="0.2">
      <c r="A4">
        <f>ROW(Source!A24)</f>
        <v>24</v>
      </c>
      <c r="B4">
        <v>939971439</v>
      </c>
      <c r="C4">
        <v>939971563</v>
      </c>
      <c r="D4">
        <v>338036807</v>
      </c>
      <c r="E4">
        <v>1</v>
      </c>
      <c r="F4">
        <v>1</v>
      </c>
      <c r="G4">
        <v>1</v>
      </c>
      <c r="H4">
        <v>2</v>
      </c>
      <c r="I4" t="s">
        <v>372</v>
      </c>
      <c r="J4" t="s">
        <v>373</v>
      </c>
      <c r="K4" t="s">
        <v>374</v>
      </c>
      <c r="L4">
        <v>1368</v>
      </c>
      <c r="N4">
        <v>91022270</v>
      </c>
      <c r="O4" t="s">
        <v>371</v>
      </c>
      <c r="P4" t="s">
        <v>371</v>
      </c>
      <c r="Q4">
        <v>1</v>
      </c>
      <c r="W4">
        <v>0</v>
      </c>
      <c r="X4">
        <v>-1474388027</v>
      </c>
      <c r="Y4">
        <v>0.104</v>
      </c>
      <c r="AA4">
        <v>0</v>
      </c>
      <c r="AB4">
        <v>88.01</v>
      </c>
      <c r="AC4">
        <v>11.6</v>
      </c>
      <c r="AD4">
        <v>0</v>
      </c>
      <c r="AE4">
        <v>0</v>
      </c>
      <c r="AF4">
        <v>88.01</v>
      </c>
      <c r="AG4">
        <v>11.6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T4">
        <v>0.13</v>
      </c>
      <c r="AU4" t="s">
        <v>110</v>
      </c>
      <c r="AV4">
        <v>0</v>
      </c>
      <c r="AW4">
        <v>2</v>
      </c>
      <c r="AX4">
        <v>939972156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6.7599999999999995E-3</v>
      </c>
      <c r="CY4">
        <f>AB4</f>
        <v>88.01</v>
      </c>
      <c r="CZ4">
        <f>AF4</f>
        <v>88.01</v>
      </c>
      <c r="DA4">
        <f>AJ4</f>
        <v>1</v>
      </c>
      <c r="DB4">
        <f t="shared" si="0"/>
        <v>9.1519999999999992</v>
      </c>
      <c r="DC4">
        <f t="shared" si="1"/>
        <v>1.208</v>
      </c>
    </row>
    <row r="5" spans="1:107" x14ac:dyDescent="0.2">
      <c r="A5">
        <f>ROW(Source!A24)</f>
        <v>24</v>
      </c>
      <c r="B5">
        <v>939971439</v>
      </c>
      <c r="C5">
        <v>939971563</v>
      </c>
      <c r="D5">
        <v>338037570</v>
      </c>
      <c r="E5">
        <v>1</v>
      </c>
      <c r="F5">
        <v>1</v>
      </c>
      <c r="G5">
        <v>1</v>
      </c>
      <c r="H5">
        <v>2</v>
      </c>
      <c r="I5" t="s">
        <v>375</v>
      </c>
      <c r="J5" t="s">
        <v>376</v>
      </c>
      <c r="K5" t="s">
        <v>377</v>
      </c>
      <c r="L5">
        <v>1368</v>
      </c>
      <c r="N5">
        <v>91022270</v>
      </c>
      <c r="O5" t="s">
        <v>371</v>
      </c>
      <c r="P5" t="s">
        <v>371</v>
      </c>
      <c r="Q5">
        <v>1</v>
      </c>
      <c r="W5">
        <v>0</v>
      </c>
      <c r="X5">
        <v>-1709160983</v>
      </c>
      <c r="Y5">
        <v>1.3520000000000001</v>
      </c>
      <c r="AA5">
        <v>0</v>
      </c>
      <c r="AB5">
        <v>12.4</v>
      </c>
      <c r="AC5">
        <v>10.06</v>
      </c>
      <c r="AD5">
        <v>0</v>
      </c>
      <c r="AE5">
        <v>0</v>
      </c>
      <c r="AF5">
        <v>12.4</v>
      </c>
      <c r="AG5">
        <v>10.06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T5">
        <v>1.69</v>
      </c>
      <c r="AU5" t="s">
        <v>110</v>
      </c>
      <c r="AV5">
        <v>0</v>
      </c>
      <c r="AW5">
        <v>2</v>
      </c>
      <c r="AX5">
        <v>939972157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8.7880000000000014E-2</v>
      </c>
      <c r="CY5">
        <f>AB5</f>
        <v>12.4</v>
      </c>
      <c r="CZ5">
        <f>AF5</f>
        <v>12.4</v>
      </c>
      <c r="DA5">
        <f>AJ5</f>
        <v>1</v>
      </c>
      <c r="DB5">
        <f t="shared" si="0"/>
        <v>16.768000000000001</v>
      </c>
      <c r="DC5">
        <f t="shared" si="1"/>
        <v>13.6</v>
      </c>
    </row>
    <row r="6" spans="1:107" x14ac:dyDescent="0.2">
      <c r="A6">
        <f>ROW(Source!A24)</f>
        <v>24</v>
      </c>
      <c r="B6">
        <v>939971439</v>
      </c>
      <c r="C6">
        <v>939971563</v>
      </c>
      <c r="D6">
        <v>338039067</v>
      </c>
      <c r="E6">
        <v>1</v>
      </c>
      <c r="F6">
        <v>1</v>
      </c>
      <c r="G6">
        <v>1</v>
      </c>
      <c r="H6">
        <v>2</v>
      </c>
      <c r="I6" t="s">
        <v>378</v>
      </c>
      <c r="J6" t="s">
        <v>379</v>
      </c>
      <c r="K6" t="s">
        <v>380</v>
      </c>
      <c r="L6">
        <v>1368</v>
      </c>
      <c r="N6">
        <v>91022270</v>
      </c>
      <c r="O6" t="s">
        <v>371</v>
      </c>
      <c r="P6" t="s">
        <v>371</v>
      </c>
      <c r="Q6">
        <v>1</v>
      </c>
      <c r="W6">
        <v>0</v>
      </c>
      <c r="X6">
        <v>-1769198364</v>
      </c>
      <c r="Y6">
        <v>7.1999999999999995E-2</v>
      </c>
      <c r="AA6">
        <v>0</v>
      </c>
      <c r="AB6">
        <v>9.9700000000000006</v>
      </c>
      <c r="AC6">
        <v>0</v>
      </c>
      <c r="AD6">
        <v>0</v>
      </c>
      <c r="AE6">
        <v>0</v>
      </c>
      <c r="AF6">
        <v>9.9700000000000006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T6">
        <v>0.09</v>
      </c>
      <c r="AU6" t="s">
        <v>110</v>
      </c>
      <c r="AV6">
        <v>0</v>
      </c>
      <c r="AW6">
        <v>2</v>
      </c>
      <c r="AX6">
        <v>939972158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4.6800000000000001E-3</v>
      </c>
      <c r="CY6">
        <f>AB6</f>
        <v>9.9700000000000006</v>
      </c>
      <c r="CZ6">
        <f>AF6</f>
        <v>9.9700000000000006</v>
      </c>
      <c r="DA6">
        <f>AJ6</f>
        <v>1</v>
      </c>
      <c r="DB6">
        <f t="shared" si="0"/>
        <v>0.72</v>
      </c>
      <c r="DC6">
        <f t="shared" si="1"/>
        <v>0</v>
      </c>
    </row>
    <row r="7" spans="1:107" x14ac:dyDescent="0.2">
      <c r="A7">
        <f>ROW(Source!A24)</f>
        <v>24</v>
      </c>
      <c r="B7">
        <v>939971439</v>
      </c>
      <c r="C7">
        <v>939971563</v>
      </c>
      <c r="D7">
        <v>338039342</v>
      </c>
      <c r="E7">
        <v>1</v>
      </c>
      <c r="F7">
        <v>1</v>
      </c>
      <c r="G7">
        <v>1</v>
      </c>
      <c r="H7">
        <v>2</v>
      </c>
      <c r="I7" t="s">
        <v>381</v>
      </c>
      <c r="J7" t="s">
        <v>382</v>
      </c>
      <c r="K7" t="s">
        <v>383</v>
      </c>
      <c r="L7">
        <v>1368</v>
      </c>
      <c r="N7">
        <v>91022270</v>
      </c>
      <c r="O7" t="s">
        <v>371</v>
      </c>
      <c r="P7" t="s">
        <v>371</v>
      </c>
      <c r="Q7">
        <v>1</v>
      </c>
      <c r="W7">
        <v>0</v>
      </c>
      <c r="X7">
        <v>1230759911</v>
      </c>
      <c r="Y7">
        <v>0.104</v>
      </c>
      <c r="AA7">
        <v>0</v>
      </c>
      <c r="AB7">
        <v>87.17</v>
      </c>
      <c r="AC7">
        <v>11.6</v>
      </c>
      <c r="AD7">
        <v>0</v>
      </c>
      <c r="AE7">
        <v>0</v>
      </c>
      <c r="AF7">
        <v>87.17</v>
      </c>
      <c r="AG7">
        <v>11.6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T7">
        <v>0.13</v>
      </c>
      <c r="AU7" t="s">
        <v>110</v>
      </c>
      <c r="AV7">
        <v>0</v>
      </c>
      <c r="AW7">
        <v>2</v>
      </c>
      <c r="AX7">
        <v>939972159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6.7599999999999995E-3</v>
      </c>
      <c r="CY7">
        <f>AB7</f>
        <v>87.17</v>
      </c>
      <c r="CZ7">
        <f>AF7</f>
        <v>87.17</v>
      </c>
      <c r="DA7">
        <f>AJ7</f>
        <v>1</v>
      </c>
      <c r="DB7">
        <f t="shared" si="0"/>
        <v>9.0640000000000001</v>
      </c>
      <c r="DC7">
        <f t="shared" si="1"/>
        <v>1.208</v>
      </c>
    </row>
    <row r="8" spans="1:107" x14ac:dyDescent="0.2">
      <c r="A8">
        <f>ROW(Source!A24)</f>
        <v>24</v>
      </c>
      <c r="B8">
        <v>939971439</v>
      </c>
      <c r="C8">
        <v>939971563</v>
      </c>
      <c r="D8">
        <v>337972278</v>
      </c>
      <c r="E8">
        <v>1</v>
      </c>
      <c r="F8">
        <v>1</v>
      </c>
      <c r="G8">
        <v>1</v>
      </c>
      <c r="H8">
        <v>3</v>
      </c>
      <c r="I8" t="s">
        <v>384</v>
      </c>
      <c r="J8" t="s">
        <v>385</v>
      </c>
      <c r="K8" t="s">
        <v>386</v>
      </c>
      <c r="L8">
        <v>1348</v>
      </c>
      <c r="N8">
        <v>39568864</v>
      </c>
      <c r="O8" t="s">
        <v>26</v>
      </c>
      <c r="P8" t="s">
        <v>26</v>
      </c>
      <c r="Q8">
        <v>1000</v>
      </c>
      <c r="W8">
        <v>0</v>
      </c>
      <c r="X8">
        <v>-955444283</v>
      </c>
      <c r="Y8">
        <v>0</v>
      </c>
      <c r="AA8">
        <v>6532.53</v>
      </c>
      <c r="AB8">
        <v>0</v>
      </c>
      <c r="AC8">
        <v>0</v>
      </c>
      <c r="AD8">
        <v>0</v>
      </c>
      <c r="AE8">
        <v>6532.53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T8">
        <v>2.1000000000000001E-2</v>
      </c>
      <c r="AU8" t="s">
        <v>109</v>
      </c>
      <c r="AV8">
        <v>0</v>
      </c>
      <c r="AW8">
        <v>2</v>
      </c>
      <c r="AX8">
        <v>939972160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0</v>
      </c>
      <c r="CY8">
        <f>AA8</f>
        <v>6532.53</v>
      </c>
      <c r="CZ8">
        <f>AE8</f>
        <v>6532.53</v>
      </c>
      <c r="DA8">
        <f>AI8</f>
        <v>1</v>
      </c>
      <c r="DB8">
        <f>ROUND((ROUND(AT8*CZ8,2)*0),6)</f>
        <v>0</v>
      </c>
      <c r="DC8">
        <f>ROUND((ROUND(AT8*AG8,2)*0),6)</f>
        <v>0</v>
      </c>
    </row>
    <row r="9" spans="1:107" x14ac:dyDescent="0.2">
      <c r="A9">
        <f>ROW(Source!A24)</f>
        <v>24</v>
      </c>
      <c r="B9">
        <v>939971439</v>
      </c>
      <c r="C9">
        <v>939971563</v>
      </c>
      <c r="D9">
        <v>337973852</v>
      </c>
      <c r="E9">
        <v>1</v>
      </c>
      <c r="F9">
        <v>1</v>
      </c>
      <c r="G9">
        <v>1</v>
      </c>
      <c r="H9">
        <v>3</v>
      </c>
      <c r="I9" t="s">
        <v>387</v>
      </c>
      <c r="J9" t="s">
        <v>388</v>
      </c>
      <c r="K9" t="s">
        <v>389</v>
      </c>
      <c r="L9">
        <v>1346</v>
      </c>
      <c r="N9">
        <v>39568864</v>
      </c>
      <c r="O9" t="s">
        <v>23</v>
      </c>
      <c r="P9" t="s">
        <v>23</v>
      </c>
      <c r="Q9">
        <v>1</v>
      </c>
      <c r="W9">
        <v>0</v>
      </c>
      <c r="X9">
        <v>-2053666360</v>
      </c>
      <c r="Y9">
        <v>0</v>
      </c>
      <c r="AA9">
        <v>3.86</v>
      </c>
      <c r="AB9">
        <v>0</v>
      </c>
      <c r="AC9">
        <v>0</v>
      </c>
      <c r="AD9">
        <v>0</v>
      </c>
      <c r="AE9">
        <v>3.86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T9">
        <v>1200</v>
      </c>
      <c r="AU9" t="s">
        <v>109</v>
      </c>
      <c r="AV9">
        <v>0</v>
      </c>
      <c r="AW9">
        <v>2</v>
      </c>
      <c r="AX9">
        <v>939972161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Y9*Source!I24</f>
        <v>0</v>
      </c>
      <c r="CY9">
        <f>AA9</f>
        <v>3.86</v>
      </c>
      <c r="CZ9">
        <f>AE9</f>
        <v>3.86</v>
      </c>
      <c r="DA9">
        <f>AI9</f>
        <v>1</v>
      </c>
      <c r="DB9">
        <f>ROUND((ROUND(AT9*CZ9,2)*0),6)</f>
        <v>0</v>
      </c>
      <c r="DC9">
        <f>ROUND((ROUND(AT9*AG9,2)*0),6)</f>
        <v>0</v>
      </c>
    </row>
    <row r="10" spans="1:107" x14ac:dyDescent="0.2">
      <c r="A10">
        <f>ROW(Source!A24)</f>
        <v>24</v>
      </c>
      <c r="B10">
        <v>939971439</v>
      </c>
      <c r="C10">
        <v>939971563</v>
      </c>
      <c r="D10">
        <v>337974293</v>
      </c>
      <c r="E10">
        <v>1</v>
      </c>
      <c r="F10">
        <v>1</v>
      </c>
      <c r="G10">
        <v>1</v>
      </c>
      <c r="H10">
        <v>3</v>
      </c>
      <c r="I10" t="s">
        <v>390</v>
      </c>
      <c r="J10" t="s">
        <v>391</v>
      </c>
      <c r="K10" t="s">
        <v>392</v>
      </c>
      <c r="L10">
        <v>369160830</v>
      </c>
      <c r="N10">
        <v>1005</v>
      </c>
      <c r="O10" t="s">
        <v>17</v>
      </c>
      <c r="P10" t="s">
        <v>17</v>
      </c>
      <c r="Q10">
        <v>1</v>
      </c>
      <c r="W10">
        <v>0</v>
      </c>
      <c r="X10">
        <v>-1933399346</v>
      </c>
      <c r="Y10">
        <v>0</v>
      </c>
      <c r="AA10">
        <v>126.55</v>
      </c>
      <c r="AB10">
        <v>0</v>
      </c>
      <c r="AC10">
        <v>0</v>
      </c>
      <c r="AD10">
        <v>0</v>
      </c>
      <c r="AE10">
        <v>126.55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T10">
        <v>102</v>
      </c>
      <c r="AU10" t="s">
        <v>109</v>
      </c>
      <c r="AV10">
        <v>0</v>
      </c>
      <c r="AW10">
        <v>2</v>
      </c>
      <c r="AX10">
        <v>939972162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Y10*Source!I24</f>
        <v>0</v>
      </c>
      <c r="CY10">
        <f>AA10</f>
        <v>126.55</v>
      </c>
      <c r="CZ10">
        <f>AE10</f>
        <v>126.55</v>
      </c>
      <c r="DA10">
        <f>AI10</f>
        <v>1</v>
      </c>
      <c r="DB10">
        <f>ROUND((ROUND(AT10*CZ10,2)*0),6)</f>
        <v>0</v>
      </c>
      <c r="DC10">
        <f>ROUND((ROUND(AT10*AG10,2)*0),6)</f>
        <v>0</v>
      </c>
    </row>
    <row r="11" spans="1:107" x14ac:dyDescent="0.2">
      <c r="A11">
        <f>ROW(Source!A24)</f>
        <v>24</v>
      </c>
      <c r="B11">
        <v>939971439</v>
      </c>
      <c r="C11">
        <v>939971563</v>
      </c>
      <c r="D11">
        <v>337995718</v>
      </c>
      <c r="E11">
        <v>1</v>
      </c>
      <c r="F11">
        <v>1</v>
      </c>
      <c r="G11">
        <v>1</v>
      </c>
      <c r="H11">
        <v>3</v>
      </c>
      <c r="I11" t="s">
        <v>116</v>
      </c>
      <c r="J11" t="s">
        <v>118</v>
      </c>
      <c r="K11" t="s">
        <v>117</v>
      </c>
      <c r="L11">
        <v>1339</v>
      </c>
      <c r="N11">
        <v>1007</v>
      </c>
      <c r="O11" t="s">
        <v>20</v>
      </c>
      <c r="P11" t="s">
        <v>20</v>
      </c>
      <c r="Q11">
        <v>1</v>
      </c>
      <c r="W11">
        <v>0</v>
      </c>
      <c r="X11">
        <v>828607040</v>
      </c>
      <c r="Y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0</v>
      </c>
      <c r="AP11">
        <v>1</v>
      </c>
      <c r="AQ11">
        <v>0</v>
      </c>
      <c r="AR11">
        <v>0</v>
      </c>
      <c r="AT11">
        <v>0.01</v>
      </c>
      <c r="AU11" t="s">
        <v>109</v>
      </c>
      <c r="AV11">
        <v>0</v>
      </c>
      <c r="AW11">
        <v>2</v>
      </c>
      <c r="AX11">
        <v>939972163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Y11*Source!I24</f>
        <v>0</v>
      </c>
      <c r="CY11">
        <f>AA11</f>
        <v>0</v>
      </c>
      <c r="CZ11">
        <f>AE11</f>
        <v>0</v>
      </c>
      <c r="DA11">
        <f>AI11</f>
        <v>1</v>
      </c>
      <c r="DB11">
        <f>ROUND((ROUND(AT11*CZ11,2)*0),6)</f>
        <v>0</v>
      </c>
      <c r="DC11">
        <f>ROUND((ROUND(AT11*AG11,2)*0),6)</f>
        <v>0</v>
      </c>
    </row>
    <row r="12" spans="1:107" x14ac:dyDescent="0.2">
      <c r="A12">
        <f>ROW(Source!A24)</f>
        <v>24</v>
      </c>
      <c r="B12">
        <v>939971439</v>
      </c>
      <c r="C12">
        <v>939971563</v>
      </c>
      <c r="D12">
        <v>338014469</v>
      </c>
      <c r="E12">
        <v>1</v>
      </c>
      <c r="F12">
        <v>1</v>
      </c>
      <c r="G12">
        <v>1</v>
      </c>
      <c r="H12">
        <v>3</v>
      </c>
      <c r="I12" t="s">
        <v>33</v>
      </c>
      <c r="J12" t="s">
        <v>393</v>
      </c>
      <c r="K12" t="s">
        <v>34</v>
      </c>
      <c r="L12">
        <v>1339</v>
      </c>
      <c r="N12">
        <v>1007</v>
      </c>
      <c r="O12" t="s">
        <v>20</v>
      </c>
      <c r="P12" t="s">
        <v>20</v>
      </c>
      <c r="Q12">
        <v>1</v>
      </c>
      <c r="W12">
        <v>0</v>
      </c>
      <c r="X12">
        <v>619799737</v>
      </c>
      <c r="Y12">
        <v>0</v>
      </c>
      <c r="AA12">
        <v>2.44</v>
      </c>
      <c r="AB12">
        <v>0</v>
      </c>
      <c r="AC12">
        <v>0</v>
      </c>
      <c r="AD12">
        <v>0</v>
      </c>
      <c r="AE12">
        <v>2.44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T12">
        <v>0.45</v>
      </c>
      <c r="AU12" t="s">
        <v>109</v>
      </c>
      <c r="AV12">
        <v>0</v>
      </c>
      <c r="AW12">
        <v>2</v>
      </c>
      <c r="AX12">
        <v>939972164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Y12*Source!I24</f>
        <v>0</v>
      </c>
      <c r="CY12">
        <f>AA12</f>
        <v>2.44</v>
      </c>
      <c r="CZ12">
        <f>AE12</f>
        <v>2.44</v>
      </c>
      <c r="DA12">
        <f>AI12</f>
        <v>1</v>
      </c>
      <c r="DB12">
        <f>ROUND((ROUND(AT12*CZ12,2)*0),6)</f>
        <v>0</v>
      </c>
      <c r="DC12">
        <f>ROUND((ROUND(AT12*AG12,2)*0),6)</f>
        <v>0</v>
      </c>
    </row>
    <row r="13" spans="1:107" x14ac:dyDescent="0.2">
      <c r="A13">
        <f>ROW(Source!A25)</f>
        <v>25</v>
      </c>
      <c r="B13">
        <v>939971440</v>
      </c>
      <c r="C13">
        <v>939971563</v>
      </c>
      <c r="D13">
        <v>37778912</v>
      </c>
      <c r="E13">
        <v>1</v>
      </c>
      <c r="F13">
        <v>1</v>
      </c>
      <c r="G13">
        <v>1</v>
      </c>
      <c r="H13">
        <v>1</v>
      </c>
      <c r="I13" t="s">
        <v>363</v>
      </c>
      <c r="K13" t="s">
        <v>364</v>
      </c>
      <c r="L13">
        <v>1369</v>
      </c>
      <c r="N13">
        <v>1013</v>
      </c>
      <c r="O13" t="s">
        <v>365</v>
      </c>
      <c r="P13" t="s">
        <v>365</v>
      </c>
      <c r="Q13">
        <v>1</v>
      </c>
      <c r="W13">
        <v>0</v>
      </c>
      <c r="X13">
        <v>355262106</v>
      </c>
      <c r="Y13">
        <v>302.536</v>
      </c>
      <c r="AA13">
        <v>0</v>
      </c>
      <c r="AB13">
        <v>0</v>
      </c>
      <c r="AC13">
        <v>0</v>
      </c>
      <c r="AD13">
        <v>9.18</v>
      </c>
      <c r="AE13">
        <v>0</v>
      </c>
      <c r="AF13">
        <v>0</v>
      </c>
      <c r="AG13">
        <v>0</v>
      </c>
      <c r="AH13">
        <v>9.18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T13">
        <v>378.17</v>
      </c>
      <c r="AU13" t="s">
        <v>110</v>
      </c>
      <c r="AV13">
        <v>1</v>
      </c>
      <c r="AW13">
        <v>2</v>
      </c>
      <c r="AX13">
        <v>939972153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Y13*Source!I25</f>
        <v>19.664840000000002</v>
      </c>
      <c r="CY13">
        <f>AD13</f>
        <v>9.18</v>
      </c>
      <c r="CZ13">
        <f>AH13</f>
        <v>9.18</v>
      </c>
      <c r="DA13">
        <f>AL13</f>
        <v>1</v>
      </c>
      <c r="DB13">
        <f t="shared" ref="DB13:DB19" si="2">ROUND((ROUND(AT13*CZ13,2)*0.8),6)</f>
        <v>2777.28</v>
      </c>
      <c r="DC13">
        <f t="shared" ref="DC13:DC19" si="3">ROUND((ROUND(AT13*AG13,2)*0.8),6)</f>
        <v>0</v>
      </c>
    </row>
    <row r="14" spans="1:107" x14ac:dyDescent="0.2">
      <c r="A14">
        <f>ROW(Source!A25)</f>
        <v>25</v>
      </c>
      <c r="B14">
        <v>939971440</v>
      </c>
      <c r="C14">
        <v>939971563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9</v>
      </c>
      <c r="K14" t="s">
        <v>366</v>
      </c>
      <c r="L14">
        <v>608254</v>
      </c>
      <c r="N14">
        <v>1013</v>
      </c>
      <c r="O14" t="s">
        <v>367</v>
      </c>
      <c r="P14" t="s">
        <v>367</v>
      </c>
      <c r="Q14">
        <v>1</v>
      </c>
      <c r="W14">
        <v>0</v>
      </c>
      <c r="X14">
        <v>-185737400</v>
      </c>
      <c r="Y14">
        <v>1.728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T14">
        <v>2.16</v>
      </c>
      <c r="AU14" t="s">
        <v>110</v>
      </c>
      <c r="AV14">
        <v>2</v>
      </c>
      <c r="AW14">
        <v>2</v>
      </c>
      <c r="AX14">
        <v>939972154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Y14*Source!I25</f>
        <v>0.11232</v>
      </c>
      <c r="CY14">
        <f>AD14</f>
        <v>0</v>
      </c>
      <c r="CZ14">
        <f>AH14</f>
        <v>0</v>
      </c>
      <c r="DA14">
        <f>AL14</f>
        <v>1</v>
      </c>
      <c r="DB14">
        <f t="shared" si="2"/>
        <v>0</v>
      </c>
      <c r="DC14">
        <f t="shared" si="3"/>
        <v>0</v>
      </c>
    </row>
    <row r="15" spans="1:107" x14ac:dyDescent="0.2">
      <c r="A15">
        <f>ROW(Source!A25)</f>
        <v>25</v>
      </c>
      <c r="B15">
        <v>939971440</v>
      </c>
      <c r="C15">
        <v>939971563</v>
      </c>
      <c r="D15">
        <v>338036696</v>
      </c>
      <c r="E15">
        <v>1</v>
      </c>
      <c r="F15">
        <v>1</v>
      </c>
      <c r="G15">
        <v>1</v>
      </c>
      <c r="H15">
        <v>2</v>
      </c>
      <c r="I15" t="s">
        <v>368</v>
      </c>
      <c r="J15" t="s">
        <v>369</v>
      </c>
      <c r="K15" t="s">
        <v>370</v>
      </c>
      <c r="L15">
        <v>1368</v>
      </c>
      <c r="N15">
        <v>91022270</v>
      </c>
      <c r="O15" t="s">
        <v>371</v>
      </c>
      <c r="P15" t="s">
        <v>371</v>
      </c>
      <c r="Q15">
        <v>1</v>
      </c>
      <c r="W15">
        <v>0</v>
      </c>
      <c r="X15">
        <v>-6942991</v>
      </c>
      <c r="Y15">
        <v>0.27200000000000002</v>
      </c>
      <c r="AA15">
        <v>0</v>
      </c>
      <c r="AB15">
        <v>848.48</v>
      </c>
      <c r="AC15">
        <v>451.71</v>
      </c>
      <c r="AD15">
        <v>0</v>
      </c>
      <c r="AE15">
        <v>0</v>
      </c>
      <c r="AF15">
        <v>83.43</v>
      </c>
      <c r="AG15">
        <v>13.5</v>
      </c>
      <c r="AH15">
        <v>0</v>
      </c>
      <c r="AI15">
        <v>1</v>
      </c>
      <c r="AJ15">
        <v>10.17</v>
      </c>
      <c r="AK15">
        <v>33.46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T15">
        <v>0.34</v>
      </c>
      <c r="AU15" t="s">
        <v>110</v>
      </c>
      <c r="AV15">
        <v>0</v>
      </c>
      <c r="AW15">
        <v>2</v>
      </c>
      <c r="AX15">
        <v>939972155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Y15*Source!I25</f>
        <v>1.7680000000000001E-2</v>
      </c>
      <c r="CY15">
        <f>AB15</f>
        <v>848.48</v>
      </c>
      <c r="CZ15">
        <f>AF15</f>
        <v>83.43</v>
      </c>
      <c r="DA15">
        <f>AJ15</f>
        <v>10.17</v>
      </c>
      <c r="DB15">
        <f t="shared" si="2"/>
        <v>22.696000000000002</v>
      </c>
      <c r="DC15">
        <f t="shared" si="3"/>
        <v>3.6720000000000002</v>
      </c>
    </row>
    <row r="16" spans="1:107" x14ac:dyDescent="0.2">
      <c r="A16">
        <f>ROW(Source!A25)</f>
        <v>25</v>
      </c>
      <c r="B16">
        <v>939971440</v>
      </c>
      <c r="C16">
        <v>939971563</v>
      </c>
      <c r="D16">
        <v>338036807</v>
      </c>
      <c r="E16">
        <v>1</v>
      </c>
      <c r="F16">
        <v>1</v>
      </c>
      <c r="G16">
        <v>1</v>
      </c>
      <c r="H16">
        <v>2</v>
      </c>
      <c r="I16" t="s">
        <v>372</v>
      </c>
      <c r="J16" t="s">
        <v>373</v>
      </c>
      <c r="K16" t="s">
        <v>374</v>
      </c>
      <c r="L16">
        <v>1368</v>
      </c>
      <c r="N16">
        <v>91022270</v>
      </c>
      <c r="O16" t="s">
        <v>371</v>
      </c>
      <c r="P16" t="s">
        <v>371</v>
      </c>
      <c r="Q16">
        <v>1</v>
      </c>
      <c r="W16">
        <v>0</v>
      </c>
      <c r="X16">
        <v>-1474388027</v>
      </c>
      <c r="Y16">
        <v>0.104</v>
      </c>
      <c r="AA16">
        <v>0</v>
      </c>
      <c r="AB16">
        <v>955.79</v>
      </c>
      <c r="AC16">
        <v>388.14</v>
      </c>
      <c r="AD16">
        <v>0</v>
      </c>
      <c r="AE16">
        <v>0</v>
      </c>
      <c r="AF16">
        <v>88.01</v>
      </c>
      <c r="AG16">
        <v>11.6</v>
      </c>
      <c r="AH16">
        <v>0</v>
      </c>
      <c r="AI16">
        <v>1</v>
      </c>
      <c r="AJ16">
        <v>10.86</v>
      </c>
      <c r="AK16">
        <v>33.46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T16">
        <v>0.13</v>
      </c>
      <c r="AU16" t="s">
        <v>110</v>
      </c>
      <c r="AV16">
        <v>0</v>
      </c>
      <c r="AW16">
        <v>2</v>
      </c>
      <c r="AX16">
        <v>939972156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Y16*Source!I25</f>
        <v>6.7599999999999995E-3</v>
      </c>
      <c r="CY16">
        <f>AB16</f>
        <v>955.79</v>
      </c>
      <c r="CZ16">
        <f>AF16</f>
        <v>88.01</v>
      </c>
      <c r="DA16">
        <f>AJ16</f>
        <v>10.86</v>
      </c>
      <c r="DB16">
        <f t="shared" si="2"/>
        <v>9.1519999999999992</v>
      </c>
      <c r="DC16">
        <f t="shared" si="3"/>
        <v>1.208</v>
      </c>
    </row>
    <row r="17" spans="1:107" x14ac:dyDescent="0.2">
      <c r="A17">
        <f>ROW(Source!A25)</f>
        <v>25</v>
      </c>
      <c r="B17">
        <v>939971440</v>
      </c>
      <c r="C17">
        <v>939971563</v>
      </c>
      <c r="D17">
        <v>338037570</v>
      </c>
      <c r="E17">
        <v>1</v>
      </c>
      <c r="F17">
        <v>1</v>
      </c>
      <c r="G17">
        <v>1</v>
      </c>
      <c r="H17">
        <v>2</v>
      </c>
      <c r="I17" t="s">
        <v>375</v>
      </c>
      <c r="J17" t="s">
        <v>376</v>
      </c>
      <c r="K17" t="s">
        <v>377</v>
      </c>
      <c r="L17">
        <v>1368</v>
      </c>
      <c r="N17">
        <v>91022270</v>
      </c>
      <c r="O17" t="s">
        <v>371</v>
      </c>
      <c r="P17" t="s">
        <v>371</v>
      </c>
      <c r="Q17">
        <v>1</v>
      </c>
      <c r="W17">
        <v>0</v>
      </c>
      <c r="X17">
        <v>-1709160983</v>
      </c>
      <c r="Y17">
        <v>1.3520000000000001</v>
      </c>
      <c r="AA17">
        <v>0</v>
      </c>
      <c r="AB17">
        <v>364.68</v>
      </c>
      <c r="AC17">
        <v>336.61</v>
      </c>
      <c r="AD17">
        <v>0</v>
      </c>
      <c r="AE17">
        <v>0</v>
      </c>
      <c r="AF17">
        <v>12.4</v>
      </c>
      <c r="AG17">
        <v>10.06</v>
      </c>
      <c r="AH17">
        <v>0</v>
      </c>
      <c r="AI17">
        <v>1</v>
      </c>
      <c r="AJ17">
        <v>29.41</v>
      </c>
      <c r="AK17">
        <v>33.46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T17">
        <v>1.69</v>
      </c>
      <c r="AU17" t="s">
        <v>110</v>
      </c>
      <c r="AV17">
        <v>0</v>
      </c>
      <c r="AW17">
        <v>2</v>
      </c>
      <c r="AX17">
        <v>939972157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Y17*Source!I25</f>
        <v>8.7880000000000014E-2</v>
      </c>
      <c r="CY17">
        <f>AB17</f>
        <v>364.68</v>
      </c>
      <c r="CZ17">
        <f>AF17</f>
        <v>12.4</v>
      </c>
      <c r="DA17">
        <f>AJ17</f>
        <v>29.41</v>
      </c>
      <c r="DB17">
        <f t="shared" si="2"/>
        <v>16.768000000000001</v>
      </c>
      <c r="DC17">
        <f t="shared" si="3"/>
        <v>13.6</v>
      </c>
    </row>
    <row r="18" spans="1:107" x14ac:dyDescent="0.2">
      <c r="A18">
        <f>ROW(Source!A25)</f>
        <v>25</v>
      </c>
      <c r="B18">
        <v>939971440</v>
      </c>
      <c r="C18">
        <v>939971563</v>
      </c>
      <c r="D18">
        <v>338039067</v>
      </c>
      <c r="E18">
        <v>1</v>
      </c>
      <c r="F18">
        <v>1</v>
      </c>
      <c r="G18">
        <v>1</v>
      </c>
      <c r="H18">
        <v>2</v>
      </c>
      <c r="I18" t="s">
        <v>378</v>
      </c>
      <c r="J18" t="s">
        <v>379</v>
      </c>
      <c r="K18" t="s">
        <v>380</v>
      </c>
      <c r="L18">
        <v>1368</v>
      </c>
      <c r="N18">
        <v>91022270</v>
      </c>
      <c r="O18" t="s">
        <v>371</v>
      </c>
      <c r="P18" t="s">
        <v>371</v>
      </c>
      <c r="Q18">
        <v>1</v>
      </c>
      <c r="W18">
        <v>0</v>
      </c>
      <c r="X18">
        <v>-1769198364</v>
      </c>
      <c r="Y18">
        <v>7.1999999999999995E-2</v>
      </c>
      <c r="AA18">
        <v>0</v>
      </c>
      <c r="AB18">
        <v>17.45</v>
      </c>
      <c r="AC18">
        <v>0</v>
      </c>
      <c r="AD18">
        <v>0</v>
      </c>
      <c r="AE18">
        <v>0</v>
      </c>
      <c r="AF18">
        <v>9.9700000000000006</v>
      </c>
      <c r="AG18">
        <v>0</v>
      </c>
      <c r="AH18">
        <v>0</v>
      </c>
      <c r="AI18">
        <v>1</v>
      </c>
      <c r="AJ18">
        <v>1.75</v>
      </c>
      <c r="AK18">
        <v>33.46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T18">
        <v>0.09</v>
      </c>
      <c r="AU18" t="s">
        <v>110</v>
      </c>
      <c r="AV18">
        <v>0</v>
      </c>
      <c r="AW18">
        <v>2</v>
      </c>
      <c r="AX18">
        <v>939972158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Y18*Source!I25</f>
        <v>4.6800000000000001E-3</v>
      </c>
      <c r="CY18">
        <f>AB18</f>
        <v>17.45</v>
      </c>
      <c r="CZ18">
        <f>AF18</f>
        <v>9.9700000000000006</v>
      </c>
      <c r="DA18">
        <f>AJ18</f>
        <v>1.75</v>
      </c>
      <c r="DB18">
        <f t="shared" si="2"/>
        <v>0.72</v>
      </c>
      <c r="DC18">
        <f t="shared" si="3"/>
        <v>0</v>
      </c>
    </row>
    <row r="19" spans="1:107" x14ac:dyDescent="0.2">
      <c r="A19">
        <f>ROW(Source!A25)</f>
        <v>25</v>
      </c>
      <c r="B19">
        <v>939971440</v>
      </c>
      <c r="C19">
        <v>939971563</v>
      </c>
      <c r="D19">
        <v>338039342</v>
      </c>
      <c r="E19">
        <v>1</v>
      </c>
      <c r="F19">
        <v>1</v>
      </c>
      <c r="G19">
        <v>1</v>
      </c>
      <c r="H19">
        <v>2</v>
      </c>
      <c r="I19" t="s">
        <v>381</v>
      </c>
      <c r="J19" t="s">
        <v>382</v>
      </c>
      <c r="K19" t="s">
        <v>383</v>
      </c>
      <c r="L19">
        <v>1368</v>
      </c>
      <c r="N19">
        <v>91022270</v>
      </c>
      <c r="O19" t="s">
        <v>371</v>
      </c>
      <c r="P19" t="s">
        <v>371</v>
      </c>
      <c r="Q19">
        <v>1</v>
      </c>
      <c r="W19">
        <v>0</v>
      </c>
      <c r="X19">
        <v>1230759911</v>
      </c>
      <c r="Y19">
        <v>0.104</v>
      </c>
      <c r="AA19">
        <v>0</v>
      </c>
      <c r="AB19">
        <v>932.72</v>
      </c>
      <c r="AC19">
        <v>388.14</v>
      </c>
      <c r="AD19">
        <v>0</v>
      </c>
      <c r="AE19">
        <v>0</v>
      </c>
      <c r="AF19">
        <v>87.17</v>
      </c>
      <c r="AG19">
        <v>11.6</v>
      </c>
      <c r="AH19">
        <v>0</v>
      </c>
      <c r="AI19">
        <v>1</v>
      </c>
      <c r="AJ19">
        <v>10.7</v>
      </c>
      <c r="AK19">
        <v>33.46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T19">
        <v>0.13</v>
      </c>
      <c r="AU19" t="s">
        <v>110</v>
      </c>
      <c r="AV19">
        <v>0</v>
      </c>
      <c r="AW19">
        <v>2</v>
      </c>
      <c r="AX19">
        <v>939972159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Y19*Source!I25</f>
        <v>6.7599999999999995E-3</v>
      </c>
      <c r="CY19">
        <f>AB19</f>
        <v>932.72</v>
      </c>
      <c r="CZ19">
        <f>AF19</f>
        <v>87.17</v>
      </c>
      <c r="DA19">
        <f>AJ19</f>
        <v>10.7</v>
      </c>
      <c r="DB19">
        <f t="shared" si="2"/>
        <v>9.0640000000000001</v>
      </c>
      <c r="DC19">
        <f t="shared" si="3"/>
        <v>1.208</v>
      </c>
    </row>
    <row r="20" spans="1:107" x14ac:dyDescent="0.2">
      <c r="A20">
        <f>ROW(Source!A25)</f>
        <v>25</v>
      </c>
      <c r="B20">
        <v>939971440</v>
      </c>
      <c r="C20">
        <v>939971563</v>
      </c>
      <c r="D20">
        <v>337972278</v>
      </c>
      <c r="E20">
        <v>1</v>
      </c>
      <c r="F20">
        <v>1</v>
      </c>
      <c r="G20">
        <v>1</v>
      </c>
      <c r="H20">
        <v>3</v>
      </c>
      <c r="I20" t="s">
        <v>384</v>
      </c>
      <c r="J20" t="s">
        <v>385</v>
      </c>
      <c r="K20" t="s">
        <v>386</v>
      </c>
      <c r="L20">
        <v>1348</v>
      </c>
      <c r="N20">
        <v>39568864</v>
      </c>
      <c r="O20" t="s">
        <v>26</v>
      </c>
      <c r="P20" t="s">
        <v>26</v>
      </c>
      <c r="Q20">
        <v>1000</v>
      </c>
      <c r="W20">
        <v>0</v>
      </c>
      <c r="X20">
        <v>-955444283</v>
      </c>
      <c r="Y20">
        <v>0</v>
      </c>
      <c r="AA20">
        <v>36124.89</v>
      </c>
      <c r="AB20">
        <v>0</v>
      </c>
      <c r="AC20">
        <v>0</v>
      </c>
      <c r="AD20">
        <v>0</v>
      </c>
      <c r="AE20">
        <v>6532.53</v>
      </c>
      <c r="AF20">
        <v>0</v>
      </c>
      <c r="AG20">
        <v>0</v>
      </c>
      <c r="AH20">
        <v>0</v>
      </c>
      <c r="AI20">
        <v>5.53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T20">
        <v>2.1000000000000001E-2</v>
      </c>
      <c r="AU20" t="s">
        <v>109</v>
      </c>
      <c r="AV20">
        <v>0</v>
      </c>
      <c r="AW20">
        <v>2</v>
      </c>
      <c r="AX20">
        <v>939972160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Y20*Source!I25</f>
        <v>0</v>
      </c>
      <c r="CY20">
        <f>AA20</f>
        <v>36124.89</v>
      </c>
      <c r="CZ20">
        <f>AE20</f>
        <v>6532.53</v>
      </c>
      <c r="DA20">
        <f>AI20</f>
        <v>5.53</v>
      </c>
      <c r="DB20">
        <f>ROUND((ROUND(AT20*CZ20,2)*0),6)</f>
        <v>0</v>
      </c>
      <c r="DC20">
        <f>ROUND((ROUND(AT20*AG20,2)*0),6)</f>
        <v>0</v>
      </c>
    </row>
    <row r="21" spans="1:107" x14ac:dyDescent="0.2">
      <c r="A21">
        <f>ROW(Source!A25)</f>
        <v>25</v>
      </c>
      <c r="B21">
        <v>939971440</v>
      </c>
      <c r="C21">
        <v>939971563</v>
      </c>
      <c r="D21">
        <v>337973852</v>
      </c>
      <c r="E21">
        <v>1</v>
      </c>
      <c r="F21">
        <v>1</v>
      </c>
      <c r="G21">
        <v>1</v>
      </c>
      <c r="H21">
        <v>3</v>
      </c>
      <c r="I21" t="s">
        <v>387</v>
      </c>
      <c r="J21" t="s">
        <v>388</v>
      </c>
      <c r="K21" t="s">
        <v>389</v>
      </c>
      <c r="L21">
        <v>1346</v>
      </c>
      <c r="N21">
        <v>39568864</v>
      </c>
      <c r="O21" t="s">
        <v>23</v>
      </c>
      <c r="P21" t="s">
        <v>23</v>
      </c>
      <c r="Q21">
        <v>1</v>
      </c>
      <c r="W21">
        <v>0</v>
      </c>
      <c r="X21">
        <v>-2053666360</v>
      </c>
      <c r="Y21">
        <v>0</v>
      </c>
      <c r="AA21">
        <v>15.98</v>
      </c>
      <c r="AB21">
        <v>0</v>
      </c>
      <c r="AC21">
        <v>0</v>
      </c>
      <c r="AD21">
        <v>0</v>
      </c>
      <c r="AE21">
        <v>3.86</v>
      </c>
      <c r="AF21">
        <v>0</v>
      </c>
      <c r="AG21">
        <v>0</v>
      </c>
      <c r="AH21">
        <v>0</v>
      </c>
      <c r="AI21">
        <v>4.1399999999999997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T21">
        <v>1200</v>
      </c>
      <c r="AU21" t="s">
        <v>109</v>
      </c>
      <c r="AV21">
        <v>0</v>
      </c>
      <c r="AW21">
        <v>2</v>
      </c>
      <c r="AX21">
        <v>939972161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Y21*Source!I25</f>
        <v>0</v>
      </c>
      <c r="CY21">
        <f>AA21</f>
        <v>15.98</v>
      </c>
      <c r="CZ21">
        <f>AE21</f>
        <v>3.86</v>
      </c>
      <c r="DA21">
        <f>AI21</f>
        <v>4.1399999999999997</v>
      </c>
      <c r="DB21">
        <f>ROUND((ROUND(AT21*CZ21,2)*0),6)</f>
        <v>0</v>
      </c>
      <c r="DC21">
        <f>ROUND((ROUND(AT21*AG21,2)*0),6)</f>
        <v>0</v>
      </c>
    </row>
    <row r="22" spans="1:107" x14ac:dyDescent="0.2">
      <c r="A22">
        <f>ROW(Source!A25)</f>
        <v>25</v>
      </c>
      <c r="B22">
        <v>939971440</v>
      </c>
      <c r="C22">
        <v>939971563</v>
      </c>
      <c r="D22">
        <v>337974293</v>
      </c>
      <c r="E22">
        <v>1</v>
      </c>
      <c r="F22">
        <v>1</v>
      </c>
      <c r="G22">
        <v>1</v>
      </c>
      <c r="H22">
        <v>3</v>
      </c>
      <c r="I22" t="s">
        <v>390</v>
      </c>
      <c r="J22" t="s">
        <v>391</v>
      </c>
      <c r="K22" t="s">
        <v>392</v>
      </c>
      <c r="L22">
        <v>369160830</v>
      </c>
      <c r="N22">
        <v>1005</v>
      </c>
      <c r="O22" t="s">
        <v>17</v>
      </c>
      <c r="P22" t="s">
        <v>17</v>
      </c>
      <c r="Q22">
        <v>1</v>
      </c>
      <c r="W22">
        <v>0</v>
      </c>
      <c r="X22">
        <v>-1933399346</v>
      </c>
      <c r="Y22">
        <v>0</v>
      </c>
      <c r="AA22">
        <v>437.86</v>
      </c>
      <c r="AB22">
        <v>0</v>
      </c>
      <c r="AC22">
        <v>0</v>
      </c>
      <c r="AD22">
        <v>0</v>
      </c>
      <c r="AE22">
        <v>126.55</v>
      </c>
      <c r="AF22">
        <v>0</v>
      </c>
      <c r="AG22">
        <v>0</v>
      </c>
      <c r="AH22">
        <v>0</v>
      </c>
      <c r="AI22">
        <v>3.46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T22">
        <v>102</v>
      </c>
      <c r="AU22" t="s">
        <v>109</v>
      </c>
      <c r="AV22">
        <v>0</v>
      </c>
      <c r="AW22">
        <v>2</v>
      </c>
      <c r="AX22">
        <v>939972162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Y22*Source!I25</f>
        <v>0</v>
      </c>
      <c r="CY22">
        <f>AA22</f>
        <v>437.86</v>
      </c>
      <c r="CZ22">
        <f>AE22</f>
        <v>126.55</v>
      </c>
      <c r="DA22">
        <f>AI22</f>
        <v>3.46</v>
      </c>
      <c r="DB22">
        <f>ROUND((ROUND(AT22*CZ22,2)*0),6)</f>
        <v>0</v>
      </c>
      <c r="DC22">
        <f>ROUND((ROUND(AT22*AG22,2)*0),6)</f>
        <v>0</v>
      </c>
    </row>
    <row r="23" spans="1:107" x14ac:dyDescent="0.2">
      <c r="A23">
        <f>ROW(Source!A25)</f>
        <v>25</v>
      </c>
      <c r="B23">
        <v>939971440</v>
      </c>
      <c r="C23">
        <v>939971563</v>
      </c>
      <c r="D23">
        <v>337995718</v>
      </c>
      <c r="E23">
        <v>1</v>
      </c>
      <c r="F23">
        <v>1</v>
      </c>
      <c r="G23">
        <v>1</v>
      </c>
      <c r="H23">
        <v>3</v>
      </c>
      <c r="I23" t="s">
        <v>116</v>
      </c>
      <c r="J23" t="s">
        <v>118</v>
      </c>
      <c r="K23" t="s">
        <v>117</v>
      </c>
      <c r="L23">
        <v>1339</v>
      </c>
      <c r="N23">
        <v>1007</v>
      </c>
      <c r="O23" t="s">
        <v>20</v>
      </c>
      <c r="P23" t="s">
        <v>20</v>
      </c>
      <c r="Q23">
        <v>1</v>
      </c>
      <c r="W23">
        <v>0</v>
      </c>
      <c r="X23">
        <v>828607040</v>
      </c>
      <c r="Y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0</v>
      </c>
      <c r="AP23">
        <v>1</v>
      </c>
      <c r="AQ23">
        <v>0</v>
      </c>
      <c r="AR23">
        <v>0</v>
      </c>
      <c r="AT23">
        <v>0.01</v>
      </c>
      <c r="AU23" t="s">
        <v>109</v>
      </c>
      <c r="AV23">
        <v>0</v>
      </c>
      <c r="AW23">
        <v>2</v>
      </c>
      <c r="AX23">
        <v>939972163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Y23*Source!I25</f>
        <v>0</v>
      </c>
      <c r="CY23">
        <f>AA23</f>
        <v>0</v>
      </c>
      <c r="CZ23">
        <f>AE23</f>
        <v>0</v>
      </c>
      <c r="DA23">
        <f>AI23</f>
        <v>1</v>
      </c>
      <c r="DB23">
        <f>ROUND((ROUND(AT23*CZ23,2)*0),6)</f>
        <v>0</v>
      </c>
      <c r="DC23">
        <f>ROUND((ROUND(AT23*AG23,2)*0),6)</f>
        <v>0</v>
      </c>
    </row>
    <row r="24" spans="1:107" x14ac:dyDescent="0.2">
      <c r="A24">
        <f>ROW(Source!A25)</f>
        <v>25</v>
      </c>
      <c r="B24">
        <v>939971440</v>
      </c>
      <c r="C24">
        <v>939971563</v>
      </c>
      <c r="D24">
        <v>338014469</v>
      </c>
      <c r="E24">
        <v>1</v>
      </c>
      <c r="F24">
        <v>1</v>
      </c>
      <c r="G24">
        <v>1</v>
      </c>
      <c r="H24">
        <v>3</v>
      </c>
      <c r="I24" t="s">
        <v>33</v>
      </c>
      <c r="J24" t="s">
        <v>393</v>
      </c>
      <c r="K24" t="s">
        <v>34</v>
      </c>
      <c r="L24">
        <v>1339</v>
      </c>
      <c r="N24">
        <v>1007</v>
      </c>
      <c r="O24" t="s">
        <v>20</v>
      </c>
      <c r="P24" t="s">
        <v>20</v>
      </c>
      <c r="Q24">
        <v>1</v>
      </c>
      <c r="W24">
        <v>0</v>
      </c>
      <c r="X24">
        <v>619799737</v>
      </c>
      <c r="Y24">
        <v>0</v>
      </c>
      <c r="AA24">
        <v>22.2</v>
      </c>
      <c r="AB24">
        <v>0</v>
      </c>
      <c r="AC24">
        <v>0</v>
      </c>
      <c r="AD24">
        <v>0</v>
      </c>
      <c r="AE24">
        <v>2.44</v>
      </c>
      <c r="AF24">
        <v>0</v>
      </c>
      <c r="AG24">
        <v>0</v>
      </c>
      <c r="AH24">
        <v>0</v>
      </c>
      <c r="AI24">
        <v>9.1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T24">
        <v>0.45</v>
      </c>
      <c r="AU24" t="s">
        <v>109</v>
      </c>
      <c r="AV24">
        <v>0</v>
      </c>
      <c r="AW24">
        <v>2</v>
      </c>
      <c r="AX24">
        <v>939972164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Y24*Source!I25</f>
        <v>0</v>
      </c>
      <c r="CY24">
        <f>AA24</f>
        <v>22.2</v>
      </c>
      <c r="CZ24">
        <f>AE24</f>
        <v>2.44</v>
      </c>
      <c r="DA24">
        <f>AI24</f>
        <v>9.1</v>
      </c>
      <c r="DB24">
        <f>ROUND((ROUND(AT24*CZ24,2)*0),6)</f>
        <v>0</v>
      </c>
      <c r="DC24">
        <f>ROUND((ROUND(AT24*AG24,2)*0),6)</f>
        <v>0</v>
      </c>
    </row>
    <row r="25" spans="1:107" x14ac:dyDescent="0.2">
      <c r="A25">
        <f>ROW(Source!A28)</f>
        <v>28</v>
      </c>
      <c r="B25">
        <v>939971439</v>
      </c>
      <c r="C25">
        <v>939971569</v>
      </c>
      <c r="D25">
        <v>37772686</v>
      </c>
      <c r="E25">
        <v>1</v>
      </c>
      <c r="F25">
        <v>1</v>
      </c>
      <c r="G25">
        <v>1</v>
      </c>
      <c r="H25">
        <v>1</v>
      </c>
      <c r="I25" t="s">
        <v>394</v>
      </c>
      <c r="K25" t="s">
        <v>395</v>
      </c>
      <c r="L25">
        <v>1369</v>
      </c>
      <c r="N25">
        <v>1013</v>
      </c>
      <c r="O25" t="s">
        <v>365</v>
      </c>
      <c r="P25" t="s">
        <v>365</v>
      </c>
      <c r="Q25">
        <v>1</v>
      </c>
      <c r="W25">
        <v>0</v>
      </c>
      <c r="X25">
        <v>-931037793</v>
      </c>
      <c r="Y25">
        <v>69.87</v>
      </c>
      <c r="AA25">
        <v>0</v>
      </c>
      <c r="AB25">
        <v>0</v>
      </c>
      <c r="AC25">
        <v>0</v>
      </c>
      <c r="AD25">
        <v>8.5299999999999994</v>
      </c>
      <c r="AE25">
        <v>0</v>
      </c>
      <c r="AF25">
        <v>0</v>
      </c>
      <c r="AG25">
        <v>0</v>
      </c>
      <c r="AH25">
        <v>8.5299999999999994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T25">
        <v>69.87</v>
      </c>
      <c r="AV25">
        <v>1</v>
      </c>
      <c r="AW25">
        <v>2</v>
      </c>
      <c r="AX25">
        <v>939976140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Y25*Source!I28</f>
        <v>32.699160000000006</v>
      </c>
      <c r="CY25">
        <f>AD25</f>
        <v>8.5299999999999994</v>
      </c>
      <c r="CZ25">
        <f>AH25</f>
        <v>8.5299999999999994</v>
      </c>
      <c r="DA25">
        <f>AL25</f>
        <v>1</v>
      </c>
      <c r="DB25">
        <f t="shared" ref="DB25:DB52" si="4">ROUND(ROUND(AT25*CZ25,2),6)</f>
        <v>595.99</v>
      </c>
      <c r="DC25">
        <f t="shared" ref="DC25:DC52" si="5">ROUND(ROUND(AT25*AG25,2),6)</f>
        <v>0</v>
      </c>
    </row>
    <row r="26" spans="1:107" x14ac:dyDescent="0.2">
      <c r="A26">
        <f>ROW(Source!A28)</f>
        <v>28</v>
      </c>
      <c r="B26">
        <v>939971439</v>
      </c>
      <c r="C26">
        <v>939971569</v>
      </c>
      <c r="D26">
        <v>121548</v>
      </c>
      <c r="E26">
        <v>1</v>
      </c>
      <c r="F26">
        <v>1</v>
      </c>
      <c r="G26">
        <v>1</v>
      </c>
      <c r="H26">
        <v>1</v>
      </c>
      <c r="I26" t="s">
        <v>9</v>
      </c>
      <c r="K26" t="s">
        <v>366</v>
      </c>
      <c r="L26">
        <v>608254</v>
      </c>
      <c r="N26">
        <v>1013</v>
      </c>
      <c r="O26" t="s">
        <v>367</v>
      </c>
      <c r="P26" t="s">
        <v>367</v>
      </c>
      <c r="Q26">
        <v>1</v>
      </c>
      <c r="W26">
        <v>0</v>
      </c>
      <c r="X26">
        <v>-185737400</v>
      </c>
      <c r="Y26">
        <v>1.44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T26">
        <v>1.44</v>
      </c>
      <c r="AV26">
        <v>2</v>
      </c>
      <c r="AW26">
        <v>2</v>
      </c>
      <c r="AX26">
        <v>939976141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Y26*Source!I28</f>
        <v>0.67391999999999996</v>
      </c>
      <c r="CY26">
        <f>AD26</f>
        <v>0</v>
      </c>
      <c r="CZ26">
        <f>AH26</f>
        <v>0</v>
      </c>
      <c r="DA26">
        <f>AL26</f>
        <v>1</v>
      </c>
      <c r="DB26">
        <f t="shared" si="4"/>
        <v>0</v>
      </c>
      <c r="DC26">
        <f t="shared" si="5"/>
        <v>0</v>
      </c>
    </row>
    <row r="27" spans="1:107" x14ac:dyDescent="0.2">
      <c r="A27">
        <f>ROW(Source!A28)</f>
        <v>28</v>
      </c>
      <c r="B27">
        <v>939971439</v>
      </c>
      <c r="C27">
        <v>939971569</v>
      </c>
      <c r="D27">
        <v>338036985</v>
      </c>
      <c r="E27">
        <v>1</v>
      </c>
      <c r="F27">
        <v>1</v>
      </c>
      <c r="G27">
        <v>1</v>
      </c>
      <c r="H27">
        <v>2</v>
      </c>
      <c r="I27" t="s">
        <v>396</v>
      </c>
      <c r="J27" t="s">
        <v>397</v>
      </c>
      <c r="K27" t="s">
        <v>398</v>
      </c>
      <c r="L27">
        <v>1368</v>
      </c>
      <c r="N27">
        <v>91022270</v>
      </c>
      <c r="O27" t="s">
        <v>371</v>
      </c>
      <c r="P27" t="s">
        <v>371</v>
      </c>
      <c r="Q27">
        <v>1</v>
      </c>
      <c r="W27">
        <v>0</v>
      </c>
      <c r="X27">
        <v>344519037</v>
      </c>
      <c r="Y27">
        <v>1.44</v>
      </c>
      <c r="AA27">
        <v>0</v>
      </c>
      <c r="AB27">
        <v>31.26</v>
      </c>
      <c r="AC27">
        <v>13.5</v>
      </c>
      <c r="AD27">
        <v>0</v>
      </c>
      <c r="AE27">
        <v>0</v>
      </c>
      <c r="AF27">
        <v>31.26</v>
      </c>
      <c r="AG27">
        <v>13.5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T27">
        <v>1.44</v>
      </c>
      <c r="AV27">
        <v>0</v>
      </c>
      <c r="AW27">
        <v>2</v>
      </c>
      <c r="AX27">
        <v>939976142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Y27*Source!I28</f>
        <v>0.67391999999999996</v>
      </c>
      <c r="CY27">
        <f>AB27</f>
        <v>31.26</v>
      </c>
      <c r="CZ27">
        <f>AF27</f>
        <v>31.26</v>
      </c>
      <c r="DA27">
        <f>AJ27</f>
        <v>1</v>
      </c>
      <c r="DB27">
        <f t="shared" si="4"/>
        <v>45.01</v>
      </c>
      <c r="DC27">
        <f t="shared" si="5"/>
        <v>19.440000000000001</v>
      </c>
    </row>
    <row r="28" spans="1:107" x14ac:dyDescent="0.2">
      <c r="A28">
        <f>ROW(Source!A28)</f>
        <v>28</v>
      </c>
      <c r="B28">
        <v>939971439</v>
      </c>
      <c r="C28">
        <v>939971569</v>
      </c>
      <c r="D28">
        <v>338028778</v>
      </c>
      <c r="E28">
        <v>1</v>
      </c>
      <c r="F28">
        <v>1</v>
      </c>
      <c r="G28">
        <v>1</v>
      </c>
      <c r="H28">
        <v>3</v>
      </c>
      <c r="I28" t="s">
        <v>126</v>
      </c>
      <c r="J28" t="s">
        <v>127</v>
      </c>
      <c r="K28" t="s">
        <v>77</v>
      </c>
      <c r="L28">
        <v>1348</v>
      </c>
      <c r="N28">
        <v>39568864</v>
      </c>
      <c r="O28" t="s">
        <v>26</v>
      </c>
      <c r="P28" t="s">
        <v>26</v>
      </c>
      <c r="Q28">
        <v>1000</v>
      </c>
      <c r="W28">
        <v>0</v>
      </c>
      <c r="X28">
        <v>1876412176</v>
      </c>
      <c r="Y28">
        <v>5.2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T28">
        <v>5.2</v>
      </c>
      <c r="AV28">
        <v>0</v>
      </c>
      <c r="AW28">
        <v>2</v>
      </c>
      <c r="AX28">
        <v>939976143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Y28*Source!I28</f>
        <v>2.4336000000000002</v>
      </c>
      <c r="CY28">
        <f>AA28</f>
        <v>0</v>
      </c>
      <c r="CZ28">
        <f>AE28</f>
        <v>0</v>
      </c>
      <c r="DA28">
        <f>AI28</f>
        <v>1</v>
      </c>
      <c r="DB28">
        <f t="shared" si="4"/>
        <v>0</v>
      </c>
      <c r="DC28">
        <f t="shared" si="5"/>
        <v>0</v>
      </c>
    </row>
    <row r="29" spans="1:107" x14ac:dyDescent="0.2">
      <c r="A29">
        <f>ROW(Source!A29)</f>
        <v>29</v>
      </c>
      <c r="B29">
        <v>939971440</v>
      </c>
      <c r="C29">
        <v>939971569</v>
      </c>
      <c r="D29">
        <v>37772686</v>
      </c>
      <c r="E29">
        <v>1</v>
      </c>
      <c r="F29">
        <v>1</v>
      </c>
      <c r="G29">
        <v>1</v>
      </c>
      <c r="H29">
        <v>1</v>
      </c>
      <c r="I29" t="s">
        <v>394</v>
      </c>
      <c r="K29" t="s">
        <v>395</v>
      </c>
      <c r="L29">
        <v>1369</v>
      </c>
      <c r="N29">
        <v>1013</v>
      </c>
      <c r="O29" t="s">
        <v>365</v>
      </c>
      <c r="P29" t="s">
        <v>365</v>
      </c>
      <c r="Q29">
        <v>1</v>
      </c>
      <c r="W29">
        <v>0</v>
      </c>
      <c r="X29">
        <v>-931037793</v>
      </c>
      <c r="Y29">
        <v>69.87</v>
      </c>
      <c r="AA29">
        <v>0</v>
      </c>
      <c r="AB29">
        <v>0</v>
      </c>
      <c r="AC29">
        <v>0</v>
      </c>
      <c r="AD29">
        <v>8.5299999999999994</v>
      </c>
      <c r="AE29">
        <v>0</v>
      </c>
      <c r="AF29">
        <v>0</v>
      </c>
      <c r="AG29">
        <v>0</v>
      </c>
      <c r="AH29">
        <v>8.5299999999999994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T29">
        <v>69.87</v>
      </c>
      <c r="AV29">
        <v>1</v>
      </c>
      <c r="AW29">
        <v>2</v>
      </c>
      <c r="AX29">
        <v>939976140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32.699160000000006</v>
      </c>
      <c r="CY29">
        <f>AD29</f>
        <v>8.5299999999999994</v>
      </c>
      <c r="CZ29">
        <f>AH29</f>
        <v>8.5299999999999994</v>
      </c>
      <c r="DA29">
        <f>AL29</f>
        <v>1</v>
      </c>
      <c r="DB29">
        <f t="shared" si="4"/>
        <v>595.99</v>
      </c>
      <c r="DC29">
        <f t="shared" si="5"/>
        <v>0</v>
      </c>
    </row>
    <row r="30" spans="1:107" x14ac:dyDescent="0.2">
      <c r="A30">
        <f>ROW(Source!A29)</f>
        <v>29</v>
      </c>
      <c r="B30">
        <v>939971440</v>
      </c>
      <c r="C30">
        <v>939971569</v>
      </c>
      <c r="D30">
        <v>121548</v>
      </c>
      <c r="E30">
        <v>1</v>
      </c>
      <c r="F30">
        <v>1</v>
      </c>
      <c r="G30">
        <v>1</v>
      </c>
      <c r="H30">
        <v>1</v>
      </c>
      <c r="I30" t="s">
        <v>9</v>
      </c>
      <c r="K30" t="s">
        <v>366</v>
      </c>
      <c r="L30">
        <v>608254</v>
      </c>
      <c r="N30">
        <v>1013</v>
      </c>
      <c r="O30" t="s">
        <v>367</v>
      </c>
      <c r="P30" t="s">
        <v>367</v>
      </c>
      <c r="Q30">
        <v>1</v>
      </c>
      <c r="W30">
        <v>0</v>
      </c>
      <c r="X30">
        <v>-185737400</v>
      </c>
      <c r="Y30">
        <v>1.44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T30">
        <v>1.44</v>
      </c>
      <c r="AV30">
        <v>2</v>
      </c>
      <c r="AW30">
        <v>2</v>
      </c>
      <c r="AX30">
        <v>939976141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0.67391999999999996</v>
      </c>
      <c r="CY30">
        <f>AD30</f>
        <v>0</v>
      </c>
      <c r="CZ30">
        <f>AH30</f>
        <v>0</v>
      </c>
      <c r="DA30">
        <f>AL30</f>
        <v>1</v>
      </c>
      <c r="DB30">
        <f t="shared" si="4"/>
        <v>0</v>
      </c>
      <c r="DC30">
        <f t="shared" si="5"/>
        <v>0</v>
      </c>
    </row>
    <row r="31" spans="1:107" x14ac:dyDescent="0.2">
      <c r="A31">
        <f>ROW(Source!A29)</f>
        <v>29</v>
      </c>
      <c r="B31">
        <v>939971440</v>
      </c>
      <c r="C31">
        <v>939971569</v>
      </c>
      <c r="D31">
        <v>338036985</v>
      </c>
      <c r="E31">
        <v>1</v>
      </c>
      <c r="F31">
        <v>1</v>
      </c>
      <c r="G31">
        <v>1</v>
      </c>
      <c r="H31">
        <v>2</v>
      </c>
      <c r="I31" t="s">
        <v>396</v>
      </c>
      <c r="J31" t="s">
        <v>397</v>
      </c>
      <c r="K31" t="s">
        <v>398</v>
      </c>
      <c r="L31">
        <v>1368</v>
      </c>
      <c r="N31">
        <v>91022270</v>
      </c>
      <c r="O31" t="s">
        <v>371</v>
      </c>
      <c r="P31" t="s">
        <v>371</v>
      </c>
      <c r="Q31">
        <v>1</v>
      </c>
      <c r="W31">
        <v>0</v>
      </c>
      <c r="X31">
        <v>344519037</v>
      </c>
      <c r="Y31">
        <v>1.44</v>
      </c>
      <c r="AA31">
        <v>0</v>
      </c>
      <c r="AB31">
        <v>466.71</v>
      </c>
      <c r="AC31">
        <v>451.71</v>
      </c>
      <c r="AD31">
        <v>0</v>
      </c>
      <c r="AE31">
        <v>0</v>
      </c>
      <c r="AF31">
        <v>31.26</v>
      </c>
      <c r="AG31">
        <v>13.5</v>
      </c>
      <c r="AH31">
        <v>0</v>
      </c>
      <c r="AI31">
        <v>1</v>
      </c>
      <c r="AJ31">
        <v>14.93</v>
      </c>
      <c r="AK31">
        <v>33.46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T31">
        <v>1.44</v>
      </c>
      <c r="AV31">
        <v>0</v>
      </c>
      <c r="AW31">
        <v>2</v>
      </c>
      <c r="AX31">
        <v>939976142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0.67391999999999996</v>
      </c>
      <c r="CY31">
        <f>AB31</f>
        <v>466.71</v>
      </c>
      <c r="CZ31">
        <f>AF31</f>
        <v>31.26</v>
      </c>
      <c r="DA31">
        <f>AJ31</f>
        <v>14.93</v>
      </c>
      <c r="DB31">
        <f t="shared" si="4"/>
        <v>45.01</v>
      </c>
      <c r="DC31">
        <f t="shared" si="5"/>
        <v>19.440000000000001</v>
      </c>
    </row>
    <row r="32" spans="1:107" x14ac:dyDescent="0.2">
      <c r="A32">
        <f>ROW(Source!A29)</f>
        <v>29</v>
      </c>
      <c r="B32">
        <v>939971440</v>
      </c>
      <c r="C32">
        <v>939971569</v>
      </c>
      <c r="D32">
        <v>338028778</v>
      </c>
      <c r="E32">
        <v>1</v>
      </c>
      <c r="F32">
        <v>1</v>
      </c>
      <c r="G32">
        <v>1</v>
      </c>
      <c r="H32">
        <v>3</v>
      </c>
      <c r="I32" t="s">
        <v>126</v>
      </c>
      <c r="J32" t="s">
        <v>127</v>
      </c>
      <c r="K32" t="s">
        <v>77</v>
      </c>
      <c r="L32">
        <v>1348</v>
      </c>
      <c r="N32">
        <v>39568864</v>
      </c>
      <c r="O32" t="s">
        <v>26</v>
      </c>
      <c r="P32" t="s">
        <v>26</v>
      </c>
      <c r="Q32">
        <v>1000</v>
      </c>
      <c r="W32">
        <v>0</v>
      </c>
      <c r="X32">
        <v>1876412176</v>
      </c>
      <c r="Y32">
        <v>5.2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0</v>
      </c>
      <c r="AP32">
        <v>0</v>
      </c>
      <c r="AQ32">
        <v>0</v>
      </c>
      <c r="AR32">
        <v>0</v>
      </c>
      <c r="AT32">
        <v>5.2</v>
      </c>
      <c r="AV32">
        <v>0</v>
      </c>
      <c r="AW32">
        <v>2</v>
      </c>
      <c r="AX32">
        <v>939976143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Y32*Source!I29</f>
        <v>2.4336000000000002</v>
      </c>
      <c r="CY32">
        <f>AA32</f>
        <v>0</v>
      </c>
      <c r="CZ32">
        <f>AE32</f>
        <v>0</v>
      </c>
      <c r="DA32">
        <f>AI32</f>
        <v>1</v>
      </c>
      <c r="DB32">
        <f t="shared" si="4"/>
        <v>0</v>
      </c>
      <c r="DC32">
        <f t="shared" si="5"/>
        <v>0</v>
      </c>
    </row>
    <row r="33" spans="1:107" x14ac:dyDescent="0.2">
      <c r="A33">
        <f>ROW(Source!A32)</f>
        <v>32</v>
      </c>
      <c r="B33">
        <v>939971439</v>
      </c>
      <c r="C33">
        <v>939971579</v>
      </c>
      <c r="D33">
        <v>37772686</v>
      </c>
      <c r="E33">
        <v>1</v>
      </c>
      <c r="F33">
        <v>1</v>
      </c>
      <c r="G33">
        <v>1</v>
      </c>
      <c r="H33">
        <v>1</v>
      </c>
      <c r="I33" t="s">
        <v>394</v>
      </c>
      <c r="K33" t="s">
        <v>395</v>
      </c>
      <c r="L33">
        <v>1369</v>
      </c>
      <c r="N33">
        <v>1013</v>
      </c>
      <c r="O33" t="s">
        <v>365</v>
      </c>
      <c r="P33" t="s">
        <v>365</v>
      </c>
      <c r="Q33">
        <v>1</v>
      </c>
      <c r="W33">
        <v>0</v>
      </c>
      <c r="X33">
        <v>-931037793</v>
      </c>
      <c r="Y33">
        <v>111.2</v>
      </c>
      <c r="AA33">
        <v>0</v>
      </c>
      <c r="AB33">
        <v>0</v>
      </c>
      <c r="AC33">
        <v>0</v>
      </c>
      <c r="AD33">
        <v>8.5299999999999994</v>
      </c>
      <c r="AE33">
        <v>0</v>
      </c>
      <c r="AF33">
        <v>0</v>
      </c>
      <c r="AG33">
        <v>0</v>
      </c>
      <c r="AH33">
        <v>8.5299999999999994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T33">
        <v>111.2</v>
      </c>
      <c r="AV33">
        <v>1</v>
      </c>
      <c r="AW33">
        <v>2</v>
      </c>
      <c r="AX33">
        <v>939976147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Y33*Source!I32</f>
        <v>52.041600000000003</v>
      </c>
      <c r="CY33">
        <f>AD33</f>
        <v>8.5299999999999994</v>
      </c>
      <c r="CZ33">
        <f>AH33</f>
        <v>8.5299999999999994</v>
      </c>
      <c r="DA33">
        <f>AL33</f>
        <v>1</v>
      </c>
      <c r="DB33">
        <f t="shared" si="4"/>
        <v>948.54</v>
      </c>
      <c r="DC33">
        <f t="shared" si="5"/>
        <v>0</v>
      </c>
    </row>
    <row r="34" spans="1:107" x14ac:dyDescent="0.2">
      <c r="A34">
        <f>ROW(Source!A32)</f>
        <v>32</v>
      </c>
      <c r="B34">
        <v>939971439</v>
      </c>
      <c r="C34">
        <v>939971579</v>
      </c>
      <c r="D34">
        <v>121548</v>
      </c>
      <c r="E34">
        <v>1</v>
      </c>
      <c r="F34">
        <v>1</v>
      </c>
      <c r="G34">
        <v>1</v>
      </c>
      <c r="H34">
        <v>1</v>
      </c>
      <c r="I34" t="s">
        <v>9</v>
      </c>
      <c r="K34" t="s">
        <v>366</v>
      </c>
      <c r="L34">
        <v>608254</v>
      </c>
      <c r="N34">
        <v>1013</v>
      </c>
      <c r="O34" t="s">
        <v>367</v>
      </c>
      <c r="P34" t="s">
        <v>367</v>
      </c>
      <c r="Q34">
        <v>1</v>
      </c>
      <c r="W34">
        <v>0</v>
      </c>
      <c r="X34">
        <v>-185737400</v>
      </c>
      <c r="Y34">
        <v>21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T34">
        <v>21</v>
      </c>
      <c r="AV34">
        <v>2</v>
      </c>
      <c r="AW34">
        <v>2</v>
      </c>
      <c r="AX34">
        <v>939976148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Y34*Source!I32</f>
        <v>9.8280000000000012</v>
      </c>
      <c r="CY34">
        <f>AD34</f>
        <v>0</v>
      </c>
      <c r="CZ34">
        <f>AH34</f>
        <v>0</v>
      </c>
      <c r="DA34">
        <f>AL34</f>
        <v>1</v>
      </c>
      <c r="DB34">
        <f t="shared" si="4"/>
        <v>0</v>
      </c>
      <c r="DC34">
        <f t="shared" si="5"/>
        <v>0</v>
      </c>
    </row>
    <row r="35" spans="1:107" x14ac:dyDescent="0.2">
      <c r="A35">
        <f>ROW(Source!A32)</f>
        <v>32</v>
      </c>
      <c r="B35">
        <v>939971439</v>
      </c>
      <c r="C35">
        <v>939971579</v>
      </c>
      <c r="D35">
        <v>338036985</v>
      </c>
      <c r="E35">
        <v>1</v>
      </c>
      <c r="F35">
        <v>1</v>
      </c>
      <c r="G35">
        <v>1</v>
      </c>
      <c r="H35">
        <v>2</v>
      </c>
      <c r="I35" t="s">
        <v>396</v>
      </c>
      <c r="J35" t="s">
        <v>397</v>
      </c>
      <c r="K35" t="s">
        <v>398</v>
      </c>
      <c r="L35">
        <v>1368</v>
      </c>
      <c r="N35">
        <v>91022270</v>
      </c>
      <c r="O35" t="s">
        <v>371</v>
      </c>
      <c r="P35" t="s">
        <v>371</v>
      </c>
      <c r="Q35">
        <v>1</v>
      </c>
      <c r="W35">
        <v>0</v>
      </c>
      <c r="X35">
        <v>344519037</v>
      </c>
      <c r="Y35">
        <v>1.8</v>
      </c>
      <c r="AA35">
        <v>0</v>
      </c>
      <c r="AB35">
        <v>31.26</v>
      </c>
      <c r="AC35">
        <v>13.5</v>
      </c>
      <c r="AD35">
        <v>0</v>
      </c>
      <c r="AE35">
        <v>0</v>
      </c>
      <c r="AF35">
        <v>31.26</v>
      </c>
      <c r="AG35">
        <v>13.5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T35">
        <v>1.8</v>
      </c>
      <c r="AV35">
        <v>0</v>
      </c>
      <c r="AW35">
        <v>2</v>
      </c>
      <c r="AX35">
        <v>939976149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Y35*Source!I32</f>
        <v>0.84240000000000004</v>
      </c>
      <c r="CY35">
        <f>AB35</f>
        <v>31.26</v>
      </c>
      <c r="CZ35">
        <f>AF35</f>
        <v>31.26</v>
      </c>
      <c r="DA35">
        <f>AJ35</f>
        <v>1</v>
      </c>
      <c r="DB35">
        <f t="shared" si="4"/>
        <v>56.27</v>
      </c>
      <c r="DC35">
        <f t="shared" si="5"/>
        <v>24.3</v>
      </c>
    </row>
    <row r="36" spans="1:107" x14ac:dyDescent="0.2">
      <c r="A36">
        <f>ROW(Source!A32)</f>
        <v>32</v>
      </c>
      <c r="B36">
        <v>939971439</v>
      </c>
      <c r="C36">
        <v>939971579</v>
      </c>
      <c r="D36">
        <v>338037139</v>
      </c>
      <c r="E36">
        <v>1</v>
      </c>
      <c r="F36">
        <v>1</v>
      </c>
      <c r="G36">
        <v>1</v>
      </c>
      <c r="H36">
        <v>2</v>
      </c>
      <c r="I36" t="s">
        <v>399</v>
      </c>
      <c r="J36" t="s">
        <v>400</v>
      </c>
      <c r="K36" t="s">
        <v>401</v>
      </c>
      <c r="L36">
        <v>1368</v>
      </c>
      <c r="N36">
        <v>91022270</v>
      </c>
      <c r="O36" t="s">
        <v>371</v>
      </c>
      <c r="P36" t="s">
        <v>371</v>
      </c>
      <c r="Q36">
        <v>1</v>
      </c>
      <c r="W36">
        <v>0</v>
      </c>
      <c r="X36">
        <v>315863809</v>
      </c>
      <c r="Y36">
        <v>19.2</v>
      </c>
      <c r="AA36">
        <v>0</v>
      </c>
      <c r="AB36">
        <v>46.56</v>
      </c>
      <c r="AC36">
        <v>10.06</v>
      </c>
      <c r="AD36">
        <v>0</v>
      </c>
      <c r="AE36">
        <v>0</v>
      </c>
      <c r="AF36">
        <v>46.56</v>
      </c>
      <c r="AG36">
        <v>10.06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T36">
        <v>19.2</v>
      </c>
      <c r="AV36">
        <v>0</v>
      </c>
      <c r="AW36">
        <v>2</v>
      </c>
      <c r="AX36">
        <v>939976150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Y36*Source!I32</f>
        <v>8.9855999999999998</v>
      </c>
      <c r="CY36">
        <f>AB36</f>
        <v>46.56</v>
      </c>
      <c r="CZ36">
        <f>AF36</f>
        <v>46.56</v>
      </c>
      <c r="DA36">
        <f>AJ36</f>
        <v>1</v>
      </c>
      <c r="DB36">
        <f t="shared" si="4"/>
        <v>893.95</v>
      </c>
      <c r="DC36">
        <f t="shared" si="5"/>
        <v>193.15</v>
      </c>
    </row>
    <row r="37" spans="1:107" x14ac:dyDescent="0.2">
      <c r="A37">
        <f>ROW(Source!A32)</f>
        <v>32</v>
      </c>
      <c r="B37">
        <v>939971439</v>
      </c>
      <c r="C37">
        <v>939971579</v>
      </c>
      <c r="D37">
        <v>338038962</v>
      </c>
      <c r="E37">
        <v>1</v>
      </c>
      <c r="F37">
        <v>1</v>
      </c>
      <c r="G37">
        <v>1</v>
      </c>
      <c r="H37">
        <v>2</v>
      </c>
      <c r="I37" t="s">
        <v>402</v>
      </c>
      <c r="J37" t="s">
        <v>403</v>
      </c>
      <c r="K37" t="s">
        <v>404</v>
      </c>
      <c r="L37">
        <v>1368</v>
      </c>
      <c r="N37">
        <v>91022270</v>
      </c>
      <c r="O37" t="s">
        <v>371</v>
      </c>
      <c r="P37" t="s">
        <v>371</v>
      </c>
      <c r="Q37">
        <v>1</v>
      </c>
      <c r="W37">
        <v>0</v>
      </c>
      <c r="X37">
        <v>-2071518695</v>
      </c>
      <c r="Y37">
        <v>38.4</v>
      </c>
      <c r="AA37">
        <v>0</v>
      </c>
      <c r="AB37">
        <v>1.53</v>
      </c>
      <c r="AC37">
        <v>0</v>
      </c>
      <c r="AD37">
        <v>0</v>
      </c>
      <c r="AE37">
        <v>0</v>
      </c>
      <c r="AF37">
        <v>1.53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T37">
        <v>38.4</v>
      </c>
      <c r="AV37">
        <v>0</v>
      </c>
      <c r="AW37">
        <v>2</v>
      </c>
      <c r="AX37">
        <v>939976151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Y37*Source!I32</f>
        <v>17.9712</v>
      </c>
      <c r="CY37">
        <f>AB37</f>
        <v>1.53</v>
      </c>
      <c r="CZ37">
        <f>AF37</f>
        <v>1.53</v>
      </c>
      <c r="DA37">
        <f>AJ37</f>
        <v>1</v>
      </c>
      <c r="DB37">
        <f t="shared" si="4"/>
        <v>58.75</v>
      </c>
      <c r="DC37">
        <f t="shared" si="5"/>
        <v>0</v>
      </c>
    </row>
    <row r="38" spans="1:107" x14ac:dyDescent="0.2">
      <c r="A38">
        <f>ROW(Source!A32)</f>
        <v>32</v>
      </c>
      <c r="B38">
        <v>939971439</v>
      </c>
      <c r="C38">
        <v>939971579</v>
      </c>
      <c r="D38">
        <v>338028778</v>
      </c>
      <c r="E38">
        <v>1</v>
      </c>
      <c r="F38">
        <v>1</v>
      </c>
      <c r="G38">
        <v>1</v>
      </c>
      <c r="H38">
        <v>3</v>
      </c>
      <c r="I38" t="s">
        <v>126</v>
      </c>
      <c r="J38" t="s">
        <v>127</v>
      </c>
      <c r="K38" t="s">
        <v>77</v>
      </c>
      <c r="L38">
        <v>1348</v>
      </c>
      <c r="N38">
        <v>39568864</v>
      </c>
      <c r="O38" t="s">
        <v>26</v>
      </c>
      <c r="P38" t="s">
        <v>26</v>
      </c>
      <c r="Q38">
        <v>1000</v>
      </c>
      <c r="W38">
        <v>0</v>
      </c>
      <c r="X38">
        <v>1876412176</v>
      </c>
      <c r="Y38">
        <v>6.6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0</v>
      </c>
      <c r="AP38">
        <v>0</v>
      </c>
      <c r="AQ38">
        <v>0</v>
      </c>
      <c r="AR38">
        <v>0</v>
      </c>
      <c r="AT38">
        <v>6.6</v>
      </c>
      <c r="AV38">
        <v>0</v>
      </c>
      <c r="AW38">
        <v>2</v>
      </c>
      <c r="AX38">
        <v>939976152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Y38*Source!I32</f>
        <v>3.0888</v>
      </c>
      <c r="CY38">
        <f>AA38</f>
        <v>0</v>
      </c>
      <c r="CZ38">
        <f>AE38</f>
        <v>0</v>
      </c>
      <c r="DA38">
        <f>AI38</f>
        <v>1</v>
      </c>
      <c r="DB38">
        <f t="shared" si="4"/>
        <v>0</v>
      </c>
      <c r="DC38">
        <f t="shared" si="5"/>
        <v>0</v>
      </c>
    </row>
    <row r="39" spans="1:107" x14ac:dyDescent="0.2">
      <c r="A39">
        <f>ROW(Source!A33)</f>
        <v>33</v>
      </c>
      <c r="B39">
        <v>939971440</v>
      </c>
      <c r="C39">
        <v>939971579</v>
      </c>
      <c r="D39">
        <v>37772686</v>
      </c>
      <c r="E39">
        <v>1</v>
      </c>
      <c r="F39">
        <v>1</v>
      </c>
      <c r="G39">
        <v>1</v>
      </c>
      <c r="H39">
        <v>1</v>
      </c>
      <c r="I39" t="s">
        <v>394</v>
      </c>
      <c r="K39" t="s">
        <v>395</v>
      </c>
      <c r="L39">
        <v>1369</v>
      </c>
      <c r="N39">
        <v>1013</v>
      </c>
      <c r="O39" t="s">
        <v>365</v>
      </c>
      <c r="P39" t="s">
        <v>365</v>
      </c>
      <c r="Q39">
        <v>1</v>
      </c>
      <c r="W39">
        <v>0</v>
      </c>
      <c r="X39">
        <v>-931037793</v>
      </c>
      <c r="Y39">
        <v>111.2</v>
      </c>
      <c r="AA39">
        <v>0</v>
      </c>
      <c r="AB39">
        <v>0</v>
      </c>
      <c r="AC39">
        <v>0</v>
      </c>
      <c r="AD39">
        <v>8.5299999999999994</v>
      </c>
      <c r="AE39">
        <v>0</v>
      </c>
      <c r="AF39">
        <v>0</v>
      </c>
      <c r="AG39">
        <v>0</v>
      </c>
      <c r="AH39">
        <v>8.5299999999999994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T39">
        <v>111.2</v>
      </c>
      <c r="AV39">
        <v>1</v>
      </c>
      <c r="AW39">
        <v>2</v>
      </c>
      <c r="AX39">
        <v>939976147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Y39*Source!I33</f>
        <v>52.041600000000003</v>
      </c>
      <c r="CY39">
        <f>AD39</f>
        <v>8.5299999999999994</v>
      </c>
      <c r="CZ39">
        <f>AH39</f>
        <v>8.5299999999999994</v>
      </c>
      <c r="DA39">
        <f>AL39</f>
        <v>1</v>
      </c>
      <c r="DB39">
        <f t="shared" si="4"/>
        <v>948.54</v>
      </c>
      <c r="DC39">
        <f t="shared" si="5"/>
        <v>0</v>
      </c>
    </row>
    <row r="40" spans="1:107" x14ac:dyDescent="0.2">
      <c r="A40">
        <f>ROW(Source!A33)</f>
        <v>33</v>
      </c>
      <c r="B40">
        <v>939971440</v>
      </c>
      <c r="C40">
        <v>939971579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9</v>
      </c>
      <c r="K40" t="s">
        <v>366</v>
      </c>
      <c r="L40">
        <v>608254</v>
      </c>
      <c r="N40">
        <v>1013</v>
      </c>
      <c r="O40" t="s">
        <v>367</v>
      </c>
      <c r="P40" t="s">
        <v>367</v>
      </c>
      <c r="Q40">
        <v>1</v>
      </c>
      <c r="W40">
        <v>0</v>
      </c>
      <c r="X40">
        <v>-185737400</v>
      </c>
      <c r="Y40">
        <v>21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T40">
        <v>21</v>
      </c>
      <c r="AV40">
        <v>2</v>
      </c>
      <c r="AW40">
        <v>2</v>
      </c>
      <c r="AX40">
        <v>939976148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Y40*Source!I33</f>
        <v>9.8280000000000012</v>
      </c>
      <c r="CY40">
        <f>AD40</f>
        <v>0</v>
      </c>
      <c r="CZ40">
        <f>AH40</f>
        <v>0</v>
      </c>
      <c r="DA40">
        <f>AL40</f>
        <v>1</v>
      </c>
      <c r="DB40">
        <f t="shared" si="4"/>
        <v>0</v>
      </c>
      <c r="DC40">
        <f t="shared" si="5"/>
        <v>0</v>
      </c>
    </row>
    <row r="41" spans="1:107" x14ac:dyDescent="0.2">
      <c r="A41">
        <f>ROW(Source!A33)</f>
        <v>33</v>
      </c>
      <c r="B41">
        <v>939971440</v>
      </c>
      <c r="C41">
        <v>939971579</v>
      </c>
      <c r="D41">
        <v>338036985</v>
      </c>
      <c r="E41">
        <v>1</v>
      </c>
      <c r="F41">
        <v>1</v>
      </c>
      <c r="G41">
        <v>1</v>
      </c>
      <c r="H41">
        <v>2</v>
      </c>
      <c r="I41" t="s">
        <v>396</v>
      </c>
      <c r="J41" t="s">
        <v>397</v>
      </c>
      <c r="K41" t="s">
        <v>398</v>
      </c>
      <c r="L41">
        <v>1368</v>
      </c>
      <c r="N41">
        <v>91022270</v>
      </c>
      <c r="O41" t="s">
        <v>371</v>
      </c>
      <c r="P41" t="s">
        <v>371</v>
      </c>
      <c r="Q41">
        <v>1</v>
      </c>
      <c r="W41">
        <v>0</v>
      </c>
      <c r="X41">
        <v>344519037</v>
      </c>
      <c r="Y41">
        <v>1.8</v>
      </c>
      <c r="AA41">
        <v>0</v>
      </c>
      <c r="AB41">
        <v>466.71</v>
      </c>
      <c r="AC41">
        <v>451.71</v>
      </c>
      <c r="AD41">
        <v>0</v>
      </c>
      <c r="AE41">
        <v>0</v>
      </c>
      <c r="AF41">
        <v>31.26</v>
      </c>
      <c r="AG41">
        <v>13.5</v>
      </c>
      <c r="AH41">
        <v>0</v>
      </c>
      <c r="AI41">
        <v>1</v>
      </c>
      <c r="AJ41">
        <v>14.93</v>
      </c>
      <c r="AK41">
        <v>33.46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T41">
        <v>1.8</v>
      </c>
      <c r="AV41">
        <v>0</v>
      </c>
      <c r="AW41">
        <v>2</v>
      </c>
      <c r="AX41">
        <v>939976149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Y41*Source!I33</f>
        <v>0.84240000000000004</v>
      </c>
      <c r="CY41">
        <f>AB41</f>
        <v>466.71</v>
      </c>
      <c r="CZ41">
        <f>AF41</f>
        <v>31.26</v>
      </c>
      <c r="DA41">
        <f>AJ41</f>
        <v>14.93</v>
      </c>
      <c r="DB41">
        <f t="shared" si="4"/>
        <v>56.27</v>
      </c>
      <c r="DC41">
        <f t="shared" si="5"/>
        <v>24.3</v>
      </c>
    </row>
    <row r="42" spans="1:107" x14ac:dyDescent="0.2">
      <c r="A42">
        <f>ROW(Source!A33)</f>
        <v>33</v>
      </c>
      <c r="B42">
        <v>939971440</v>
      </c>
      <c r="C42">
        <v>939971579</v>
      </c>
      <c r="D42">
        <v>338037139</v>
      </c>
      <c r="E42">
        <v>1</v>
      </c>
      <c r="F42">
        <v>1</v>
      </c>
      <c r="G42">
        <v>1</v>
      </c>
      <c r="H42">
        <v>2</v>
      </c>
      <c r="I42" t="s">
        <v>399</v>
      </c>
      <c r="J42" t="s">
        <v>400</v>
      </c>
      <c r="K42" t="s">
        <v>401</v>
      </c>
      <c r="L42">
        <v>1368</v>
      </c>
      <c r="N42">
        <v>91022270</v>
      </c>
      <c r="O42" t="s">
        <v>371</v>
      </c>
      <c r="P42" t="s">
        <v>371</v>
      </c>
      <c r="Q42">
        <v>1</v>
      </c>
      <c r="W42">
        <v>0</v>
      </c>
      <c r="X42">
        <v>315863809</v>
      </c>
      <c r="Y42">
        <v>19.2</v>
      </c>
      <c r="AA42">
        <v>0</v>
      </c>
      <c r="AB42">
        <v>539.16</v>
      </c>
      <c r="AC42">
        <v>336.61</v>
      </c>
      <c r="AD42">
        <v>0</v>
      </c>
      <c r="AE42">
        <v>0</v>
      </c>
      <c r="AF42">
        <v>46.56</v>
      </c>
      <c r="AG42">
        <v>10.06</v>
      </c>
      <c r="AH42">
        <v>0</v>
      </c>
      <c r="AI42">
        <v>1</v>
      </c>
      <c r="AJ42">
        <v>11.58</v>
      </c>
      <c r="AK42">
        <v>33.46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T42">
        <v>19.2</v>
      </c>
      <c r="AV42">
        <v>0</v>
      </c>
      <c r="AW42">
        <v>2</v>
      </c>
      <c r="AX42">
        <v>939976150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Y42*Source!I33</f>
        <v>8.9855999999999998</v>
      </c>
      <c r="CY42">
        <f>AB42</f>
        <v>539.16</v>
      </c>
      <c r="CZ42">
        <f>AF42</f>
        <v>46.56</v>
      </c>
      <c r="DA42">
        <f>AJ42</f>
        <v>11.58</v>
      </c>
      <c r="DB42">
        <f t="shared" si="4"/>
        <v>893.95</v>
      </c>
      <c r="DC42">
        <f t="shared" si="5"/>
        <v>193.15</v>
      </c>
    </row>
    <row r="43" spans="1:107" x14ac:dyDescent="0.2">
      <c r="A43">
        <f>ROW(Source!A33)</f>
        <v>33</v>
      </c>
      <c r="B43">
        <v>939971440</v>
      </c>
      <c r="C43">
        <v>939971579</v>
      </c>
      <c r="D43">
        <v>338038962</v>
      </c>
      <c r="E43">
        <v>1</v>
      </c>
      <c r="F43">
        <v>1</v>
      </c>
      <c r="G43">
        <v>1</v>
      </c>
      <c r="H43">
        <v>2</v>
      </c>
      <c r="I43" t="s">
        <v>402</v>
      </c>
      <c r="J43" t="s">
        <v>403</v>
      </c>
      <c r="K43" t="s">
        <v>404</v>
      </c>
      <c r="L43">
        <v>1368</v>
      </c>
      <c r="N43">
        <v>91022270</v>
      </c>
      <c r="O43" t="s">
        <v>371</v>
      </c>
      <c r="P43" t="s">
        <v>371</v>
      </c>
      <c r="Q43">
        <v>1</v>
      </c>
      <c r="W43">
        <v>0</v>
      </c>
      <c r="X43">
        <v>-2071518695</v>
      </c>
      <c r="Y43">
        <v>38.4</v>
      </c>
      <c r="AA43">
        <v>0</v>
      </c>
      <c r="AB43">
        <v>5.0599999999999996</v>
      </c>
      <c r="AC43">
        <v>0</v>
      </c>
      <c r="AD43">
        <v>0</v>
      </c>
      <c r="AE43">
        <v>0</v>
      </c>
      <c r="AF43">
        <v>1.53</v>
      </c>
      <c r="AG43">
        <v>0</v>
      </c>
      <c r="AH43">
        <v>0</v>
      </c>
      <c r="AI43">
        <v>1</v>
      </c>
      <c r="AJ43">
        <v>3.31</v>
      </c>
      <c r="AK43">
        <v>33.46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T43">
        <v>38.4</v>
      </c>
      <c r="AV43">
        <v>0</v>
      </c>
      <c r="AW43">
        <v>2</v>
      </c>
      <c r="AX43">
        <v>939976151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Y43*Source!I33</f>
        <v>17.9712</v>
      </c>
      <c r="CY43">
        <f>AB43</f>
        <v>5.0599999999999996</v>
      </c>
      <c r="CZ43">
        <f>AF43</f>
        <v>1.53</v>
      </c>
      <c r="DA43">
        <f>AJ43</f>
        <v>3.31</v>
      </c>
      <c r="DB43">
        <f t="shared" si="4"/>
        <v>58.75</v>
      </c>
      <c r="DC43">
        <f t="shared" si="5"/>
        <v>0</v>
      </c>
    </row>
    <row r="44" spans="1:107" x14ac:dyDescent="0.2">
      <c r="A44">
        <f>ROW(Source!A33)</f>
        <v>33</v>
      </c>
      <c r="B44">
        <v>939971440</v>
      </c>
      <c r="C44">
        <v>939971579</v>
      </c>
      <c r="D44">
        <v>338028778</v>
      </c>
      <c r="E44">
        <v>1</v>
      </c>
      <c r="F44">
        <v>1</v>
      </c>
      <c r="G44">
        <v>1</v>
      </c>
      <c r="H44">
        <v>3</v>
      </c>
      <c r="I44" t="s">
        <v>126</v>
      </c>
      <c r="J44" t="s">
        <v>127</v>
      </c>
      <c r="K44" t="s">
        <v>77</v>
      </c>
      <c r="L44">
        <v>1348</v>
      </c>
      <c r="N44">
        <v>39568864</v>
      </c>
      <c r="O44" t="s">
        <v>26</v>
      </c>
      <c r="P44" t="s">
        <v>26</v>
      </c>
      <c r="Q44">
        <v>1000</v>
      </c>
      <c r="W44">
        <v>0</v>
      </c>
      <c r="X44">
        <v>1876412176</v>
      </c>
      <c r="Y44">
        <v>6.6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0</v>
      </c>
      <c r="AP44">
        <v>0</v>
      </c>
      <c r="AQ44">
        <v>0</v>
      </c>
      <c r="AR44">
        <v>0</v>
      </c>
      <c r="AT44">
        <v>6.6</v>
      </c>
      <c r="AV44">
        <v>0</v>
      </c>
      <c r="AW44">
        <v>2</v>
      </c>
      <c r="AX44">
        <v>939976152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Y44*Source!I33</f>
        <v>3.0888</v>
      </c>
      <c r="CY44">
        <f>AA44</f>
        <v>0</v>
      </c>
      <c r="CZ44">
        <f>AE44</f>
        <v>0</v>
      </c>
      <c r="DA44">
        <f>AI44</f>
        <v>1</v>
      </c>
      <c r="DB44">
        <f t="shared" si="4"/>
        <v>0</v>
      </c>
      <c r="DC44">
        <f t="shared" si="5"/>
        <v>0</v>
      </c>
    </row>
    <row r="45" spans="1:107" x14ac:dyDescent="0.2">
      <c r="A45">
        <f>ROW(Source!A36)</f>
        <v>36</v>
      </c>
      <c r="B45">
        <v>939971439</v>
      </c>
      <c r="C45">
        <v>939971596</v>
      </c>
      <c r="D45">
        <v>37772686</v>
      </c>
      <c r="E45">
        <v>1</v>
      </c>
      <c r="F45">
        <v>1</v>
      </c>
      <c r="G45">
        <v>1</v>
      </c>
      <c r="H45">
        <v>1</v>
      </c>
      <c r="I45" t="s">
        <v>394</v>
      </c>
      <c r="K45" t="s">
        <v>395</v>
      </c>
      <c r="L45">
        <v>1369</v>
      </c>
      <c r="N45">
        <v>1013</v>
      </c>
      <c r="O45" t="s">
        <v>365</v>
      </c>
      <c r="P45" t="s">
        <v>365</v>
      </c>
      <c r="Q45">
        <v>1</v>
      </c>
      <c r="W45">
        <v>0</v>
      </c>
      <c r="X45">
        <v>-931037793</v>
      </c>
      <c r="Y45">
        <v>92.12</v>
      </c>
      <c r="AA45">
        <v>0</v>
      </c>
      <c r="AB45">
        <v>0</v>
      </c>
      <c r="AC45">
        <v>0</v>
      </c>
      <c r="AD45">
        <v>8.5299999999999994</v>
      </c>
      <c r="AE45">
        <v>0</v>
      </c>
      <c r="AF45">
        <v>0</v>
      </c>
      <c r="AG45">
        <v>0</v>
      </c>
      <c r="AH45">
        <v>8.5299999999999994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T45">
        <v>92.12</v>
      </c>
      <c r="AV45">
        <v>1</v>
      </c>
      <c r="AW45">
        <v>2</v>
      </c>
      <c r="AX45">
        <v>939976155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46.520600000000002</v>
      </c>
      <c r="CY45">
        <f>AD45</f>
        <v>8.5299999999999994</v>
      </c>
      <c r="CZ45">
        <f>AH45</f>
        <v>8.5299999999999994</v>
      </c>
      <c r="DA45">
        <f>AL45</f>
        <v>1</v>
      </c>
      <c r="DB45">
        <f t="shared" si="4"/>
        <v>785.78</v>
      </c>
      <c r="DC45">
        <f t="shared" si="5"/>
        <v>0</v>
      </c>
    </row>
    <row r="46" spans="1:107" x14ac:dyDescent="0.2">
      <c r="A46">
        <f>ROW(Source!A36)</f>
        <v>36</v>
      </c>
      <c r="B46">
        <v>939971439</v>
      </c>
      <c r="C46">
        <v>939971596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9</v>
      </c>
      <c r="K46" t="s">
        <v>366</v>
      </c>
      <c r="L46">
        <v>608254</v>
      </c>
      <c r="N46">
        <v>1013</v>
      </c>
      <c r="O46" t="s">
        <v>367</v>
      </c>
      <c r="P46" t="s">
        <v>367</v>
      </c>
      <c r="Q46">
        <v>1</v>
      </c>
      <c r="W46">
        <v>0</v>
      </c>
      <c r="X46">
        <v>-185737400</v>
      </c>
      <c r="Y46">
        <v>1.28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T46">
        <v>1.28</v>
      </c>
      <c r="AV46">
        <v>2</v>
      </c>
      <c r="AW46">
        <v>2</v>
      </c>
      <c r="AX46">
        <v>939976156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0.64639999999999997</v>
      </c>
      <c r="CY46">
        <f>AD46</f>
        <v>0</v>
      </c>
      <c r="CZ46">
        <f>AH46</f>
        <v>0</v>
      </c>
      <c r="DA46">
        <f>AL46</f>
        <v>1</v>
      </c>
      <c r="DB46">
        <f t="shared" si="4"/>
        <v>0</v>
      </c>
      <c r="DC46">
        <f t="shared" si="5"/>
        <v>0</v>
      </c>
    </row>
    <row r="47" spans="1:107" x14ac:dyDescent="0.2">
      <c r="A47">
        <f>ROW(Source!A36)</f>
        <v>36</v>
      </c>
      <c r="B47">
        <v>939971439</v>
      </c>
      <c r="C47">
        <v>939971596</v>
      </c>
      <c r="D47">
        <v>338037139</v>
      </c>
      <c r="E47">
        <v>1</v>
      </c>
      <c r="F47">
        <v>1</v>
      </c>
      <c r="G47">
        <v>1</v>
      </c>
      <c r="H47">
        <v>2</v>
      </c>
      <c r="I47" t="s">
        <v>399</v>
      </c>
      <c r="J47" t="s">
        <v>400</v>
      </c>
      <c r="K47" t="s">
        <v>401</v>
      </c>
      <c r="L47">
        <v>1368</v>
      </c>
      <c r="N47">
        <v>91022270</v>
      </c>
      <c r="O47" t="s">
        <v>371</v>
      </c>
      <c r="P47" t="s">
        <v>371</v>
      </c>
      <c r="Q47">
        <v>1</v>
      </c>
      <c r="W47">
        <v>0</v>
      </c>
      <c r="X47">
        <v>315863809</v>
      </c>
      <c r="Y47">
        <v>1.28</v>
      </c>
      <c r="AA47">
        <v>0</v>
      </c>
      <c r="AB47">
        <v>46.56</v>
      </c>
      <c r="AC47">
        <v>10.06</v>
      </c>
      <c r="AD47">
        <v>0</v>
      </c>
      <c r="AE47">
        <v>0</v>
      </c>
      <c r="AF47">
        <v>46.56</v>
      </c>
      <c r="AG47">
        <v>10.06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T47">
        <v>1.28</v>
      </c>
      <c r="AV47">
        <v>0</v>
      </c>
      <c r="AW47">
        <v>2</v>
      </c>
      <c r="AX47">
        <v>939976157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Y47*Source!I36</f>
        <v>0.64639999999999997</v>
      </c>
      <c r="CY47">
        <f>AB47</f>
        <v>46.56</v>
      </c>
      <c r="CZ47">
        <f>AF47</f>
        <v>46.56</v>
      </c>
      <c r="DA47">
        <f>AJ47</f>
        <v>1</v>
      </c>
      <c r="DB47">
        <f t="shared" si="4"/>
        <v>59.6</v>
      </c>
      <c r="DC47">
        <f t="shared" si="5"/>
        <v>12.88</v>
      </c>
    </row>
    <row r="48" spans="1:107" x14ac:dyDescent="0.2">
      <c r="A48">
        <f>ROW(Source!A36)</f>
        <v>36</v>
      </c>
      <c r="B48">
        <v>939971439</v>
      </c>
      <c r="C48">
        <v>939971596</v>
      </c>
      <c r="D48">
        <v>338038962</v>
      </c>
      <c r="E48">
        <v>1</v>
      </c>
      <c r="F48">
        <v>1</v>
      </c>
      <c r="G48">
        <v>1</v>
      </c>
      <c r="H48">
        <v>2</v>
      </c>
      <c r="I48" t="s">
        <v>402</v>
      </c>
      <c r="J48" t="s">
        <v>403</v>
      </c>
      <c r="K48" t="s">
        <v>404</v>
      </c>
      <c r="L48">
        <v>1368</v>
      </c>
      <c r="N48">
        <v>91022270</v>
      </c>
      <c r="O48" t="s">
        <v>371</v>
      </c>
      <c r="P48" t="s">
        <v>371</v>
      </c>
      <c r="Q48">
        <v>1</v>
      </c>
      <c r="W48">
        <v>0</v>
      </c>
      <c r="X48">
        <v>-2071518695</v>
      </c>
      <c r="Y48">
        <v>2.56</v>
      </c>
      <c r="AA48">
        <v>0</v>
      </c>
      <c r="AB48">
        <v>1.53</v>
      </c>
      <c r="AC48">
        <v>0</v>
      </c>
      <c r="AD48">
        <v>0</v>
      </c>
      <c r="AE48">
        <v>0</v>
      </c>
      <c r="AF48">
        <v>1.53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T48">
        <v>2.56</v>
      </c>
      <c r="AV48">
        <v>0</v>
      </c>
      <c r="AW48">
        <v>2</v>
      </c>
      <c r="AX48">
        <v>939976158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Y48*Source!I36</f>
        <v>1.2927999999999999</v>
      </c>
      <c r="CY48">
        <f>AB48</f>
        <v>1.53</v>
      </c>
      <c r="CZ48">
        <f>AF48</f>
        <v>1.53</v>
      </c>
      <c r="DA48">
        <f>AJ48</f>
        <v>1</v>
      </c>
      <c r="DB48">
        <f t="shared" si="4"/>
        <v>3.92</v>
      </c>
      <c r="DC48">
        <f t="shared" si="5"/>
        <v>0</v>
      </c>
    </row>
    <row r="49" spans="1:107" x14ac:dyDescent="0.2">
      <c r="A49">
        <f>ROW(Source!A37)</f>
        <v>37</v>
      </c>
      <c r="B49">
        <v>939971440</v>
      </c>
      <c r="C49">
        <v>939971596</v>
      </c>
      <c r="D49">
        <v>37772686</v>
      </c>
      <c r="E49">
        <v>1</v>
      </c>
      <c r="F49">
        <v>1</v>
      </c>
      <c r="G49">
        <v>1</v>
      </c>
      <c r="H49">
        <v>1</v>
      </c>
      <c r="I49" t="s">
        <v>394</v>
      </c>
      <c r="K49" t="s">
        <v>395</v>
      </c>
      <c r="L49">
        <v>1369</v>
      </c>
      <c r="N49">
        <v>1013</v>
      </c>
      <c r="O49" t="s">
        <v>365</v>
      </c>
      <c r="P49" t="s">
        <v>365</v>
      </c>
      <c r="Q49">
        <v>1</v>
      </c>
      <c r="W49">
        <v>0</v>
      </c>
      <c r="X49">
        <v>-931037793</v>
      </c>
      <c r="Y49">
        <v>92.12</v>
      </c>
      <c r="AA49">
        <v>0</v>
      </c>
      <c r="AB49">
        <v>0</v>
      </c>
      <c r="AC49">
        <v>0</v>
      </c>
      <c r="AD49">
        <v>8.5299999999999994</v>
      </c>
      <c r="AE49">
        <v>0</v>
      </c>
      <c r="AF49">
        <v>0</v>
      </c>
      <c r="AG49">
        <v>0</v>
      </c>
      <c r="AH49">
        <v>8.5299999999999994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T49">
        <v>92.12</v>
      </c>
      <c r="AV49">
        <v>1</v>
      </c>
      <c r="AW49">
        <v>2</v>
      </c>
      <c r="AX49">
        <v>939976155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Y49*Source!I37</f>
        <v>46.520600000000002</v>
      </c>
      <c r="CY49">
        <f>AD49</f>
        <v>8.5299999999999994</v>
      </c>
      <c r="CZ49">
        <f>AH49</f>
        <v>8.5299999999999994</v>
      </c>
      <c r="DA49">
        <f>AL49</f>
        <v>1</v>
      </c>
      <c r="DB49">
        <f t="shared" si="4"/>
        <v>785.78</v>
      </c>
      <c r="DC49">
        <f t="shared" si="5"/>
        <v>0</v>
      </c>
    </row>
    <row r="50" spans="1:107" x14ac:dyDescent="0.2">
      <c r="A50">
        <f>ROW(Source!A37)</f>
        <v>37</v>
      </c>
      <c r="B50">
        <v>939971440</v>
      </c>
      <c r="C50">
        <v>939971596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9</v>
      </c>
      <c r="K50" t="s">
        <v>366</v>
      </c>
      <c r="L50">
        <v>608254</v>
      </c>
      <c r="N50">
        <v>1013</v>
      </c>
      <c r="O50" t="s">
        <v>367</v>
      </c>
      <c r="P50" t="s">
        <v>367</v>
      </c>
      <c r="Q50">
        <v>1</v>
      </c>
      <c r="W50">
        <v>0</v>
      </c>
      <c r="X50">
        <v>-185737400</v>
      </c>
      <c r="Y50">
        <v>1.28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T50">
        <v>1.28</v>
      </c>
      <c r="AV50">
        <v>2</v>
      </c>
      <c r="AW50">
        <v>2</v>
      </c>
      <c r="AX50">
        <v>939976156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Y50*Source!I37</f>
        <v>0.64639999999999997</v>
      </c>
      <c r="CY50">
        <f>AD50</f>
        <v>0</v>
      </c>
      <c r="CZ50">
        <f>AH50</f>
        <v>0</v>
      </c>
      <c r="DA50">
        <f>AL50</f>
        <v>1</v>
      </c>
      <c r="DB50">
        <f t="shared" si="4"/>
        <v>0</v>
      </c>
      <c r="DC50">
        <f t="shared" si="5"/>
        <v>0</v>
      </c>
    </row>
    <row r="51" spans="1:107" x14ac:dyDescent="0.2">
      <c r="A51">
        <f>ROW(Source!A37)</f>
        <v>37</v>
      </c>
      <c r="B51">
        <v>939971440</v>
      </c>
      <c r="C51">
        <v>939971596</v>
      </c>
      <c r="D51">
        <v>338037139</v>
      </c>
      <c r="E51">
        <v>1</v>
      </c>
      <c r="F51">
        <v>1</v>
      </c>
      <c r="G51">
        <v>1</v>
      </c>
      <c r="H51">
        <v>2</v>
      </c>
      <c r="I51" t="s">
        <v>399</v>
      </c>
      <c r="J51" t="s">
        <v>400</v>
      </c>
      <c r="K51" t="s">
        <v>401</v>
      </c>
      <c r="L51">
        <v>1368</v>
      </c>
      <c r="N51">
        <v>91022270</v>
      </c>
      <c r="O51" t="s">
        <v>371</v>
      </c>
      <c r="P51" t="s">
        <v>371</v>
      </c>
      <c r="Q51">
        <v>1</v>
      </c>
      <c r="W51">
        <v>0</v>
      </c>
      <c r="X51">
        <v>315863809</v>
      </c>
      <c r="Y51">
        <v>1.28</v>
      </c>
      <c r="AA51">
        <v>0</v>
      </c>
      <c r="AB51">
        <v>539.16</v>
      </c>
      <c r="AC51">
        <v>336.61</v>
      </c>
      <c r="AD51">
        <v>0</v>
      </c>
      <c r="AE51">
        <v>0</v>
      </c>
      <c r="AF51">
        <v>46.56</v>
      </c>
      <c r="AG51">
        <v>10.06</v>
      </c>
      <c r="AH51">
        <v>0</v>
      </c>
      <c r="AI51">
        <v>1</v>
      </c>
      <c r="AJ51">
        <v>11.58</v>
      </c>
      <c r="AK51">
        <v>33.46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T51">
        <v>1.28</v>
      </c>
      <c r="AV51">
        <v>0</v>
      </c>
      <c r="AW51">
        <v>2</v>
      </c>
      <c r="AX51">
        <v>939976157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Y51*Source!I37</f>
        <v>0.64639999999999997</v>
      </c>
      <c r="CY51">
        <f>AB51</f>
        <v>539.16</v>
      </c>
      <c r="CZ51">
        <f>AF51</f>
        <v>46.56</v>
      </c>
      <c r="DA51">
        <f>AJ51</f>
        <v>11.58</v>
      </c>
      <c r="DB51">
        <f t="shared" si="4"/>
        <v>59.6</v>
      </c>
      <c r="DC51">
        <f t="shared" si="5"/>
        <v>12.88</v>
      </c>
    </row>
    <row r="52" spans="1:107" x14ac:dyDescent="0.2">
      <c r="A52">
        <f>ROW(Source!A37)</f>
        <v>37</v>
      </c>
      <c r="B52">
        <v>939971440</v>
      </c>
      <c r="C52">
        <v>939971596</v>
      </c>
      <c r="D52">
        <v>338038962</v>
      </c>
      <c r="E52">
        <v>1</v>
      </c>
      <c r="F52">
        <v>1</v>
      </c>
      <c r="G52">
        <v>1</v>
      </c>
      <c r="H52">
        <v>2</v>
      </c>
      <c r="I52" t="s">
        <v>402</v>
      </c>
      <c r="J52" t="s">
        <v>403</v>
      </c>
      <c r="K52" t="s">
        <v>404</v>
      </c>
      <c r="L52">
        <v>1368</v>
      </c>
      <c r="N52">
        <v>91022270</v>
      </c>
      <c r="O52" t="s">
        <v>371</v>
      </c>
      <c r="P52" t="s">
        <v>371</v>
      </c>
      <c r="Q52">
        <v>1</v>
      </c>
      <c r="W52">
        <v>0</v>
      </c>
      <c r="X52">
        <v>-2071518695</v>
      </c>
      <c r="Y52">
        <v>2.56</v>
      </c>
      <c r="AA52">
        <v>0</v>
      </c>
      <c r="AB52">
        <v>5.0599999999999996</v>
      </c>
      <c r="AC52">
        <v>0</v>
      </c>
      <c r="AD52">
        <v>0</v>
      </c>
      <c r="AE52">
        <v>0</v>
      </c>
      <c r="AF52">
        <v>1.53</v>
      </c>
      <c r="AG52">
        <v>0</v>
      </c>
      <c r="AH52">
        <v>0</v>
      </c>
      <c r="AI52">
        <v>1</v>
      </c>
      <c r="AJ52">
        <v>3.31</v>
      </c>
      <c r="AK52">
        <v>33.46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T52">
        <v>2.56</v>
      </c>
      <c r="AV52">
        <v>0</v>
      </c>
      <c r="AW52">
        <v>2</v>
      </c>
      <c r="AX52">
        <v>939976158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Y52*Source!I37</f>
        <v>1.2927999999999999</v>
      </c>
      <c r="CY52">
        <f>AB52</f>
        <v>5.0599999999999996</v>
      </c>
      <c r="CZ52">
        <f>AF52</f>
        <v>1.53</v>
      </c>
      <c r="DA52">
        <f>AJ52</f>
        <v>3.31</v>
      </c>
      <c r="DB52">
        <f t="shared" si="4"/>
        <v>3.92</v>
      </c>
      <c r="DC52">
        <f t="shared" si="5"/>
        <v>0</v>
      </c>
    </row>
    <row r="53" spans="1:107" x14ac:dyDescent="0.2">
      <c r="A53">
        <f>ROW(Source!A38)</f>
        <v>38</v>
      </c>
      <c r="B53">
        <v>939971439</v>
      </c>
      <c r="C53">
        <v>939971615</v>
      </c>
      <c r="D53">
        <v>37772340</v>
      </c>
      <c r="E53">
        <v>1</v>
      </c>
      <c r="F53">
        <v>1</v>
      </c>
      <c r="G53">
        <v>1</v>
      </c>
      <c r="H53">
        <v>1</v>
      </c>
      <c r="I53" t="s">
        <v>405</v>
      </c>
      <c r="K53" t="s">
        <v>406</v>
      </c>
      <c r="L53">
        <v>1369</v>
      </c>
      <c r="N53">
        <v>1013</v>
      </c>
      <c r="O53" t="s">
        <v>365</v>
      </c>
      <c r="P53" t="s">
        <v>365</v>
      </c>
      <c r="Q53">
        <v>1</v>
      </c>
      <c r="W53">
        <v>0</v>
      </c>
      <c r="X53">
        <v>254330056</v>
      </c>
      <c r="Y53">
        <v>46.747500000000002</v>
      </c>
      <c r="AA53">
        <v>0</v>
      </c>
      <c r="AB53">
        <v>0</v>
      </c>
      <c r="AC53">
        <v>0</v>
      </c>
      <c r="AD53">
        <v>7.8</v>
      </c>
      <c r="AE53">
        <v>0</v>
      </c>
      <c r="AF53">
        <v>0</v>
      </c>
      <c r="AG53">
        <v>0</v>
      </c>
      <c r="AH53">
        <v>7.8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T53">
        <v>40.65</v>
      </c>
      <c r="AU53" t="s">
        <v>141</v>
      </c>
      <c r="AV53">
        <v>1</v>
      </c>
      <c r="AW53">
        <v>2</v>
      </c>
      <c r="AX53">
        <v>939976159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Y53*Source!I38</f>
        <v>24.916417500000001</v>
      </c>
      <c r="CY53">
        <f>AD53</f>
        <v>7.8</v>
      </c>
      <c r="CZ53">
        <f>AH53</f>
        <v>7.8</v>
      </c>
      <c r="DA53">
        <f>AL53</f>
        <v>1</v>
      </c>
      <c r="DB53">
        <f>ROUND((ROUND(AT53*CZ53,2)*1.15),6)</f>
        <v>364.63049999999998</v>
      </c>
      <c r="DC53">
        <f>ROUND((ROUND(AT53*AG53,2)*1.15),6)</f>
        <v>0</v>
      </c>
    </row>
    <row r="54" spans="1:107" x14ac:dyDescent="0.2">
      <c r="A54">
        <f>ROW(Source!A38)</f>
        <v>38</v>
      </c>
      <c r="B54">
        <v>939971439</v>
      </c>
      <c r="C54">
        <v>939971615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9</v>
      </c>
      <c r="K54" t="s">
        <v>366</v>
      </c>
      <c r="L54">
        <v>608254</v>
      </c>
      <c r="N54">
        <v>1013</v>
      </c>
      <c r="O54" t="s">
        <v>367</v>
      </c>
      <c r="P54" t="s">
        <v>367</v>
      </c>
      <c r="Q54">
        <v>1</v>
      </c>
      <c r="W54">
        <v>0</v>
      </c>
      <c r="X54">
        <v>-185737400</v>
      </c>
      <c r="Y54">
        <v>1.5874999999999999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T54">
        <v>1.27</v>
      </c>
      <c r="AU54" t="s">
        <v>140</v>
      </c>
      <c r="AV54">
        <v>2</v>
      </c>
      <c r="AW54">
        <v>2</v>
      </c>
      <c r="AX54">
        <v>939976160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Y54*Source!I38</f>
        <v>0.84613749999999999</v>
      </c>
      <c r="CY54">
        <f>AD54</f>
        <v>0</v>
      </c>
      <c r="CZ54">
        <f>AH54</f>
        <v>0</v>
      </c>
      <c r="DA54">
        <f>AL54</f>
        <v>1</v>
      </c>
      <c r="DB54">
        <f>ROUND((ROUND(AT54*CZ54,2)*1.25),6)</f>
        <v>0</v>
      </c>
      <c r="DC54">
        <f>ROUND((ROUND(AT54*AG54,2)*1.25),6)</f>
        <v>0</v>
      </c>
    </row>
    <row r="55" spans="1:107" x14ac:dyDescent="0.2">
      <c r="A55">
        <f>ROW(Source!A38)</f>
        <v>38</v>
      </c>
      <c r="B55">
        <v>939971439</v>
      </c>
      <c r="C55">
        <v>939971615</v>
      </c>
      <c r="D55">
        <v>338036985</v>
      </c>
      <c r="E55">
        <v>1</v>
      </c>
      <c r="F55">
        <v>1</v>
      </c>
      <c r="G55">
        <v>1</v>
      </c>
      <c r="H55">
        <v>2</v>
      </c>
      <c r="I55" t="s">
        <v>396</v>
      </c>
      <c r="J55" t="s">
        <v>397</v>
      </c>
      <c r="K55" t="s">
        <v>398</v>
      </c>
      <c r="L55">
        <v>1368</v>
      </c>
      <c r="N55">
        <v>91022270</v>
      </c>
      <c r="O55" t="s">
        <v>371</v>
      </c>
      <c r="P55" t="s">
        <v>371</v>
      </c>
      <c r="Q55">
        <v>1</v>
      </c>
      <c r="W55">
        <v>0</v>
      </c>
      <c r="X55">
        <v>344519037</v>
      </c>
      <c r="Y55">
        <v>1.5874999999999999</v>
      </c>
      <c r="AA55">
        <v>0</v>
      </c>
      <c r="AB55">
        <v>31.26</v>
      </c>
      <c r="AC55">
        <v>13.5</v>
      </c>
      <c r="AD55">
        <v>0</v>
      </c>
      <c r="AE55">
        <v>0</v>
      </c>
      <c r="AF55">
        <v>31.26</v>
      </c>
      <c r="AG55">
        <v>13.5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T55">
        <v>1.27</v>
      </c>
      <c r="AU55" t="s">
        <v>140</v>
      </c>
      <c r="AV55">
        <v>0</v>
      </c>
      <c r="AW55">
        <v>2</v>
      </c>
      <c r="AX55">
        <v>939976161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Y55*Source!I38</f>
        <v>0.84613749999999999</v>
      </c>
      <c r="CY55">
        <f>AB55</f>
        <v>31.26</v>
      </c>
      <c r="CZ55">
        <f>AF55</f>
        <v>31.26</v>
      </c>
      <c r="DA55">
        <f>AJ55</f>
        <v>1</v>
      </c>
      <c r="DB55">
        <f>ROUND((ROUND(AT55*CZ55,2)*1.25),6)</f>
        <v>49.625</v>
      </c>
      <c r="DC55">
        <f>ROUND((ROUND(AT55*AG55,2)*1.25),6)</f>
        <v>21.4375</v>
      </c>
    </row>
    <row r="56" spans="1:107" x14ac:dyDescent="0.2">
      <c r="A56">
        <f>ROW(Source!A38)</f>
        <v>38</v>
      </c>
      <c r="B56">
        <v>939971439</v>
      </c>
      <c r="C56">
        <v>939971615</v>
      </c>
      <c r="D56">
        <v>338037581</v>
      </c>
      <c r="E56">
        <v>1</v>
      </c>
      <c r="F56">
        <v>1</v>
      </c>
      <c r="G56">
        <v>1</v>
      </c>
      <c r="H56">
        <v>2</v>
      </c>
      <c r="I56" t="s">
        <v>407</v>
      </c>
      <c r="J56" t="s">
        <v>408</v>
      </c>
      <c r="K56" t="s">
        <v>409</v>
      </c>
      <c r="L56">
        <v>1368</v>
      </c>
      <c r="N56">
        <v>91022270</v>
      </c>
      <c r="O56" t="s">
        <v>371</v>
      </c>
      <c r="P56" t="s">
        <v>371</v>
      </c>
      <c r="Q56">
        <v>1</v>
      </c>
      <c r="W56">
        <v>0</v>
      </c>
      <c r="X56">
        <v>-944612788</v>
      </c>
      <c r="Y56">
        <v>5.875</v>
      </c>
      <c r="AA56">
        <v>0</v>
      </c>
      <c r="AB56">
        <v>0.5</v>
      </c>
      <c r="AC56">
        <v>0</v>
      </c>
      <c r="AD56">
        <v>0</v>
      </c>
      <c r="AE56">
        <v>0</v>
      </c>
      <c r="AF56">
        <v>0.5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T56">
        <v>4.7</v>
      </c>
      <c r="AU56" t="s">
        <v>140</v>
      </c>
      <c r="AV56">
        <v>0</v>
      </c>
      <c r="AW56">
        <v>2</v>
      </c>
      <c r="AX56">
        <v>939976162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Y56*Source!I38</f>
        <v>3.1313750000000002</v>
      </c>
      <c r="CY56">
        <f>AB56</f>
        <v>0.5</v>
      </c>
      <c r="CZ56">
        <f>AF56</f>
        <v>0.5</v>
      </c>
      <c r="DA56">
        <f>AJ56</f>
        <v>1</v>
      </c>
      <c r="DB56">
        <f>ROUND((ROUND(AT56*CZ56,2)*1.25),6)</f>
        <v>2.9375</v>
      </c>
      <c r="DC56">
        <f>ROUND((ROUND(AT56*AG56,2)*1.25),6)</f>
        <v>0</v>
      </c>
    </row>
    <row r="57" spans="1:107" x14ac:dyDescent="0.2">
      <c r="A57">
        <f>ROW(Source!A38)</f>
        <v>38</v>
      </c>
      <c r="B57">
        <v>939971439</v>
      </c>
      <c r="C57">
        <v>939971615</v>
      </c>
      <c r="D57">
        <v>338009488</v>
      </c>
      <c r="E57">
        <v>1</v>
      </c>
      <c r="F57">
        <v>1</v>
      </c>
      <c r="G57">
        <v>1</v>
      </c>
      <c r="H57">
        <v>3</v>
      </c>
      <c r="I57" t="s">
        <v>145</v>
      </c>
      <c r="J57" t="s">
        <v>146</v>
      </c>
      <c r="K57" t="s">
        <v>82</v>
      </c>
      <c r="L57">
        <v>1339</v>
      </c>
      <c r="N57">
        <v>1007</v>
      </c>
      <c r="O57" t="s">
        <v>20</v>
      </c>
      <c r="P57" t="s">
        <v>20</v>
      </c>
      <c r="Q57">
        <v>1</v>
      </c>
      <c r="W57">
        <v>1</v>
      </c>
      <c r="X57">
        <v>-767198478</v>
      </c>
      <c r="Y57">
        <v>-2.04</v>
      </c>
      <c r="AA57">
        <v>600</v>
      </c>
      <c r="AB57">
        <v>0</v>
      </c>
      <c r="AC57">
        <v>0</v>
      </c>
      <c r="AD57">
        <v>0</v>
      </c>
      <c r="AE57">
        <v>600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T57">
        <v>-2.04</v>
      </c>
      <c r="AV57">
        <v>0</v>
      </c>
      <c r="AW57">
        <v>2</v>
      </c>
      <c r="AX57">
        <v>939976163</v>
      </c>
      <c r="AY57">
        <v>1</v>
      </c>
      <c r="AZ57">
        <v>6144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Y57*Source!I38</f>
        <v>-1.0873200000000001</v>
      </c>
      <c r="CY57">
        <f>AA57</f>
        <v>600</v>
      </c>
      <c r="CZ57">
        <f>AE57</f>
        <v>600</v>
      </c>
      <c r="DA57">
        <f>AI57</f>
        <v>1</v>
      </c>
      <c r="DB57">
        <f>ROUND(ROUND(AT57*CZ57,2),6)</f>
        <v>-1224</v>
      </c>
      <c r="DC57">
        <f>ROUND(ROUND(AT57*AG57,2),6)</f>
        <v>0</v>
      </c>
    </row>
    <row r="58" spans="1:107" x14ac:dyDescent="0.2">
      <c r="A58">
        <f>ROW(Source!A38)</f>
        <v>38</v>
      </c>
      <c r="B58">
        <v>939971439</v>
      </c>
      <c r="C58">
        <v>939971615</v>
      </c>
      <c r="D58">
        <v>338009494</v>
      </c>
      <c r="E58">
        <v>1</v>
      </c>
      <c r="F58">
        <v>1</v>
      </c>
      <c r="G58">
        <v>1</v>
      </c>
      <c r="H58">
        <v>3</v>
      </c>
      <c r="I58" t="s">
        <v>29</v>
      </c>
      <c r="J58" t="s">
        <v>148</v>
      </c>
      <c r="K58" t="s">
        <v>30</v>
      </c>
      <c r="L58">
        <v>1339</v>
      </c>
      <c r="N58">
        <v>1007</v>
      </c>
      <c r="O58" t="s">
        <v>20</v>
      </c>
      <c r="P58" t="s">
        <v>20</v>
      </c>
      <c r="Q58">
        <v>1</v>
      </c>
      <c r="W58">
        <v>0</v>
      </c>
      <c r="X58">
        <v>-1842439743</v>
      </c>
      <c r="Y58">
        <v>2.04</v>
      </c>
      <c r="AA58">
        <v>853.35</v>
      </c>
      <c r="AB58">
        <v>0</v>
      </c>
      <c r="AC58">
        <v>0</v>
      </c>
      <c r="AD58">
        <v>0</v>
      </c>
      <c r="AE58">
        <v>853.35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0</v>
      </c>
      <c r="AP58">
        <v>0</v>
      </c>
      <c r="AQ58">
        <v>0</v>
      </c>
      <c r="AR58">
        <v>0</v>
      </c>
      <c r="AT58">
        <v>2.04</v>
      </c>
      <c r="AV58">
        <v>0</v>
      </c>
      <c r="AW58">
        <v>1</v>
      </c>
      <c r="AX58">
        <v>-1</v>
      </c>
      <c r="AY58">
        <v>0</v>
      </c>
      <c r="AZ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Y58*Source!I38</f>
        <v>1.0873200000000001</v>
      </c>
      <c r="CY58">
        <f>AA58</f>
        <v>853.35</v>
      </c>
      <c r="CZ58">
        <f>AE58</f>
        <v>853.35</v>
      </c>
      <c r="DA58">
        <f>AI58</f>
        <v>1</v>
      </c>
      <c r="DB58">
        <f>ROUND(ROUND(AT58*CZ58,2),6)</f>
        <v>1740.83</v>
      </c>
      <c r="DC58">
        <f>ROUND(ROUND(AT58*AG58,2),6)</f>
        <v>0</v>
      </c>
    </row>
    <row r="59" spans="1:107" x14ac:dyDescent="0.2">
      <c r="A59">
        <f>ROW(Source!A38)</f>
        <v>38</v>
      </c>
      <c r="B59">
        <v>939971439</v>
      </c>
      <c r="C59">
        <v>939971615</v>
      </c>
      <c r="D59">
        <v>338014469</v>
      </c>
      <c r="E59">
        <v>1</v>
      </c>
      <c r="F59">
        <v>1</v>
      </c>
      <c r="G59">
        <v>1</v>
      </c>
      <c r="H59">
        <v>3</v>
      </c>
      <c r="I59" t="s">
        <v>33</v>
      </c>
      <c r="J59" t="s">
        <v>393</v>
      </c>
      <c r="K59" t="s">
        <v>34</v>
      </c>
      <c r="L59">
        <v>1339</v>
      </c>
      <c r="N59">
        <v>1007</v>
      </c>
      <c r="O59" t="s">
        <v>20</v>
      </c>
      <c r="P59" t="s">
        <v>20</v>
      </c>
      <c r="Q59">
        <v>1</v>
      </c>
      <c r="W59">
        <v>0</v>
      </c>
      <c r="X59">
        <v>619799737</v>
      </c>
      <c r="Y59">
        <v>3.5</v>
      </c>
      <c r="AA59">
        <v>2.44</v>
      </c>
      <c r="AB59">
        <v>0</v>
      </c>
      <c r="AC59">
        <v>0</v>
      </c>
      <c r="AD59">
        <v>0</v>
      </c>
      <c r="AE59">
        <v>2.44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T59">
        <v>3.5</v>
      </c>
      <c r="AV59">
        <v>0</v>
      </c>
      <c r="AW59">
        <v>2</v>
      </c>
      <c r="AX59">
        <v>939976164</v>
      </c>
      <c r="AY59">
        <v>1</v>
      </c>
      <c r="AZ59">
        <v>0</v>
      </c>
      <c r="BA59">
        <v>58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Y59*Source!I38</f>
        <v>1.8655000000000002</v>
      </c>
      <c r="CY59">
        <f>AA59</f>
        <v>2.44</v>
      </c>
      <c r="CZ59">
        <f>AE59</f>
        <v>2.44</v>
      </c>
      <c r="DA59">
        <f>AI59</f>
        <v>1</v>
      </c>
      <c r="DB59">
        <f>ROUND(ROUND(AT59*CZ59,2),6)</f>
        <v>8.5399999999999991</v>
      </c>
      <c r="DC59">
        <f>ROUND(ROUND(AT59*AG59,2),6)</f>
        <v>0</v>
      </c>
    </row>
    <row r="60" spans="1:107" x14ac:dyDescent="0.2">
      <c r="A60">
        <f>ROW(Source!A39)</f>
        <v>39</v>
      </c>
      <c r="B60">
        <v>939971440</v>
      </c>
      <c r="C60">
        <v>939971615</v>
      </c>
      <c r="D60">
        <v>37772340</v>
      </c>
      <c r="E60">
        <v>1</v>
      </c>
      <c r="F60">
        <v>1</v>
      </c>
      <c r="G60">
        <v>1</v>
      </c>
      <c r="H60">
        <v>1</v>
      </c>
      <c r="I60" t="s">
        <v>405</v>
      </c>
      <c r="K60" t="s">
        <v>406</v>
      </c>
      <c r="L60">
        <v>1369</v>
      </c>
      <c r="N60">
        <v>1013</v>
      </c>
      <c r="O60" t="s">
        <v>365</v>
      </c>
      <c r="P60" t="s">
        <v>365</v>
      </c>
      <c r="Q60">
        <v>1</v>
      </c>
      <c r="W60">
        <v>0</v>
      </c>
      <c r="X60">
        <v>254330056</v>
      </c>
      <c r="Y60">
        <v>46.747500000000002</v>
      </c>
      <c r="AA60">
        <v>0</v>
      </c>
      <c r="AB60">
        <v>0</v>
      </c>
      <c r="AC60">
        <v>0</v>
      </c>
      <c r="AD60">
        <v>7.8</v>
      </c>
      <c r="AE60">
        <v>0</v>
      </c>
      <c r="AF60">
        <v>0</v>
      </c>
      <c r="AG60">
        <v>0</v>
      </c>
      <c r="AH60">
        <v>7.8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T60">
        <v>40.65</v>
      </c>
      <c r="AU60" t="s">
        <v>141</v>
      </c>
      <c r="AV60">
        <v>1</v>
      </c>
      <c r="AW60">
        <v>2</v>
      </c>
      <c r="AX60">
        <v>939976159</v>
      </c>
      <c r="AY60">
        <v>1</v>
      </c>
      <c r="AZ60">
        <v>0</v>
      </c>
      <c r="BA60">
        <v>59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Y60*Source!I39</f>
        <v>24.916417500000001</v>
      </c>
      <c r="CY60">
        <f>AD60</f>
        <v>7.8</v>
      </c>
      <c r="CZ60">
        <f>AH60</f>
        <v>7.8</v>
      </c>
      <c r="DA60">
        <f>AL60</f>
        <v>1</v>
      </c>
      <c r="DB60">
        <f>ROUND((ROUND(AT60*CZ60,2)*1.15),6)</f>
        <v>364.63049999999998</v>
      </c>
      <c r="DC60">
        <f>ROUND((ROUND(AT60*AG60,2)*1.15),6)</f>
        <v>0</v>
      </c>
    </row>
    <row r="61" spans="1:107" x14ac:dyDescent="0.2">
      <c r="A61">
        <f>ROW(Source!A39)</f>
        <v>39</v>
      </c>
      <c r="B61">
        <v>939971440</v>
      </c>
      <c r="C61">
        <v>939971615</v>
      </c>
      <c r="D61">
        <v>121548</v>
      </c>
      <c r="E61">
        <v>1</v>
      </c>
      <c r="F61">
        <v>1</v>
      </c>
      <c r="G61">
        <v>1</v>
      </c>
      <c r="H61">
        <v>1</v>
      </c>
      <c r="I61" t="s">
        <v>9</v>
      </c>
      <c r="K61" t="s">
        <v>366</v>
      </c>
      <c r="L61">
        <v>608254</v>
      </c>
      <c r="N61">
        <v>1013</v>
      </c>
      <c r="O61" t="s">
        <v>367</v>
      </c>
      <c r="P61" t="s">
        <v>367</v>
      </c>
      <c r="Q61">
        <v>1</v>
      </c>
      <c r="W61">
        <v>0</v>
      </c>
      <c r="X61">
        <v>-185737400</v>
      </c>
      <c r="Y61">
        <v>1.5874999999999999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T61">
        <v>1.27</v>
      </c>
      <c r="AU61" t="s">
        <v>140</v>
      </c>
      <c r="AV61">
        <v>2</v>
      </c>
      <c r="AW61">
        <v>2</v>
      </c>
      <c r="AX61">
        <v>939976160</v>
      </c>
      <c r="AY61">
        <v>1</v>
      </c>
      <c r="AZ61">
        <v>0</v>
      </c>
      <c r="BA61">
        <v>60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Y61*Source!I39</f>
        <v>0.84613749999999999</v>
      </c>
      <c r="CY61">
        <f>AD61</f>
        <v>0</v>
      </c>
      <c r="CZ61">
        <f>AH61</f>
        <v>0</v>
      </c>
      <c r="DA61">
        <f>AL61</f>
        <v>1</v>
      </c>
      <c r="DB61">
        <f>ROUND((ROUND(AT61*CZ61,2)*1.25),6)</f>
        <v>0</v>
      </c>
      <c r="DC61">
        <f>ROUND((ROUND(AT61*AG61,2)*1.25),6)</f>
        <v>0</v>
      </c>
    </row>
    <row r="62" spans="1:107" x14ac:dyDescent="0.2">
      <c r="A62">
        <f>ROW(Source!A39)</f>
        <v>39</v>
      </c>
      <c r="B62">
        <v>939971440</v>
      </c>
      <c r="C62">
        <v>939971615</v>
      </c>
      <c r="D62">
        <v>338036985</v>
      </c>
      <c r="E62">
        <v>1</v>
      </c>
      <c r="F62">
        <v>1</v>
      </c>
      <c r="G62">
        <v>1</v>
      </c>
      <c r="H62">
        <v>2</v>
      </c>
      <c r="I62" t="s">
        <v>396</v>
      </c>
      <c r="J62" t="s">
        <v>397</v>
      </c>
      <c r="K62" t="s">
        <v>398</v>
      </c>
      <c r="L62">
        <v>1368</v>
      </c>
      <c r="N62">
        <v>91022270</v>
      </c>
      <c r="O62" t="s">
        <v>371</v>
      </c>
      <c r="P62" t="s">
        <v>371</v>
      </c>
      <c r="Q62">
        <v>1</v>
      </c>
      <c r="W62">
        <v>0</v>
      </c>
      <c r="X62">
        <v>344519037</v>
      </c>
      <c r="Y62">
        <v>1.5874999999999999</v>
      </c>
      <c r="AA62">
        <v>0</v>
      </c>
      <c r="AB62">
        <v>466.71</v>
      </c>
      <c r="AC62">
        <v>451.71</v>
      </c>
      <c r="AD62">
        <v>0</v>
      </c>
      <c r="AE62">
        <v>0</v>
      </c>
      <c r="AF62">
        <v>31.26</v>
      </c>
      <c r="AG62">
        <v>13.5</v>
      </c>
      <c r="AH62">
        <v>0</v>
      </c>
      <c r="AI62">
        <v>1</v>
      </c>
      <c r="AJ62">
        <v>14.93</v>
      </c>
      <c r="AK62">
        <v>33.46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T62">
        <v>1.27</v>
      </c>
      <c r="AU62" t="s">
        <v>140</v>
      </c>
      <c r="AV62">
        <v>0</v>
      </c>
      <c r="AW62">
        <v>2</v>
      </c>
      <c r="AX62">
        <v>939976161</v>
      </c>
      <c r="AY62">
        <v>1</v>
      </c>
      <c r="AZ62">
        <v>0</v>
      </c>
      <c r="BA62">
        <v>61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Y62*Source!I39</f>
        <v>0.84613749999999999</v>
      </c>
      <c r="CY62">
        <f>AB62</f>
        <v>466.71</v>
      </c>
      <c r="CZ62">
        <f>AF62</f>
        <v>31.26</v>
      </c>
      <c r="DA62">
        <f>AJ62</f>
        <v>14.93</v>
      </c>
      <c r="DB62">
        <f>ROUND((ROUND(AT62*CZ62,2)*1.25),6)</f>
        <v>49.625</v>
      </c>
      <c r="DC62">
        <f>ROUND((ROUND(AT62*AG62,2)*1.25),6)</f>
        <v>21.4375</v>
      </c>
    </row>
    <row r="63" spans="1:107" x14ac:dyDescent="0.2">
      <c r="A63">
        <f>ROW(Source!A39)</f>
        <v>39</v>
      </c>
      <c r="B63">
        <v>939971440</v>
      </c>
      <c r="C63">
        <v>939971615</v>
      </c>
      <c r="D63">
        <v>338037581</v>
      </c>
      <c r="E63">
        <v>1</v>
      </c>
      <c r="F63">
        <v>1</v>
      </c>
      <c r="G63">
        <v>1</v>
      </c>
      <c r="H63">
        <v>2</v>
      </c>
      <c r="I63" t="s">
        <v>407</v>
      </c>
      <c r="J63" t="s">
        <v>408</v>
      </c>
      <c r="K63" t="s">
        <v>409</v>
      </c>
      <c r="L63">
        <v>1368</v>
      </c>
      <c r="N63">
        <v>91022270</v>
      </c>
      <c r="O63" t="s">
        <v>371</v>
      </c>
      <c r="P63" t="s">
        <v>371</v>
      </c>
      <c r="Q63">
        <v>1</v>
      </c>
      <c r="W63">
        <v>0</v>
      </c>
      <c r="X63">
        <v>-944612788</v>
      </c>
      <c r="Y63">
        <v>5.875</v>
      </c>
      <c r="AA63">
        <v>0</v>
      </c>
      <c r="AB63">
        <v>4.1100000000000003</v>
      </c>
      <c r="AC63">
        <v>0</v>
      </c>
      <c r="AD63">
        <v>0</v>
      </c>
      <c r="AE63">
        <v>0</v>
      </c>
      <c r="AF63">
        <v>0.5</v>
      </c>
      <c r="AG63">
        <v>0</v>
      </c>
      <c r="AH63">
        <v>0</v>
      </c>
      <c r="AI63">
        <v>1</v>
      </c>
      <c r="AJ63">
        <v>8.2200000000000006</v>
      </c>
      <c r="AK63">
        <v>33.46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T63">
        <v>4.7</v>
      </c>
      <c r="AU63" t="s">
        <v>140</v>
      </c>
      <c r="AV63">
        <v>0</v>
      </c>
      <c r="AW63">
        <v>2</v>
      </c>
      <c r="AX63">
        <v>939976162</v>
      </c>
      <c r="AY63">
        <v>1</v>
      </c>
      <c r="AZ63">
        <v>0</v>
      </c>
      <c r="BA63">
        <v>62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Y63*Source!I39</f>
        <v>3.1313750000000002</v>
      </c>
      <c r="CY63">
        <f>AB63</f>
        <v>4.1100000000000003</v>
      </c>
      <c r="CZ63">
        <f>AF63</f>
        <v>0.5</v>
      </c>
      <c r="DA63">
        <f>AJ63</f>
        <v>8.2200000000000006</v>
      </c>
      <c r="DB63">
        <f>ROUND((ROUND(AT63*CZ63,2)*1.25),6)</f>
        <v>2.9375</v>
      </c>
      <c r="DC63">
        <f>ROUND((ROUND(AT63*AG63,2)*1.25),6)</f>
        <v>0</v>
      </c>
    </row>
    <row r="64" spans="1:107" x14ac:dyDescent="0.2">
      <c r="A64">
        <f>ROW(Source!A39)</f>
        <v>39</v>
      </c>
      <c r="B64">
        <v>939971440</v>
      </c>
      <c r="C64">
        <v>939971615</v>
      </c>
      <c r="D64">
        <v>338009488</v>
      </c>
      <c r="E64">
        <v>1</v>
      </c>
      <c r="F64">
        <v>1</v>
      </c>
      <c r="G64">
        <v>1</v>
      </c>
      <c r="H64">
        <v>3</v>
      </c>
      <c r="I64" t="s">
        <v>145</v>
      </c>
      <c r="J64" t="s">
        <v>146</v>
      </c>
      <c r="K64" t="s">
        <v>82</v>
      </c>
      <c r="L64">
        <v>1339</v>
      </c>
      <c r="N64">
        <v>1007</v>
      </c>
      <c r="O64" t="s">
        <v>20</v>
      </c>
      <c r="P64" t="s">
        <v>20</v>
      </c>
      <c r="Q64">
        <v>1</v>
      </c>
      <c r="W64">
        <v>1</v>
      </c>
      <c r="X64">
        <v>-767198478</v>
      </c>
      <c r="Y64">
        <v>-2.04</v>
      </c>
      <c r="AA64">
        <v>3906</v>
      </c>
      <c r="AB64">
        <v>0</v>
      </c>
      <c r="AC64">
        <v>0</v>
      </c>
      <c r="AD64">
        <v>0</v>
      </c>
      <c r="AE64">
        <v>600</v>
      </c>
      <c r="AF64">
        <v>0</v>
      </c>
      <c r="AG64">
        <v>0</v>
      </c>
      <c r="AH64">
        <v>0</v>
      </c>
      <c r="AI64">
        <v>6.51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T64">
        <v>-2.04</v>
      </c>
      <c r="AV64">
        <v>0</v>
      </c>
      <c r="AW64">
        <v>2</v>
      </c>
      <c r="AX64">
        <v>939976163</v>
      </c>
      <c r="AY64">
        <v>1</v>
      </c>
      <c r="AZ64">
        <v>6144</v>
      </c>
      <c r="BA64">
        <v>63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Y64*Source!I39</f>
        <v>-1.0873200000000001</v>
      </c>
      <c r="CY64">
        <f>AA64</f>
        <v>3906</v>
      </c>
      <c r="CZ64">
        <f>AE64</f>
        <v>600</v>
      </c>
      <c r="DA64">
        <f>AI64</f>
        <v>6.51</v>
      </c>
      <c r="DB64">
        <f>ROUND(ROUND(AT64*CZ64,2),6)</f>
        <v>-1224</v>
      </c>
      <c r="DC64">
        <f>ROUND(ROUND(AT64*AG64,2),6)</f>
        <v>0</v>
      </c>
    </row>
    <row r="65" spans="1:107" x14ac:dyDescent="0.2">
      <c r="A65">
        <f>ROW(Source!A39)</f>
        <v>39</v>
      </c>
      <c r="B65">
        <v>939971440</v>
      </c>
      <c r="C65">
        <v>939971615</v>
      </c>
      <c r="D65">
        <v>338009494</v>
      </c>
      <c r="E65">
        <v>1</v>
      </c>
      <c r="F65">
        <v>1</v>
      </c>
      <c r="G65">
        <v>1</v>
      </c>
      <c r="H65">
        <v>3</v>
      </c>
      <c r="I65" t="s">
        <v>29</v>
      </c>
      <c r="J65" t="s">
        <v>148</v>
      </c>
      <c r="K65" t="s">
        <v>30</v>
      </c>
      <c r="L65">
        <v>1339</v>
      </c>
      <c r="N65">
        <v>1007</v>
      </c>
      <c r="O65" t="s">
        <v>20</v>
      </c>
      <c r="P65" t="s">
        <v>20</v>
      </c>
      <c r="Q65">
        <v>1</v>
      </c>
      <c r="W65">
        <v>0</v>
      </c>
      <c r="X65">
        <v>-1842439743</v>
      </c>
      <c r="Y65">
        <v>2.04</v>
      </c>
      <c r="AA65">
        <v>5555.31</v>
      </c>
      <c r="AB65">
        <v>0</v>
      </c>
      <c r="AC65">
        <v>0</v>
      </c>
      <c r="AD65">
        <v>0</v>
      </c>
      <c r="AE65">
        <v>853.35</v>
      </c>
      <c r="AF65">
        <v>0</v>
      </c>
      <c r="AG65">
        <v>0</v>
      </c>
      <c r="AH65">
        <v>0</v>
      </c>
      <c r="AI65">
        <v>6.51</v>
      </c>
      <c r="AJ65">
        <v>1</v>
      </c>
      <c r="AK65">
        <v>1</v>
      </c>
      <c r="AL65">
        <v>1</v>
      </c>
      <c r="AN65">
        <v>0</v>
      </c>
      <c r="AO65">
        <v>0</v>
      </c>
      <c r="AP65">
        <v>0</v>
      </c>
      <c r="AQ65">
        <v>0</v>
      </c>
      <c r="AR65">
        <v>0</v>
      </c>
      <c r="AT65">
        <v>2.04</v>
      </c>
      <c r="AV65">
        <v>0</v>
      </c>
      <c r="AW65">
        <v>1</v>
      </c>
      <c r="AX65">
        <v>-1</v>
      </c>
      <c r="AY65">
        <v>0</v>
      </c>
      <c r="AZ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Y65*Source!I39</f>
        <v>1.0873200000000001</v>
      </c>
      <c r="CY65">
        <f>AA65</f>
        <v>5555.31</v>
      </c>
      <c r="CZ65">
        <f>AE65</f>
        <v>853.35</v>
      </c>
      <c r="DA65">
        <f>AI65</f>
        <v>6.51</v>
      </c>
      <c r="DB65">
        <f>ROUND(ROUND(AT65*CZ65,2),6)</f>
        <v>1740.83</v>
      </c>
      <c r="DC65">
        <f>ROUND(ROUND(AT65*AG65,2),6)</f>
        <v>0</v>
      </c>
    </row>
    <row r="66" spans="1:107" x14ac:dyDescent="0.2">
      <c r="A66">
        <f>ROW(Source!A39)</f>
        <v>39</v>
      </c>
      <c r="B66">
        <v>939971440</v>
      </c>
      <c r="C66">
        <v>939971615</v>
      </c>
      <c r="D66">
        <v>338014469</v>
      </c>
      <c r="E66">
        <v>1</v>
      </c>
      <c r="F66">
        <v>1</v>
      </c>
      <c r="G66">
        <v>1</v>
      </c>
      <c r="H66">
        <v>3</v>
      </c>
      <c r="I66" t="s">
        <v>33</v>
      </c>
      <c r="J66" t="s">
        <v>393</v>
      </c>
      <c r="K66" t="s">
        <v>34</v>
      </c>
      <c r="L66">
        <v>1339</v>
      </c>
      <c r="N66">
        <v>1007</v>
      </c>
      <c r="O66" t="s">
        <v>20</v>
      </c>
      <c r="P66" t="s">
        <v>20</v>
      </c>
      <c r="Q66">
        <v>1</v>
      </c>
      <c r="W66">
        <v>0</v>
      </c>
      <c r="X66">
        <v>619799737</v>
      </c>
      <c r="Y66">
        <v>3.5</v>
      </c>
      <c r="AA66">
        <v>22.2</v>
      </c>
      <c r="AB66">
        <v>0</v>
      </c>
      <c r="AC66">
        <v>0</v>
      </c>
      <c r="AD66">
        <v>0</v>
      </c>
      <c r="AE66">
        <v>2.44</v>
      </c>
      <c r="AF66">
        <v>0</v>
      </c>
      <c r="AG66">
        <v>0</v>
      </c>
      <c r="AH66">
        <v>0</v>
      </c>
      <c r="AI66">
        <v>9.1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T66">
        <v>3.5</v>
      </c>
      <c r="AV66">
        <v>0</v>
      </c>
      <c r="AW66">
        <v>2</v>
      </c>
      <c r="AX66">
        <v>939976164</v>
      </c>
      <c r="AY66">
        <v>1</v>
      </c>
      <c r="AZ66">
        <v>0</v>
      </c>
      <c r="BA66">
        <v>64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Y66*Source!I39</f>
        <v>1.8655000000000002</v>
      </c>
      <c r="CY66">
        <f>AA66</f>
        <v>22.2</v>
      </c>
      <c r="CZ66">
        <f>AE66</f>
        <v>2.44</v>
      </c>
      <c r="DA66">
        <f>AI66</f>
        <v>9.1</v>
      </c>
      <c r="DB66">
        <f>ROUND(ROUND(AT66*CZ66,2),6)</f>
        <v>8.5399999999999991</v>
      </c>
      <c r="DC66">
        <f>ROUND(ROUND(AT66*AG66,2),6)</f>
        <v>0</v>
      </c>
    </row>
    <row r="67" spans="1:107" x14ac:dyDescent="0.2">
      <c r="A67">
        <f>ROW(Source!A44)</f>
        <v>44</v>
      </c>
      <c r="B67">
        <v>939971439</v>
      </c>
      <c r="C67">
        <v>939976165</v>
      </c>
      <c r="D67">
        <v>37778912</v>
      </c>
      <c r="E67">
        <v>1</v>
      </c>
      <c r="F67">
        <v>1</v>
      </c>
      <c r="G67">
        <v>1</v>
      </c>
      <c r="H67">
        <v>1</v>
      </c>
      <c r="I67" t="s">
        <v>363</v>
      </c>
      <c r="K67" t="s">
        <v>364</v>
      </c>
      <c r="L67">
        <v>1369</v>
      </c>
      <c r="N67">
        <v>1013</v>
      </c>
      <c r="O67" t="s">
        <v>365</v>
      </c>
      <c r="P67" t="s">
        <v>365</v>
      </c>
      <c r="Q67">
        <v>1</v>
      </c>
      <c r="W67">
        <v>0</v>
      </c>
      <c r="X67">
        <v>355262106</v>
      </c>
      <c r="Y67">
        <v>4.2435</v>
      </c>
      <c r="AA67">
        <v>0</v>
      </c>
      <c r="AB67">
        <v>0</v>
      </c>
      <c r="AC67">
        <v>0</v>
      </c>
      <c r="AD67">
        <v>9.18</v>
      </c>
      <c r="AE67">
        <v>0</v>
      </c>
      <c r="AF67">
        <v>0</v>
      </c>
      <c r="AG67">
        <v>0</v>
      </c>
      <c r="AH67">
        <v>9.18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T67">
        <v>3.69</v>
      </c>
      <c r="AU67" t="s">
        <v>141</v>
      </c>
      <c r="AV67">
        <v>1</v>
      </c>
      <c r="AW67">
        <v>2</v>
      </c>
      <c r="AX67">
        <v>939976173</v>
      </c>
      <c r="AY67">
        <v>1</v>
      </c>
      <c r="AZ67">
        <v>0</v>
      </c>
      <c r="BA67">
        <v>65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Y67*Source!I44</f>
        <v>2.2617855000000002</v>
      </c>
      <c r="CY67">
        <f>AD67</f>
        <v>9.18</v>
      </c>
      <c r="CZ67">
        <f>AH67</f>
        <v>9.18</v>
      </c>
      <c r="DA67">
        <f>AL67</f>
        <v>1</v>
      </c>
      <c r="DB67">
        <f>ROUND((ROUND(AT67*CZ67,2)*1.15),6)</f>
        <v>38.950499999999998</v>
      </c>
      <c r="DC67">
        <f>ROUND((ROUND(AT67*AG67,2)*1.15),6)</f>
        <v>0</v>
      </c>
    </row>
    <row r="68" spans="1:107" x14ac:dyDescent="0.2">
      <c r="A68">
        <f>ROW(Source!A44)</f>
        <v>44</v>
      </c>
      <c r="B68">
        <v>939971439</v>
      </c>
      <c r="C68">
        <v>939976165</v>
      </c>
      <c r="D68">
        <v>121548</v>
      </c>
      <c r="E68">
        <v>1</v>
      </c>
      <c r="F68">
        <v>1</v>
      </c>
      <c r="G68">
        <v>1</v>
      </c>
      <c r="H68">
        <v>1</v>
      </c>
      <c r="I68" t="s">
        <v>9</v>
      </c>
      <c r="K68" t="s">
        <v>366</v>
      </c>
      <c r="L68">
        <v>608254</v>
      </c>
      <c r="N68">
        <v>1013</v>
      </c>
      <c r="O68" t="s">
        <v>367</v>
      </c>
      <c r="P68" t="s">
        <v>367</v>
      </c>
      <c r="Q68">
        <v>1</v>
      </c>
      <c r="W68">
        <v>0</v>
      </c>
      <c r="X68">
        <v>-185737400</v>
      </c>
      <c r="Y68">
        <v>1.2500000000000001E-2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T68">
        <v>0.01</v>
      </c>
      <c r="AU68" t="s">
        <v>140</v>
      </c>
      <c r="AV68">
        <v>2</v>
      </c>
      <c r="AW68">
        <v>2</v>
      </c>
      <c r="AX68">
        <v>939976174</v>
      </c>
      <c r="AY68">
        <v>1</v>
      </c>
      <c r="AZ68">
        <v>0</v>
      </c>
      <c r="BA68">
        <v>66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Y68*Source!I44</f>
        <v>6.6625000000000009E-3</v>
      </c>
      <c r="CY68">
        <f>AD68</f>
        <v>0</v>
      </c>
      <c r="CZ68">
        <f>AH68</f>
        <v>0</v>
      </c>
      <c r="DA68">
        <f>AL68</f>
        <v>1</v>
      </c>
      <c r="DB68">
        <f>ROUND((ROUND(AT68*CZ68,2)*1.25),6)</f>
        <v>0</v>
      </c>
      <c r="DC68">
        <f>ROUND((ROUND(AT68*AG68,2)*1.25),6)</f>
        <v>0</v>
      </c>
    </row>
    <row r="69" spans="1:107" x14ac:dyDescent="0.2">
      <c r="A69">
        <f>ROW(Source!A44)</f>
        <v>44</v>
      </c>
      <c r="B69">
        <v>939971439</v>
      </c>
      <c r="C69">
        <v>939976165</v>
      </c>
      <c r="D69">
        <v>338036983</v>
      </c>
      <c r="E69">
        <v>1</v>
      </c>
      <c r="F69">
        <v>1</v>
      </c>
      <c r="G69">
        <v>1</v>
      </c>
      <c r="H69">
        <v>2</v>
      </c>
      <c r="I69" t="s">
        <v>410</v>
      </c>
      <c r="J69" t="s">
        <v>411</v>
      </c>
      <c r="K69" t="s">
        <v>412</v>
      </c>
      <c r="L69">
        <v>1368</v>
      </c>
      <c r="N69">
        <v>91022270</v>
      </c>
      <c r="O69" t="s">
        <v>371</v>
      </c>
      <c r="P69" t="s">
        <v>371</v>
      </c>
      <c r="Q69">
        <v>1</v>
      </c>
      <c r="W69">
        <v>0</v>
      </c>
      <c r="X69">
        <v>-1902254956</v>
      </c>
      <c r="Y69">
        <v>1.2500000000000001E-2</v>
      </c>
      <c r="AA69">
        <v>0</v>
      </c>
      <c r="AB69">
        <v>27.66</v>
      </c>
      <c r="AC69">
        <v>11.6</v>
      </c>
      <c r="AD69">
        <v>0</v>
      </c>
      <c r="AE69">
        <v>0</v>
      </c>
      <c r="AF69">
        <v>27.66</v>
      </c>
      <c r="AG69">
        <v>11.6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T69">
        <v>0.01</v>
      </c>
      <c r="AU69" t="s">
        <v>140</v>
      </c>
      <c r="AV69">
        <v>0</v>
      </c>
      <c r="AW69">
        <v>2</v>
      </c>
      <c r="AX69">
        <v>939976175</v>
      </c>
      <c r="AY69">
        <v>1</v>
      </c>
      <c r="AZ69">
        <v>0</v>
      </c>
      <c r="BA69">
        <v>67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Y69*Source!I44</f>
        <v>6.6625000000000009E-3</v>
      </c>
      <c r="CY69">
        <f>AB69</f>
        <v>27.66</v>
      </c>
      <c r="CZ69">
        <f>AF69</f>
        <v>27.66</v>
      </c>
      <c r="DA69">
        <f>AJ69</f>
        <v>1</v>
      </c>
      <c r="DB69">
        <f>ROUND((ROUND(AT69*CZ69,2)*1.25),6)</f>
        <v>0.35</v>
      </c>
      <c r="DC69">
        <f>ROUND((ROUND(AT69*AG69,2)*1.25),6)</f>
        <v>0.15</v>
      </c>
    </row>
    <row r="70" spans="1:107" x14ac:dyDescent="0.2">
      <c r="A70">
        <f>ROW(Source!A44)</f>
        <v>44</v>
      </c>
      <c r="B70">
        <v>939971439</v>
      </c>
      <c r="C70">
        <v>939976165</v>
      </c>
      <c r="D70">
        <v>338039082</v>
      </c>
      <c r="E70">
        <v>1</v>
      </c>
      <c r="F70">
        <v>1</v>
      </c>
      <c r="G70">
        <v>1</v>
      </c>
      <c r="H70">
        <v>2</v>
      </c>
      <c r="I70" t="s">
        <v>413</v>
      </c>
      <c r="J70" t="s">
        <v>414</v>
      </c>
      <c r="K70" t="s">
        <v>415</v>
      </c>
      <c r="L70">
        <v>1368</v>
      </c>
      <c r="N70">
        <v>91022270</v>
      </c>
      <c r="O70" t="s">
        <v>371</v>
      </c>
      <c r="P70" t="s">
        <v>371</v>
      </c>
      <c r="Q70">
        <v>1</v>
      </c>
      <c r="W70">
        <v>0</v>
      </c>
      <c r="X70">
        <v>2094841884</v>
      </c>
      <c r="Y70">
        <v>3.5249999999999999</v>
      </c>
      <c r="AA70">
        <v>0</v>
      </c>
      <c r="AB70">
        <v>6.82</v>
      </c>
      <c r="AC70">
        <v>0</v>
      </c>
      <c r="AD70">
        <v>0</v>
      </c>
      <c r="AE70">
        <v>0</v>
      </c>
      <c r="AF70">
        <v>6.82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T70">
        <v>2.82</v>
      </c>
      <c r="AU70" t="s">
        <v>140</v>
      </c>
      <c r="AV70">
        <v>0</v>
      </c>
      <c r="AW70">
        <v>2</v>
      </c>
      <c r="AX70">
        <v>939976176</v>
      </c>
      <c r="AY70">
        <v>1</v>
      </c>
      <c r="AZ70">
        <v>0</v>
      </c>
      <c r="BA70">
        <v>68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Y70*Source!I44</f>
        <v>1.878825</v>
      </c>
      <c r="CY70">
        <f>AB70</f>
        <v>6.82</v>
      </c>
      <c r="CZ70">
        <f>AF70</f>
        <v>6.82</v>
      </c>
      <c r="DA70">
        <f>AJ70</f>
        <v>1</v>
      </c>
      <c r="DB70">
        <f>ROUND((ROUND(AT70*CZ70,2)*1.25),6)</f>
        <v>24.037500000000001</v>
      </c>
      <c r="DC70">
        <f>ROUND((ROUND(AT70*AG70,2)*1.25),6)</f>
        <v>0</v>
      </c>
    </row>
    <row r="71" spans="1:107" x14ac:dyDescent="0.2">
      <c r="A71">
        <f>ROW(Source!A44)</f>
        <v>44</v>
      </c>
      <c r="B71">
        <v>939971439</v>
      </c>
      <c r="C71">
        <v>939976165</v>
      </c>
      <c r="D71">
        <v>338039342</v>
      </c>
      <c r="E71">
        <v>1</v>
      </c>
      <c r="F71">
        <v>1</v>
      </c>
      <c r="G71">
        <v>1</v>
      </c>
      <c r="H71">
        <v>2</v>
      </c>
      <c r="I71" t="s">
        <v>381</v>
      </c>
      <c r="J71" t="s">
        <v>382</v>
      </c>
      <c r="K71" t="s">
        <v>383</v>
      </c>
      <c r="L71">
        <v>1368</v>
      </c>
      <c r="N71">
        <v>91022270</v>
      </c>
      <c r="O71" t="s">
        <v>371</v>
      </c>
      <c r="P71" t="s">
        <v>371</v>
      </c>
      <c r="Q71">
        <v>1</v>
      </c>
      <c r="W71">
        <v>0</v>
      </c>
      <c r="X71">
        <v>1230759911</v>
      </c>
      <c r="Y71">
        <v>0.05</v>
      </c>
      <c r="AA71">
        <v>0</v>
      </c>
      <c r="AB71">
        <v>87.17</v>
      </c>
      <c r="AC71">
        <v>11.6</v>
      </c>
      <c r="AD71">
        <v>0</v>
      </c>
      <c r="AE71">
        <v>0</v>
      </c>
      <c r="AF71">
        <v>87.17</v>
      </c>
      <c r="AG71">
        <v>11.6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T71">
        <v>0.04</v>
      </c>
      <c r="AU71" t="s">
        <v>140</v>
      </c>
      <c r="AV71">
        <v>0</v>
      </c>
      <c r="AW71">
        <v>2</v>
      </c>
      <c r="AX71">
        <v>939976177</v>
      </c>
      <c r="AY71">
        <v>1</v>
      </c>
      <c r="AZ71">
        <v>0</v>
      </c>
      <c r="BA71">
        <v>69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Y71*Source!I44</f>
        <v>2.6650000000000004E-2</v>
      </c>
      <c r="CY71">
        <f>AB71</f>
        <v>87.17</v>
      </c>
      <c r="CZ71">
        <f>AF71</f>
        <v>87.17</v>
      </c>
      <c r="DA71">
        <f>AJ71</f>
        <v>1</v>
      </c>
      <c r="DB71">
        <f>ROUND((ROUND(AT71*CZ71,2)*1.25),6)</f>
        <v>4.3624999999999998</v>
      </c>
      <c r="DC71">
        <f>ROUND((ROUND(AT71*AG71,2)*1.25),6)</f>
        <v>0.57499999999999996</v>
      </c>
    </row>
    <row r="72" spans="1:107" x14ac:dyDescent="0.2">
      <c r="A72">
        <f>ROW(Source!A44)</f>
        <v>44</v>
      </c>
      <c r="B72">
        <v>939971439</v>
      </c>
      <c r="C72">
        <v>939976165</v>
      </c>
      <c r="D72">
        <v>337972165</v>
      </c>
      <c r="E72">
        <v>1</v>
      </c>
      <c r="F72">
        <v>1</v>
      </c>
      <c r="G72">
        <v>1</v>
      </c>
      <c r="H72">
        <v>3</v>
      </c>
      <c r="I72" t="s">
        <v>21</v>
      </c>
      <c r="J72" t="s">
        <v>416</v>
      </c>
      <c r="K72" t="s">
        <v>22</v>
      </c>
      <c r="L72">
        <v>1346</v>
      </c>
      <c r="N72">
        <v>39568864</v>
      </c>
      <c r="O72" t="s">
        <v>23</v>
      </c>
      <c r="P72" t="s">
        <v>23</v>
      </c>
      <c r="Q72">
        <v>1</v>
      </c>
      <c r="W72">
        <v>0</v>
      </c>
      <c r="X72">
        <v>644139035</v>
      </c>
      <c r="Y72">
        <v>1</v>
      </c>
      <c r="AA72">
        <v>1.81</v>
      </c>
      <c r="AB72">
        <v>0</v>
      </c>
      <c r="AC72">
        <v>0</v>
      </c>
      <c r="AD72">
        <v>0</v>
      </c>
      <c r="AE72">
        <v>1.81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T72">
        <v>1</v>
      </c>
      <c r="AV72">
        <v>0</v>
      </c>
      <c r="AW72">
        <v>2</v>
      </c>
      <c r="AX72">
        <v>939976178</v>
      </c>
      <c r="AY72">
        <v>1</v>
      </c>
      <c r="AZ72">
        <v>0</v>
      </c>
      <c r="BA72">
        <v>70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Y72*Source!I44</f>
        <v>0.53300000000000003</v>
      </c>
      <c r="CY72">
        <f>AA72</f>
        <v>1.81</v>
      </c>
      <c r="CZ72">
        <f>AE72</f>
        <v>1.81</v>
      </c>
      <c r="DA72">
        <f>AI72</f>
        <v>1</v>
      </c>
      <c r="DB72">
        <f>ROUND(ROUND(AT72*CZ72,2),6)</f>
        <v>1.81</v>
      </c>
      <c r="DC72">
        <f>ROUND(ROUND(AT72*AG72,2),6)</f>
        <v>0</v>
      </c>
    </row>
    <row r="73" spans="1:107" x14ac:dyDescent="0.2">
      <c r="A73">
        <f>ROW(Source!A44)</f>
        <v>44</v>
      </c>
      <c r="B73">
        <v>939971439</v>
      </c>
      <c r="C73">
        <v>939976165</v>
      </c>
      <c r="D73">
        <v>338014469</v>
      </c>
      <c r="E73">
        <v>1</v>
      </c>
      <c r="F73">
        <v>1</v>
      </c>
      <c r="G73">
        <v>1</v>
      </c>
      <c r="H73">
        <v>3</v>
      </c>
      <c r="I73" t="s">
        <v>33</v>
      </c>
      <c r="J73" t="s">
        <v>393</v>
      </c>
      <c r="K73" t="s">
        <v>34</v>
      </c>
      <c r="L73">
        <v>1339</v>
      </c>
      <c r="N73">
        <v>1007</v>
      </c>
      <c r="O73" t="s">
        <v>20</v>
      </c>
      <c r="P73" t="s">
        <v>20</v>
      </c>
      <c r="Q73">
        <v>1</v>
      </c>
      <c r="W73">
        <v>0</v>
      </c>
      <c r="X73">
        <v>619799737</v>
      </c>
      <c r="Y73">
        <v>0.01</v>
      </c>
      <c r="AA73">
        <v>2.44</v>
      </c>
      <c r="AB73">
        <v>0</v>
      </c>
      <c r="AC73">
        <v>0</v>
      </c>
      <c r="AD73">
        <v>0</v>
      </c>
      <c r="AE73">
        <v>2.44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T73">
        <v>0.01</v>
      </c>
      <c r="AV73">
        <v>0</v>
      </c>
      <c r="AW73">
        <v>2</v>
      </c>
      <c r="AX73">
        <v>939976180</v>
      </c>
      <c r="AY73">
        <v>1</v>
      </c>
      <c r="AZ73">
        <v>0</v>
      </c>
      <c r="BA73">
        <v>72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Y73*Source!I44</f>
        <v>5.3300000000000005E-3</v>
      </c>
      <c r="CY73">
        <f>AA73</f>
        <v>2.44</v>
      </c>
      <c r="CZ73">
        <f>AE73</f>
        <v>2.44</v>
      </c>
      <c r="DA73">
        <f>AI73</f>
        <v>1</v>
      </c>
      <c r="DB73">
        <f>ROUND(ROUND(AT73*CZ73,2),6)</f>
        <v>0.02</v>
      </c>
      <c r="DC73">
        <f>ROUND(ROUND(AT73*AG73,2),6)</f>
        <v>0</v>
      </c>
    </row>
    <row r="74" spans="1:107" x14ac:dyDescent="0.2">
      <c r="A74">
        <f>ROW(Source!A45)</f>
        <v>45</v>
      </c>
      <c r="B74">
        <v>939971440</v>
      </c>
      <c r="C74">
        <v>939976165</v>
      </c>
      <c r="D74">
        <v>37778912</v>
      </c>
      <c r="E74">
        <v>1</v>
      </c>
      <c r="F74">
        <v>1</v>
      </c>
      <c r="G74">
        <v>1</v>
      </c>
      <c r="H74">
        <v>1</v>
      </c>
      <c r="I74" t="s">
        <v>363</v>
      </c>
      <c r="K74" t="s">
        <v>364</v>
      </c>
      <c r="L74">
        <v>1369</v>
      </c>
      <c r="N74">
        <v>1013</v>
      </c>
      <c r="O74" t="s">
        <v>365</v>
      </c>
      <c r="P74" t="s">
        <v>365</v>
      </c>
      <c r="Q74">
        <v>1</v>
      </c>
      <c r="W74">
        <v>0</v>
      </c>
      <c r="X74">
        <v>355262106</v>
      </c>
      <c r="Y74">
        <v>4.2435</v>
      </c>
      <c r="AA74">
        <v>0</v>
      </c>
      <c r="AB74">
        <v>0</v>
      </c>
      <c r="AC74">
        <v>0</v>
      </c>
      <c r="AD74">
        <v>9.18</v>
      </c>
      <c r="AE74">
        <v>0</v>
      </c>
      <c r="AF74">
        <v>0</v>
      </c>
      <c r="AG74">
        <v>0</v>
      </c>
      <c r="AH74">
        <v>9.18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T74">
        <v>3.69</v>
      </c>
      <c r="AU74" t="s">
        <v>141</v>
      </c>
      <c r="AV74">
        <v>1</v>
      </c>
      <c r="AW74">
        <v>2</v>
      </c>
      <c r="AX74">
        <v>939976173</v>
      </c>
      <c r="AY74">
        <v>1</v>
      </c>
      <c r="AZ74">
        <v>0</v>
      </c>
      <c r="BA74">
        <v>73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Y74*Source!I45</f>
        <v>2.2617855000000002</v>
      </c>
      <c r="CY74">
        <f>AD74</f>
        <v>9.18</v>
      </c>
      <c r="CZ74">
        <f>AH74</f>
        <v>9.18</v>
      </c>
      <c r="DA74">
        <f>AL74</f>
        <v>1</v>
      </c>
      <c r="DB74">
        <f>ROUND((ROUND(AT74*CZ74,2)*1.15),6)</f>
        <v>38.950499999999998</v>
      </c>
      <c r="DC74">
        <f>ROUND((ROUND(AT74*AG74,2)*1.15),6)</f>
        <v>0</v>
      </c>
    </row>
    <row r="75" spans="1:107" x14ac:dyDescent="0.2">
      <c r="A75">
        <f>ROW(Source!A45)</f>
        <v>45</v>
      </c>
      <c r="B75">
        <v>939971440</v>
      </c>
      <c r="C75">
        <v>939976165</v>
      </c>
      <c r="D75">
        <v>121548</v>
      </c>
      <c r="E75">
        <v>1</v>
      </c>
      <c r="F75">
        <v>1</v>
      </c>
      <c r="G75">
        <v>1</v>
      </c>
      <c r="H75">
        <v>1</v>
      </c>
      <c r="I75" t="s">
        <v>9</v>
      </c>
      <c r="K75" t="s">
        <v>366</v>
      </c>
      <c r="L75">
        <v>608254</v>
      </c>
      <c r="N75">
        <v>1013</v>
      </c>
      <c r="O75" t="s">
        <v>367</v>
      </c>
      <c r="P75" t="s">
        <v>367</v>
      </c>
      <c r="Q75">
        <v>1</v>
      </c>
      <c r="W75">
        <v>0</v>
      </c>
      <c r="X75">
        <v>-185737400</v>
      </c>
      <c r="Y75">
        <v>1.2500000000000001E-2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T75">
        <v>0.01</v>
      </c>
      <c r="AU75" t="s">
        <v>140</v>
      </c>
      <c r="AV75">
        <v>2</v>
      </c>
      <c r="AW75">
        <v>2</v>
      </c>
      <c r="AX75">
        <v>939976174</v>
      </c>
      <c r="AY75">
        <v>1</v>
      </c>
      <c r="AZ75">
        <v>0</v>
      </c>
      <c r="BA75">
        <v>74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Y75*Source!I45</f>
        <v>6.6625000000000009E-3</v>
      </c>
      <c r="CY75">
        <f>AD75</f>
        <v>0</v>
      </c>
      <c r="CZ75">
        <f>AH75</f>
        <v>0</v>
      </c>
      <c r="DA75">
        <f>AL75</f>
        <v>1</v>
      </c>
      <c r="DB75">
        <f>ROUND((ROUND(AT75*CZ75,2)*1.25),6)</f>
        <v>0</v>
      </c>
      <c r="DC75">
        <f>ROUND((ROUND(AT75*AG75,2)*1.25),6)</f>
        <v>0</v>
      </c>
    </row>
    <row r="76" spans="1:107" x14ac:dyDescent="0.2">
      <c r="A76">
        <f>ROW(Source!A45)</f>
        <v>45</v>
      </c>
      <c r="B76">
        <v>939971440</v>
      </c>
      <c r="C76">
        <v>939976165</v>
      </c>
      <c r="D76">
        <v>338036983</v>
      </c>
      <c r="E76">
        <v>1</v>
      </c>
      <c r="F76">
        <v>1</v>
      </c>
      <c r="G76">
        <v>1</v>
      </c>
      <c r="H76">
        <v>2</v>
      </c>
      <c r="I76" t="s">
        <v>410</v>
      </c>
      <c r="J76" t="s">
        <v>411</v>
      </c>
      <c r="K76" t="s">
        <v>412</v>
      </c>
      <c r="L76">
        <v>1368</v>
      </c>
      <c r="N76">
        <v>91022270</v>
      </c>
      <c r="O76" t="s">
        <v>371</v>
      </c>
      <c r="P76" t="s">
        <v>371</v>
      </c>
      <c r="Q76">
        <v>1</v>
      </c>
      <c r="W76">
        <v>0</v>
      </c>
      <c r="X76">
        <v>-1902254956</v>
      </c>
      <c r="Y76">
        <v>1.2500000000000001E-2</v>
      </c>
      <c r="AA76">
        <v>0</v>
      </c>
      <c r="AB76">
        <v>429.56</v>
      </c>
      <c r="AC76">
        <v>388.14</v>
      </c>
      <c r="AD76">
        <v>0</v>
      </c>
      <c r="AE76">
        <v>0</v>
      </c>
      <c r="AF76">
        <v>27.66</v>
      </c>
      <c r="AG76">
        <v>11.6</v>
      </c>
      <c r="AH76">
        <v>0</v>
      </c>
      <c r="AI76">
        <v>1</v>
      </c>
      <c r="AJ76">
        <v>15.53</v>
      </c>
      <c r="AK76">
        <v>33.46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T76">
        <v>0.01</v>
      </c>
      <c r="AU76" t="s">
        <v>140</v>
      </c>
      <c r="AV76">
        <v>0</v>
      </c>
      <c r="AW76">
        <v>2</v>
      </c>
      <c r="AX76">
        <v>939976175</v>
      </c>
      <c r="AY76">
        <v>1</v>
      </c>
      <c r="AZ76">
        <v>0</v>
      </c>
      <c r="BA76">
        <v>75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Y76*Source!I45</f>
        <v>6.6625000000000009E-3</v>
      </c>
      <c r="CY76">
        <f>AB76</f>
        <v>429.56</v>
      </c>
      <c r="CZ76">
        <f>AF76</f>
        <v>27.66</v>
      </c>
      <c r="DA76">
        <f>AJ76</f>
        <v>15.53</v>
      </c>
      <c r="DB76">
        <f>ROUND((ROUND(AT76*CZ76,2)*1.25),6)</f>
        <v>0.35</v>
      </c>
      <c r="DC76">
        <f>ROUND((ROUND(AT76*AG76,2)*1.25),6)</f>
        <v>0.15</v>
      </c>
    </row>
    <row r="77" spans="1:107" x14ac:dyDescent="0.2">
      <c r="A77">
        <f>ROW(Source!A45)</f>
        <v>45</v>
      </c>
      <c r="B77">
        <v>939971440</v>
      </c>
      <c r="C77">
        <v>939976165</v>
      </c>
      <c r="D77">
        <v>338039082</v>
      </c>
      <c r="E77">
        <v>1</v>
      </c>
      <c r="F77">
        <v>1</v>
      </c>
      <c r="G77">
        <v>1</v>
      </c>
      <c r="H77">
        <v>2</v>
      </c>
      <c r="I77" t="s">
        <v>413</v>
      </c>
      <c r="J77" t="s">
        <v>414</v>
      </c>
      <c r="K77" t="s">
        <v>415</v>
      </c>
      <c r="L77">
        <v>1368</v>
      </c>
      <c r="N77">
        <v>91022270</v>
      </c>
      <c r="O77" t="s">
        <v>371</v>
      </c>
      <c r="P77" t="s">
        <v>371</v>
      </c>
      <c r="Q77">
        <v>1</v>
      </c>
      <c r="W77">
        <v>0</v>
      </c>
      <c r="X77">
        <v>2094841884</v>
      </c>
      <c r="Y77">
        <v>3.5249999999999999</v>
      </c>
      <c r="AA77">
        <v>0</v>
      </c>
      <c r="AB77">
        <v>31.51</v>
      </c>
      <c r="AC77">
        <v>0</v>
      </c>
      <c r="AD77">
        <v>0</v>
      </c>
      <c r="AE77">
        <v>0</v>
      </c>
      <c r="AF77">
        <v>6.82</v>
      </c>
      <c r="AG77">
        <v>0</v>
      </c>
      <c r="AH77">
        <v>0</v>
      </c>
      <c r="AI77">
        <v>1</v>
      </c>
      <c r="AJ77">
        <v>4.62</v>
      </c>
      <c r="AK77">
        <v>33.46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T77">
        <v>2.82</v>
      </c>
      <c r="AU77" t="s">
        <v>140</v>
      </c>
      <c r="AV77">
        <v>0</v>
      </c>
      <c r="AW77">
        <v>2</v>
      </c>
      <c r="AX77">
        <v>939976176</v>
      </c>
      <c r="AY77">
        <v>1</v>
      </c>
      <c r="AZ77">
        <v>0</v>
      </c>
      <c r="BA77">
        <v>76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Y77*Source!I45</f>
        <v>1.878825</v>
      </c>
      <c r="CY77">
        <f>AB77</f>
        <v>31.51</v>
      </c>
      <c r="CZ77">
        <f>AF77</f>
        <v>6.82</v>
      </c>
      <c r="DA77">
        <f>AJ77</f>
        <v>4.62</v>
      </c>
      <c r="DB77">
        <f>ROUND((ROUND(AT77*CZ77,2)*1.25),6)</f>
        <v>24.037500000000001</v>
      </c>
      <c r="DC77">
        <f>ROUND((ROUND(AT77*AG77,2)*1.25),6)</f>
        <v>0</v>
      </c>
    </row>
    <row r="78" spans="1:107" x14ac:dyDescent="0.2">
      <c r="A78">
        <f>ROW(Source!A45)</f>
        <v>45</v>
      </c>
      <c r="B78">
        <v>939971440</v>
      </c>
      <c r="C78">
        <v>939976165</v>
      </c>
      <c r="D78">
        <v>338039342</v>
      </c>
      <c r="E78">
        <v>1</v>
      </c>
      <c r="F78">
        <v>1</v>
      </c>
      <c r="G78">
        <v>1</v>
      </c>
      <c r="H78">
        <v>2</v>
      </c>
      <c r="I78" t="s">
        <v>381</v>
      </c>
      <c r="J78" t="s">
        <v>382</v>
      </c>
      <c r="K78" t="s">
        <v>383</v>
      </c>
      <c r="L78">
        <v>1368</v>
      </c>
      <c r="N78">
        <v>91022270</v>
      </c>
      <c r="O78" t="s">
        <v>371</v>
      </c>
      <c r="P78" t="s">
        <v>371</v>
      </c>
      <c r="Q78">
        <v>1</v>
      </c>
      <c r="W78">
        <v>0</v>
      </c>
      <c r="X78">
        <v>1230759911</v>
      </c>
      <c r="Y78">
        <v>0.05</v>
      </c>
      <c r="AA78">
        <v>0</v>
      </c>
      <c r="AB78">
        <v>932.72</v>
      </c>
      <c r="AC78">
        <v>388.14</v>
      </c>
      <c r="AD78">
        <v>0</v>
      </c>
      <c r="AE78">
        <v>0</v>
      </c>
      <c r="AF78">
        <v>87.17</v>
      </c>
      <c r="AG78">
        <v>11.6</v>
      </c>
      <c r="AH78">
        <v>0</v>
      </c>
      <c r="AI78">
        <v>1</v>
      </c>
      <c r="AJ78">
        <v>10.7</v>
      </c>
      <c r="AK78">
        <v>33.46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T78">
        <v>0.04</v>
      </c>
      <c r="AU78" t="s">
        <v>140</v>
      </c>
      <c r="AV78">
        <v>0</v>
      </c>
      <c r="AW78">
        <v>2</v>
      </c>
      <c r="AX78">
        <v>939976177</v>
      </c>
      <c r="AY78">
        <v>1</v>
      </c>
      <c r="AZ78">
        <v>0</v>
      </c>
      <c r="BA78">
        <v>77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Y78*Source!I45</f>
        <v>2.6650000000000004E-2</v>
      </c>
      <c r="CY78">
        <f>AB78</f>
        <v>932.72</v>
      </c>
      <c r="CZ78">
        <f>AF78</f>
        <v>87.17</v>
      </c>
      <c r="DA78">
        <f>AJ78</f>
        <v>10.7</v>
      </c>
      <c r="DB78">
        <f>ROUND((ROUND(AT78*CZ78,2)*1.25),6)</f>
        <v>4.3624999999999998</v>
      </c>
      <c r="DC78">
        <f>ROUND((ROUND(AT78*AG78,2)*1.25),6)</f>
        <v>0.57499999999999996</v>
      </c>
    </row>
    <row r="79" spans="1:107" x14ac:dyDescent="0.2">
      <c r="A79">
        <f>ROW(Source!A45)</f>
        <v>45</v>
      </c>
      <c r="B79">
        <v>939971440</v>
      </c>
      <c r="C79">
        <v>939976165</v>
      </c>
      <c r="D79">
        <v>337972165</v>
      </c>
      <c r="E79">
        <v>1</v>
      </c>
      <c r="F79">
        <v>1</v>
      </c>
      <c r="G79">
        <v>1</v>
      </c>
      <c r="H79">
        <v>3</v>
      </c>
      <c r="I79" t="s">
        <v>21</v>
      </c>
      <c r="J79" t="s">
        <v>416</v>
      </c>
      <c r="K79" t="s">
        <v>22</v>
      </c>
      <c r="L79">
        <v>1346</v>
      </c>
      <c r="N79">
        <v>39568864</v>
      </c>
      <c r="O79" t="s">
        <v>23</v>
      </c>
      <c r="P79" t="s">
        <v>23</v>
      </c>
      <c r="Q79">
        <v>1</v>
      </c>
      <c r="W79">
        <v>0</v>
      </c>
      <c r="X79">
        <v>644139035</v>
      </c>
      <c r="Y79">
        <v>1</v>
      </c>
      <c r="AA79">
        <v>46.61</v>
      </c>
      <c r="AB79">
        <v>0</v>
      </c>
      <c r="AC79">
        <v>0</v>
      </c>
      <c r="AD79">
        <v>0</v>
      </c>
      <c r="AE79">
        <v>1.81</v>
      </c>
      <c r="AF79">
        <v>0</v>
      </c>
      <c r="AG79">
        <v>0</v>
      </c>
      <c r="AH79">
        <v>0</v>
      </c>
      <c r="AI79">
        <v>25.75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T79">
        <v>1</v>
      </c>
      <c r="AV79">
        <v>0</v>
      </c>
      <c r="AW79">
        <v>2</v>
      </c>
      <c r="AX79">
        <v>939976178</v>
      </c>
      <c r="AY79">
        <v>1</v>
      </c>
      <c r="AZ79">
        <v>0</v>
      </c>
      <c r="BA79">
        <v>78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Y79*Source!I45</f>
        <v>0.53300000000000003</v>
      </c>
      <c r="CY79">
        <f>AA79</f>
        <v>46.61</v>
      </c>
      <c r="CZ79">
        <f>AE79</f>
        <v>1.81</v>
      </c>
      <c r="DA79">
        <f>AI79</f>
        <v>25.75</v>
      </c>
      <c r="DB79">
        <f>ROUND(ROUND(AT79*CZ79,2),6)</f>
        <v>1.81</v>
      </c>
      <c r="DC79">
        <f>ROUND(ROUND(AT79*AG79,2),6)</f>
        <v>0</v>
      </c>
    </row>
    <row r="80" spans="1:107" x14ac:dyDescent="0.2">
      <c r="A80">
        <f>ROW(Source!A45)</f>
        <v>45</v>
      </c>
      <c r="B80">
        <v>939971440</v>
      </c>
      <c r="C80">
        <v>939976165</v>
      </c>
      <c r="D80">
        <v>338014469</v>
      </c>
      <c r="E80">
        <v>1</v>
      </c>
      <c r="F80">
        <v>1</v>
      </c>
      <c r="G80">
        <v>1</v>
      </c>
      <c r="H80">
        <v>3</v>
      </c>
      <c r="I80" t="s">
        <v>33</v>
      </c>
      <c r="J80" t="s">
        <v>393</v>
      </c>
      <c r="K80" t="s">
        <v>34</v>
      </c>
      <c r="L80">
        <v>1339</v>
      </c>
      <c r="N80">
        <v>1007</v>
      </c>
      <c r="O80" t="s">
        <v>20</v>
      </c>
      <c r="P80" t="s">
        <v>20</v>
      </c>
      <c r="Q80">
        <v>1</v>
      </c>
      <c r="W80">
        <v>0</v>
      </c>
      <c r="X80">
        <v>619799737</v>
      </c>
      <c r="Y80">
        <v>0.01</v>
      </c>
      <c r="AA80">
        <v>22.2</v>
      </c>
      <c r="AB80">
        <v>0</v>
      </c>
      <c r="AC80">
        <v>0</v>
      </c>
      <c r="AD80">
        <v>0</v>
      </c>
      <c r="AE80">
        <v>2.44</v>
      </c>
      <c r="AF80">
        <v>0</v>
      </c>
      <c r="AG80">
        <v>0</v>
      </c>
      <c r="AH80">
        <v>0</v>
      </c>
      <c r="AI80">
        <v>9.1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T80">
        <v>0.01</v>
      </c>
      <c r="AV80">
        <v>0</v>
      </c>
      <c r="AW80">
        <v>2</v>
      </c>
      <c r="AX80">
        <v>939976180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Y80*Source!I45</f>
        <v>5.3300000000000005E-3</v>
      </c>
      <c r="CY80">
        <f>AA80</f>
        <v>22.2</v>
      </c>
      <c r="CZ80">
        <f>AE80</f>
        <v>2.44</v>
      </c>
      <c r="DA80">
        <f>AI80</f>
        <v>9.1</v>
      </c>
      <c r="DB80">
        <f>ROUND(ROUND(AT80*CZ80,2),6)</f>
        <v>0.02</v>
      </c>
      <c r="DC80">
        <f>ROUND(ROUND(AT80*AG80,2),6)</f>
        <v>0</v>
      </c>
    </row>
    <row r="81" spans="1:107" x14ac:dyDescent="0.2">
      <c r="A81">
        <f>ROW(Source!A46)</f>
        <v>46</v>
      </c>
      <c r="B81">
        <v>939971439</v>
      </c>
      <c r="C81">
        <v>939976290</v>
      </c>
      <c r="D81">
        <v>37808510</v>
      </c>
      <c r="E81">
        <v>1</v>
      </c>
      <c r="F81">
        <v>1</v>
      </c>
      <c r="G81">
        <v>1</v>
      </c>
      <c r="H81">
        <v>1</v>
      </c>
      <c r="I81" t="s">
        <v>417</v>
      </c>
      <c r="K81" t="s">
        <v>418</v>
      </c>
      <c r="L81">
        <v>1369</v>
      </c>
      <c r="N81">
        <v>1013</v>
      </c>
      <c r="O81" t="s">
        <v>365</v>
      </c>
      <c r="P81" t="s">
        <v>365</v>
      </c>
      <c r="Q81">
        <v>1</v>
      </c>
      <c r="W81">
        <v>0</v>
      </c>
      <c r="X81">
        <v>1855713677</v>
      </c>
      <c r="Y81">
        <v>0.44850000000000001</v>
      </c>
      <c r="AA81">
        <v>0</v>
      </c>
      <c r="AB81">
        <v>0</v>
      </c>
      <c r="AC81">
        <v>0</v>
      </c>
      <c r="AD81">
        <v>11.09</v>
      </c>
      <c r="AE81">
        <v>0</v>
      </c>
      <c r="AF81">
        <v>0</v>
      </c>
      <c r="AG81">
        <v>0</v>
      </c>
      <c r="AH81">
        <v>11.09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T81">
        <v>0.39</v>
      </c>
      <c r="AU81" t="s">
        <v>141</v>
      </c>
      <c r="AV81">
        <v>1</v>
      </c>
      <c r="AW81">
        <v>2</v>
      </c>
      <c r="AX81">
        <v>939976297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Y81*Source!I46</f>
        <v>0</v>
      </c>
      <c r="CY81">
        <f>AD81</f>
        <v>11.09</v>
      </c>
      <c r="CZ81">
        <f>AH81</f>
        <v>11.09</v>
      </c>
      <c r="DA81">
        <f>AL81</f>
        <v>1</v>
      </c>
      <c r="DB81">
        <f>ROUND((ROUND(AT81*CZ81,2)*1.15),6)</f>
        <v>4.9794999999999998</v>
      </c>
      <c r="DC81">
        <f>ROUND((ROUND(AT81*AG81,2)*1.15),6)</f>
        <v>0</v>
      </c>
    </row>
    <row r="82" spans="1:107" x14ac:dyDescent="0.2">
      <c r="A82">
        <f>ROW(Source!A46)</f>
        <v>46</v>
      </c>
      <c r="B82">
        <v>939971439</v>
      </c>
      <c r="C82">
        <v>939976290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9</v>
      </c>
      <c r="K82" t="s">
        <v>366</v>
      </c>
      <c r="L82">
        <v>608254</v>
      </c>
      <c r="N82">
        <v>1013</v>
      </c>
      <c r="O82" t="s">
        <v>367</v>
      </c>
      <c r="P82" t="s">
        <v>367</v>
      </c>
      <c r="Q82">
        <v>1</v>
      </c>
      <c r="W82">
        <v>0</v>
      </c>
      <c r="X82">
        <v>-185737400</v>
      </c>
      <c r="Y82">
        <v>0.2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T82">
        <v>0.16</v>
      </c>
      <c r="AU82" t="s">
        <v>140</v>
      </c>
      <c r="AV82">
        <v>2</v>
      </c>
      <c r="AW82">
        <v>2</v>
      </c>
      <c r="AX82">
        <v>939976298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Y82*Source!I46</f>
        <v>0</v>
      </c>
      <c r="CY82">
        <f>AD82</f>
        <v>0</v>
      </c>
      <c r="CZ82">
        <f>AH82</f>
        <v>0</v>
      </c>
      <c r="DA82">
        <f>AL82</f>
        <v>1</v>
      </c>
      <c r="DB82">
        <f>ROUND((ROUND(AT82*CZ82,2)*1.25),6)</f>
        <v>0</v>
      </c>
      <c r="DC82">
        <f>ROUND((ROUND(AT82*AG82,2)*1.25),6)</f>
        <v>0</v>
      </c>
    </row>
    <row r="83" spans="1:107" x14ac:dyDescent="0.2">
      <c r="A83">
        <f>ROW(Source!A46)</f>
        <v>46</v>
      </c>
      <c r="B83">
        <v>939971439</v>
      </c>
      <c r="C83">
        <v>939976290</v>
      </c>
      <c r="D83">
        <v>338038976</v>
      </c>
      <c r="E83">
        <v>1</v>
      </c>
      <c r="F83">
        <v>1</v>
      </c>
      <c r="G83">
        <v>1</v>
      </c>
      <c r="H83">
        <v>2</v>
      </c>
      <c r="I83" t="s">
        <v>419</v>
      </c>
      <c r="J83" t="s">
        <v>420</v>
      </c>
      <c r="K83" t="s">
        <v>421</v>
      </c>
      <c r="L83">
        <v>1368</v>
      </c>
      <c r="N83">
        <v>91022270</v>
      </c>
      <c r="O83" t="s">
        <v>371</v>
      </c>
      <c r="P83" t="s">
        <v>371</v>
      </c>
      <c r="Q83">
        <v>1</v>
      </c>
      <c r="W83">
        <v>0</v>
      </c>
      <c r="X83">
        <v>-666420355</v>
      </c>
      <c r="Y83">
        <v>0.2</v>
      </c>
      <c r="AA83">
        <v>0</v>
      </c>
      <c r="AB83">
        <v>29.16</v>
      </c>
      <c r="AC83">
        <v>10.06</v>
      </c>
      <c r="AD83">
        <v>0</v>
      </c>
      <c r="AE83">
        <v>0</v>
      </c>
      <c r="AF83">
        <v>29.16</v>
      </c>
      <c r="AG83">
        <v>10.06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T83">
        <v>0.16</v>
      </c>
      <c r="AU83" t="s">
        <v>140</v>
      </c>
      <c r="AV83">
        <v>0</v>
      </c>
      <c r="AW83">
        <v>2</v>
      </c>
      <c r="AX83">
        <v>939976299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Y83*Source!I46</f>
        <v>0</v>
      </c>
      <c r="CY83">
        <f>AB83</f>
        <v>29.16</v>
      </c>
      <c r="CZ83">
        <f>AF83</f>
        <v>29.16</v>
      </c>
      <c r="DA83">
        <f>AJ83</f>
        <v>1</v>
      </c>
      <c r="DB83">
        <f>ROUND((ROUND(AT83*CZ83,2)*1.25),6)</f>
        <v>5.8375000000000004</v>
      </c>
      <c r="DC83">
        <f>ROUND((ROUND(AT83*AG83,2)*1.25),6)</f>
        <v>2.0125000000000002</v>
      </c>
    </row>
    <row r="84" spans="1:107" x14ac:dyDescent="0.2">
      <c r="A84">
        <f>ROW(Source!A46)</f>
        <v>46</v>
      </c>
      <c r="B84">
        <v>939971439</v>
      </c>
      <c r="C84">
        <v>939976290</v>
      </c>
      <c r="D84">
        <v>337979340</v>
      </c>
      <c r="E84">
        <v>1</v>
      </c>
      <c r="F84">
        <v>1</v>
      </c>
      <c r="G84">
        <v>1</v>
      </c>
      <c r="H84">
        <v>3</v>
      </c>
      <c r="I84" t="s">
        <v>422</v>
      </c>
      <c r="J84" t="s">
        <v>423</v>
      </c>
      <c r="K84" t="s">
        <v>424</v>
      </c>
      <c r="L84">
        <v>195242642</v>
      </c>
      <c r="N84">
        <v>1010</v>
      </c>
      <c r="O84" t="s">
        <v>425</v>
      </c>
      <c r="P84" t="s">
        <v>425</v>
      </c>
      <c r="Q84">
        <v>1</v>
      </c>
      <c r="W84">
        <v>0</v>
      </c>
      <c r="X84">
        <v>715902649</v>
      </c>
      <c r="Y84">
        <v>1.4E-2</v>
      </c>
      <c r="AA84">
        <v>739.2</v>
      </c>
      <c r="AB84">
        <v>0</v>
      </c>
      <c r="AC84">
        <v>0</v>
      </c>
      <c r="AD84">
        <v>0</v>
      </c>
      <c r="AE84">
        <v>739.2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T84">
        <v>1.4E-2</v>
      </c>
      <c r="AV84">
        <v>0</v>
      </c>
      <c r="AW84">
        <v>2</v>
      </c>
      <c r="AX84">
        <v>939976300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Y84*Source!I46</f>
        <v>0</v>
      </c>
      <c r="CY84">
        <f>AA84</f>
        <v>739.2</v>
      </c>
      <c r="CZ84">
        <f>AE84</f>
        <v>739.2</v>
      </c>
      <c r="DA84">
        <f>AI84</f>
        <v>1</v>
      </c>
      <c r="DB84">
        <f>ROUND(ROUND(AT84*CZ84,2),6)</f>
        <v>10.35</v>
      </c>
      <c r="DC84">
        <f>ROUND(ROUND(AT84*AG84,2),6)</f>
        <v>0</v>
      </c>
    </row>
    <row r="85" spans="1:107" x14ac:dyDescent="0.2">
      <c r="A85">
        <f>ROW(Source!A47)</f>
        <v>47</v>
      </c>
      <c r="B85">
        <v>939971440</v>
      </c>
      <c r="C85">
        <v>939976290</v>
      </c>
      <c r="D85">
        <v>37808510</v>
      </c>
      <c r="E85">
        <v>1</v>
      </c>
      <c r="F85">
        <v>1</v>
      </c>
      <c r="G85">
        <v>1</v>
      </c>
      <c r="H85">
        <v>1</v>
      </c>
      <c r="I85" t="s">
        <v>417</v>
      </c>
      <c r="K85" t="s">
        <v>418</v>
      </c>
      <c r="L85">
        <v>1369</v>
      </c>
      <c r="N85">
        <v>1013</v>
      </c>
      <c r="O85" t="s">
        <v>365</v>
      </c>
      <c r="P85" t="s">
        <v>365</v>
      </c>
      <c r="Q85">
        <v>1</v>
      </c>
      <c r="W85">
        <v>0</v>
      </c>
      <c r="X85">
        <v>1855713677</v>
      </c>
      <c r="Y85">
        <v>0.44850000000000001</v>
      </c>
      <c r="AA85">
        <v>0</v>
      </c>
      <c r="AB85">
        <v>0</v>
      </c>
      <c r="AC85">
        <v>0</v>
      </c>
      <c r="AD85">
        <v>11.09</v>
      </c>
      <c r="AE85">
        <v>0</v>
      </c>
      <c r="AF85">
        <v>0</v>
      </c>
      <c r="AG85">
        <v>0</v>
      </c>
      <c r="AH85">
        <v>11.09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T85">
        <v>0.39</v>
      </c>
      <c r="AU85" t="s">
        <v>141</v>
      </c>
      <c r="AV85">
        <v>1</v>
      </c>
      <c r="AW85">
        <v>2</v>
      </c>
      <c r="AX85">
        <v>939976297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Y85*Source!I47</f>
        <v>0</v>
      </c>
      <c r="CY85">
        <f>AD85</f>
        <v>11.09</v>
      </c>
      <c r="CZ85">
        <f>AH85</f>
        <v>11.09</v>
      </c>
      <c r="DA85">
        <f>AL85</f>
        <v>1</v>
      </c>
      <c r="DB85">
        <f>ROUND((ROUND(AT85*CZ85,2)*1.15),6)</f>
        <v>4.9794999999999998</v>
      </c>
      <c r="DC85">
        <f>ROUND((ROUND(AT85*AG85,2)*1.15),6)</f>
        <v>0</v>
      </c>
    </row>
    <row r="86" spans="1:107" x14ac:dyDescent="0.2">
      <c r="A86">
        <f>ROW(Source!A47)</f>
        <v>47</v>
      </c>
      <c r="B86">
        <v>939971440</v>
      </c>
      <c r="C86">
        <v>939976290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9</v>
      </c>
      <c r="K86" t="s">
        <v>366</v>
      </c>
      <c r="L86">
        <v>608254</v>
      </c>
      <c r="N86">
        <v>1013</v>
      </c>
      <c r="O86" t="s">
        <v>367</v>
      </c>
      <c r="P86" t="s">
        <v>367</v>
      </c>
      <c r="Q86">
        <v>1</v>
      </c>
      <c r="W86">
        <v>0</v>
      </c>
      <c r="X86">
        <v>-185737400</v>
      </c>
      <c r="Y86">
        <v>0.2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T86">
        <v>0.16</v>
      </c>
      <c r="AU86" t="s">
        <v>140</v>
      </c>
      <c r="AV86">
        <v>2</v>
      </c>
      <c r="AW86">
        <v>2</v>
      </c>
      <c r="AX86">
        <v>939976298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Y86*Source!I47</f>
        <v>0</v>
      </c>
      <c r="CY86">
        <f>AD86</f>
        <v>0</v>
      </c>
      <c r="CZ86">
        <f>AH86</f>
        <v>0</v>
      </c>
      <c r="DA86">
        <f>AL86</f>
        <v>1</v>
      </c>
      <c r="DB86">
        <f>ROUND((ROUND(AT86*CZ86,2)*1.25),6)</f>
        <v>0</v>
      </c>
      <c r="DC86">
        <f>ROUND((ROUND(AT86*AG86,2)*1.25),6)</f>
        <v>0</v>
      </c>
    </row>
    <row r="87" spans="1:107" x14ac:dyDescent="0.2">
      <c r="A87">
        <f>ROW(Source!A47)</f>
        <v>47</v>
      </c>
      <c r="B87">
        <v>939971440</v>
      </c>
      <c r="C87">
        <v>939976290</v>
      </c>
      <c r="D87">
        <v>338038976</v>
      </c>
      <c r="E87">
        <v>1</v>
      </c>
      <c r="F87">
        <v>1</v>
      </c>
      <c r="G87">
        <v>1</v>
      </c>
      <c r="H87">
        <v>2</v>
      </c>
      <c r="I87" t="s">
        <v>419</v>
      </c>
      <c r="J87" t="s">
        <v>420</v>
      </c>
      <c r="K87" t="s">
        <v>421</v>
      </c>
      <c r="L87">
        <v>1368</v>
      </c>
      <c r="N87">
        <v>91022270</v>
      </c>
      <c r="O87" t="s">
        <v>371</v>
      </c>
      <c r="P87" t="s">
        <v>371</v>
      </c>
      <c r="Q87">
        <v>1</v>
      </c>
      <c r="W87">
        <v>0</v>
      </c>
      <c r="X87">
        <v>-666420355</v>
      </c>
      <c r="Y87">
        <v>0.2</v>
      </c>
      <c r="AA87">
        <v>0</v>
      </c>
      <c r="AB87">
        <v>431.86</v>
      </c>
      <c r="AC87">
        <v>336.61</v>
      </c>
      <c r="AD87">
        <v>0</v>
      </c>
      <c r="AE87">
        <v>0</v>
      </c>
      <c r="AF87">
        <v>29.16</v>
      </c>
      <c r="AG87">
        <v>10.06</v>
      </c>
      <c r="AH87">
        <v>0</v>
      </c>
      <c r="AI87">
        <v>1</v>
      </c>
      <c r="AJ87">
        <v>14.81</v>
      </c>
      <c r="AK87">
        <v>33.46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T87">
        <v>0.16</v>
      </c>
      <c r="AU87" t="s">
        <v>140</v>
      </c>
      <c r="AV87">
        <v>0</v>
      </c>
      <c r="AW87">
        <v>2</v>
      </c>
      <c r="AX87">
        <v>939976299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Y87*Source!I47</f>
        <v>0</v>
      </c>
      <c r="CY87">
        <f>AB87</f>
        <v>431.86</v>
      </c>
      <c r="CZ87">
        <f>AF87</f>
        <v>29.16</v>
      </c>
      <c r="DA87">
        <f>AJ87</f>
        <v>14.81</v>
      </c>
      <c r="DB87">
        <f>ROUND((ROUND(AT87*CZ87,2)*1.25),6)</f>
        <v>5.8375000000000004</v>
      </c>
      <c r="DC87">
        <f>ROUND((ROUND(AT87*AG87,2)*1.25),6)</f>
        <v>2.0125000000000002</v>
      </c>
    </row>
    <row r="88" spans="1:107" x14ac:dyDescent="0.2">
      <c r="A88">
        <f>ROW(Source!A47)</f>
        <v>47</v>
      </c>
      <c r="B88">
        <v>939971440</v>
      </c>
      <c r="C88">
        <v>939976290</v>
      </c>
      <c r="D88">
        <v>337979340</v>
      </c>
      <c r="E88">
        <v>1</v>
      </c>
      <c r="F88">
        <v>1</v>
      </c>
      <c r="G88">
        <v>1</v>
      </c>
      <c r="H88">
        <v>3</v>
      </c>
      <c r="I88" t="s">
        <v>422</v>
      </c>
      <c r="J88" t="s">
        <v>423</v>
      </c>
      <c r="K88" t="s">
        <v>424</v>
      </c>
      <c r="L88">
        <v>195242642</v>
      </c>
      <c r="N88">
        <v>1010</v>
      </c>
      <c r="O88" t="s">
        <v>425</v>
      </c>
      <c r="P88" t="s">
        <v>425</v>
      </c>
      <c r="Q88">
        <v>1</v>
      </c>
      <c r="W88">
        <v>0</v>
      </c>
      <c r="X88">
        <v>715902649</v>
      </c>
      <c r="Y88">
        <v>1.4E-2</v>
      </c>
      <c r="AA88">
        <v>3415.1</v>
      </c>
      <c r="AB88">
        <v>0</v>
      </c>
      <c r="AC88">
        <v>0</v>
      </c>
      <c r="AD88">
        <v>0</v>
      </c>
      <c r="AE88">
        <v>739.2</v>
      </c>
      <c r="AF88">
        <v>0</v>
      </c>
      <c r="AG88">
        <v>0</v>
      </c>
      <c r="AH88">
        <v>0</v>
      </c>
      <c r="AI88">
        <v>4.62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T88">
        <v>1.4E-2</v>
      </c>
      <c r="AV88">
        <v>0</v>
      </c>
      <c r="AW88">
        <v>2</v>
      </c>
      <c r="AX88">
        <v>939976300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Y88*Source!I47</f>
        <v>0</v>
      </c>
      <c r="CY88">
        <f>AA88</f>
        <v>3415.1</v>
      </c>
      <c r="CZ88">
        <f>AE88</f>
        <v>739.2</v>
      </c>
      <c r="DA88">
        <f>AI88</f>
        <v>4.62</v>
      </c>
      <c r="DB88">
        <f t="shared" ref="DB88:DB130" si="6">ROUND(ROUND(AT88*CZ88,2),6)</f>
        <v>10.35</v>
      </c>
      <c r="DC88">
        <f t="shared" ref="DC88:DC130" si="7">ROUND(ROUND(AT88*AG88,2),6)</f>
        <v>0</v>
      </c>
    </row>
    <row r="89" spans="1:107" x14ac:dyDescent="0.2">
      <c r="A89">
        <f>ROW(Source!A48)</f>
        <v>48</v>
      </c>
      <c r="B89">
        <v>939971439</v>
      </c>
      <c r="C89">
        <v>939976301</v>
      </c>
      <c r="D89">
        <v>37776094</v>
      </c>
      <c r="E89">
        <v>1</v>
      </c>
      <c r="F89">
        <v>1</v>
      </c>
      <c r="G89">
        <v>1</v>
      </c>
      <c r="H89">
        <v>1</v>
      </c>
      <c r="I89" t="s">
        <v>426</v>
      </c>
      <c r="K89" t="s">
        <v>427</v>
      </c>
      <c r="L89">
        <v>1369</v>
      </c>
      <c r="N89">
        <v>1013</v>
      </c>
      <c r="O89" t="s">
        <v>365</v>
      </c>
      <c r="P89" t="s">
        <v>365</v>
      </c>
      <c r="Q89">
        <v>1</v>
      </c>
      <c r="W89">
        <v>0</v>
      </c>
      <c r="X89">
        <v>1415306217</v>
      </c>
      <c r="Y89">
        <v>81.31</v>
      </c>
      <c r="AA89">
        <v>0</v>
      </c>
      <c r="AB89">
        <v>0</v>
      </c>
      <c r="AC89">
        <v>0</v>
      </c>
      <c r="AD89">
        <v>8.31</v>
      </c>
      <c r="AE89">
        <v>0</v>
      </c>
      <c r="AF89">
        <v>0</v>
      </c>
      <c r="AG89">
        <v>0</v>
      </c>
      <c r="AH89">
        <v>8.31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T89">
        <v>81.31</v>
      </c>
      <c r="AV89">
        <v>1</v>
      </c>
      <c r="AW89">
        <v>2</v>
      </c>
      <c r="AX89">
        <v>939976311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Y89*Source!I48</f>
        <v>0</v>
      </c>
      <c r="CY89">
        <f>AD89</f>
        <v>8.31</v>
      </c>
      <c r="CZ89">
        <f>AH89</f>
        <v>8.31</v>
      </c>
      <c r="DA89">
        <f>AL89</f>
        <v>1</v>
      </c>
      <c r="DB89">
        <f t="shared" si="6"/>
        <v>675.69</v>
      </c>
      <c r="DC89">
        <f t="shared" si="7"/>
        <v>0</v>
      </c>
    </row>
    <row r="90" spans="1:107" x14ac:dyDescent="0.2">
      <c r="A90">
        <f>ROW(Source!A48)</f>
        <v>48</v>
      </c>
      <c r="B90">
        <v>939971439</v>
      </c>
      <c r="C90">
        <v>939976301</v>
      </c>
      <c r="D90">
        <v>121548</v>
      </c>
      <c r="E90">
        <v>1</v>
      </c>
      <c r="F90">
        <v>1</v>
      </c>
      <c r="G90">
        <v>1</v>
      </c>
      <c r="H90">
        <v>1</v>
      </c>
      <c r="I90" t="s">
        <v>9</v>
      </c>
      <c r="K90" t="s">
        <v>366</v>
      </c>
      <c r="L90">
        <v>608254</v>
      </c>
      <c r="N90">
        <v>1013</v>
      </c>
      <c r="O90" t="s">
        <v>367</v>
      </c>
      <c r="P90" t="s">
        <v>367</v>
      </c>
      <c r="Q90">
        <v>1</v>
      </c>
      <c r="W90">
        <v>0</v>
      </c>
      <c r="X90">
        <v>-185737400</v>
      </c>
      <c r="Y90">
        <v>2.93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T90">
        <v>2.93</v>
      </c>
      <c r="AV90">
        <v>2</v>
      </c>
      <c r="AW90">
        <v>2</v>
      </c>
      <c r="AX90">
        <v>939976312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Y90*Source!I48</f>
        <v>0</v>
      </c>
      <c r="CY90">
        <f>AD90</f>
        <v>0</v>
      </c>
      <c r="CZ90">
        <f>AH90</f>
        <v>0</v>
      </c>
      <c r="DA90">
        <f>AL90</f>
        <v>1</v>
      </c>
      <c r="DB90">
        <f t="shared" si="6"/>
        <v>0</v>
      </c>
      <c r="DC90">
        <f t="shared" si="7"/>
        <v>0</v>
      </c>
    </row>
    <row r="91" spans="1:107" x14ac:dyDescent="0.2">
      <c r="A91">
        <f>ROW(Source!A48)</f>
        <v>48</v>
      </c>
      <c r="B91">
        <v>939971439</v>
      </c>
      <c r="C91">
        <v>939976301</v>
      </c>
      <c r="D91">
        <v>338036908</v>
      </c>
      <c r="E91">
        <v>1</v>
      </c>
      <c r="F91">
        <v>1</v>
      </c>
      <c r="G91">
        <v>1</v>
      </c>
      <c r="H91">
        <v>2</v>
      </c>
      <c r="I91" t="s">
        <v>428</v>
      </c>
      <c r="J91" t="s">
        <v>429</v>
      </c>
      <c r="K91" t="s">
        <v>430</v>
      </c>
      <c r="L91">
        <v>1368</v>
      </c>
      <c r="N91">
        <v>91022270</v>
      </c>
      <c r="O91" t="s">
        <v>371</v>
      </c>
      <c r="P91" t="s">
        <v>371</v>
      </c>
      <c r="Q91">
        <v>1</v>
      </c>
      <c r="W91">
        <v>0</v>
      </c>
      <c r="X91">
        <v>1549832887</v>
      </c>
      <c r="Y91">
        <v>0.36</v>
      </c>
      <c r="AA91">
        <v>0</v>
      </c>
      <c r="AB91">
        <v>99.89</v>
      </c>
      <c r="AC91">
        <v>10.06</v>
      </c>
      <c r="AD91">
        <v>0</v>
      </c>
      <c r="AE91">
        <v>0</v>
      </c>
      <c r="AF91">
        <v>99.89</v>
      </c>
      <c r="AG91">
        <v>10.06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T91">
        <v>0.36</v>
      </c>
      <c r="AV91">
        <v>0</v>
      </c>
      <c r="AW91">
        <v>2</v>
      </c>
      <c r="AX91">
        <v>939976313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Y91*Source!I48</f>
        <v>0</v>
      </c>
      <c r="CY91">
        <f>AB91</f>
        <v>99.89</v>
      </c>
      <c r="CZ91">
        <f>AF91</f>
        <v>99.89</v>
      </c>
      <c r="DA91">
        <f>AJ91</f>
        <v>1</v>
      </c>
      <c r="DB91">
        <f t="shared" si="6"/>
        <v>35.96</v>
      </c>
      <c r="DC91">
        <f t="shared" si="7"/>
        <v>3.62</v>
      </c>
    </row>
    <row r="92" spans="1:107" x14ac:dyDescent="0.2">
      <c r="A92">
        <f>ROW(Source!A48)</f>
        <v>48</v>
      </c>
      <c r="B92">
        <v>939971439</v>
      </c>
      <c r="C92">
        <v>939976301</v>
      </c>
      <c r="D92">
        <v>338036985</v>
      </c>
      <c r="E92">
        <v>1</v>
      </c>
      <c r="F92">
        <v>1</v>
      </c>
      <c r="G92">
        <v>1</v>
      </c>
      <c r="H92">
        <v>2</v>
      </c>
      <c r="I92" t="s">
        <v>396</v>
      </c>
      <c r="J92" t="s">
        <v>397</v>
      </c>
      <c r="K92" t="s">
        <v>398</v>
      </c>
      <c r="L92">
        <v>1368</v>
      </c>
      <c r="N92">
        <v>91022270</v>
      </c>
      <c r="O92" t="s">
        <v>371</v>
      </c>
      <c r="P92" t="s">
        <v>371</v>
      </c>
      <c r="Q92">
        <v>1</v>
      </c>
      <c r="W92">
        <v>0</v>
      </c>
      <c r="X92">
        <v>344519037</v>
      </c>
      <c r="Y92">
        <v>2.57</v>
      </c>
      <c r="AA92">
        <v>0</v>
      </c>
      <c r="AB92">
        <v>31.26</v>
      </c>
      <c r="AC92">
        <v>13.5</v>
      </c>
      <c r="AD92">
        <v>0</v>
      </c>
      <c r="AE92">
        <v>0</v>
      </c>
      <c r="AF92">
        <v>31.26</v>
      </c>
      <c r="AG92">
        <v>13.5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T92">
        <v>2.57</v>
      </c>
      <c r="AV92">
        <v>0</v>
      </c>
      <c r="AW92">
        <v>2</v>
      </c>
      <c r="AX92">
        <v>939976314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Y92*Source!I48</f>
        <v>0</v>
      </c>
      <c r="CY92">
        <f>AB92</f>
        <v>31.26</v>
      </c>
      <c r="CZ92">
        <f>AF92</f>
        <v>31.26</v>
      </c>
      <c r="DA92">
        <f>AJ92</f>
        <v>1</v>
      </c>
      <c r="DB92">
        <f t="shared" si="6"/>
        <v>80.34</v>
      </c>
      <c r="DC92">
        <f t="shared" si="7"/>
        <v>34.700000000000003</v>
      </c>
    </row>
    <row r="93" spans="1:107" x14ac:dyDescent="0.2">
      <c r="A93">
        <f>ROW(Source!A48)</f>
        <v>48</v>
      </c>
      <c r="B93">
        <v>939971439</v>
      </c>
      <c r="C93">
        <v>939976301</v>
      </c>
      <c r="D93">
        <v>338039342</v>
      </c>
      <c r="E93">
        <v>1</v>
      </c>
      <c r="F93">
        <v>1</v>
      </c>
      <c r="G93">
        <v>1</v>
      </c>
      <c r="H93">
        <v>2</v>
      </c>
      <c r="I93" t="s">
        <v>381</v>
      </c>
      <c r="J93" t="s">
        <v>382</v>
      </c>
      <c r="K93" t="s">
        <v>383</v>
      </c>
      <c r="L93">
        <v>1368</v>
      </c>
      <c r="N93">
        <v>91022270</v>
      </c>
      <c r="O93" t="s">
        <v>371</v>
      </c>
      <c r="P93" t="s">
        <v>371</v>
      </c>
      <c r="Q93">
        <v>1</v>
      </c>
      <c r="W93">
        <v>0</v>
      </c>
      <c r="X93">
        <v>1230759911</v>
      </c>
      <c r="Y93">
        <v>0.84</v>
      </c>
      <c r="AA93">
        <v>0</v>
      </c>
      <c r="AB93">
        <v>87.17</v>
      </c>
      <c r="AC93">
        <v>11.6</v>
      </c>
      <c r="AD93">
        <v>0</v>
      </c>
      <c r="AE93">
        <v>0</v>
      </c>
      <c r="AF93">
        <v>87.17</v>
      </c>
      <c r="AG93">
        <v>11.6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T93">
        <v>0.84</v>
      </c>
      <c r="AV93">
        <v>0</v>
      </c>
      <c r="AW93">
        <v>2</v>
      </c>
      <c r="AX93">
        <v>939976315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Y93*Source!I48</f>
        <v>0</v>
      </c>
      <c r="CY93">
        <f>AB93</f>
        <v>87.17</v>
      </c>
      <c r="CZ93">
        <f>AF93</f>
        <v>87.17</v>
      </c>
      <c r="DA93">
        <f>AJ93</f>
        <v>1</v>
      </c>
      <c r="DB93">
        <f t="shared" si="6"/>
        <v>73.22</v>
      </c>
      <c r="DC93">
        <f t="shared" si="7"/>
        <v>9.74</v>
      </c>
    </row>
    <row r="94" spans="1:107" x14ac:dyDescent="0.2">
      <c r="A94">
        <f>ROW(Source!A48)</f>
        <v>48</v>
      </c>
      <c r="B94">
        <v>939971439</v>
      </c>
      <c r="C94">
        <v>939976301</v>
      </c>
      <c r="D94">
        <v>337972377</v>
      </c>
      <c r="E94">
        <v>1</v>
      </c>
      <c r="F94">
        <v>1</v>
      </c>
      <c r="G94">
        <v>1</v>
      </c>
      <c r="H94">
        <v>3</v>
      </c>
      <c r="I94" t="s">
        <v>18</v>
      </c>
      <c r="J94" t="s">
        <v>431</v>
      </c>
      <c r="K94" t="s">
        <v>19</v>
      </c>
      <c r="L94">
        <v>1339</v>
      </c>
      <c r="N94">
        <v>1007</v>
      </c>
      <c r="O94" t="s">
        <v>20</v>
      </c>
      <c r="P94" t="s">
        <v>20</v>
      </c>
      <c r="Q94">
        <v>1</v>
      </c>
      <c r="W94">
        <v>0</v>
      </c>
      <c r="X94">
        <v>-1158792968</v>
      </c>
      <c r="Y94">
        <v>3.06</v>
      </c>
      <c r="AA94">
        <v>34.92</v>
      </c>
      <c r="AB94">
        <v>0</v>
      </c>
      <c r="AC94">
        <v>0</v>
      </c>
      <c r="AD94">
        <v>0</v>
      </c>
      <c r="AE94">
        <v>34.92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T94">
        <v>3.06</v>
      </c>
      <c r="AV94">
        <v>0</v>
      </c>
      <c r="AW94">
        <v>2</v>
      </c>
      <c r="AX94">
        <v>939976316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Y94*Source!I48</f>
        <v>0</v>
      </c>
      <c r="CY94">
        <f t="shared" ref="CY94:CY100" si="8">AA94</f>
        <v>34.92</v>
      </c>
      <c r="CZ94">
        <f t="shared" ref="CZ94:CZ100" si="9">AE94</f>
        <v>34.92</v>
      </c>
      <c r="DA94">
        <f t="shared" ref="DA94:DA100" si="10">AI94</f>
        <v>1</v>
      </c>
      <c r="DB94">
        <f t="shared" si="6"/>
        <v>106.86</v>
      </c>
      <c r="DC94">
        <f t="shared" si="7"/>
        <v>0</v>
      </c>
    </row>
    <row r="95" spans="1:107" x14ac:dyDescent="0.2">
      <c r="A95">
        <f>ROW(Source!A48)</f>
        <v>48</v>
      </c>
      <c r="B95">
        <v>939971439</v>
      </c>
      <c r="C95">
        <v>939976301</v>
      </c>
      <c r="D95">
        <v>337973861</v>
      </c>
      <c r="E95">
        <v>1</v>
      </c>
      <c r="F95">
        <v>1</v>
      </c>
      <c r="G95">
        <v>1</v>
      </c>
      <c r="H95">
        <v>3</v>
      </c>
      <c r="I95" t="s">
        <v>171</v>
      </c>
      <c r="J95" t="s">
        <v>173</v>
      </c>
      <c r="K95" t="s">
        <v>172</v>
      </c>
      <c r="L95">
        <v>1348</v>
      </c>
      <c r="N95">
        <v>39568864</v>
      </c>
      <c r="O95" t="s">
        <v>26</v>
      </c>
      <c r="P95" t="s">
        <v>26</v>
      </c>
      <c r="Q95">
        <v>1000</v>
      </c>
      <c r="W95">
        <v>0</v>
      </c>
      <c r="X95">
        <v>962115972</v>
      </c>
      <c r="Y95">
        <v>0.45</v>
      </c>
      <c r="AA95">
        <v>6256.66</v>
      </c>
      <c r="AB95">
        <v>0</v>
      </c>
      <c r="AC95">
        <v>0</v>
      </c>
      <c r="AD95">
        <v>0</v>
      </c>
      <c r="AE95">
        <v>6256.66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0</v>
      </c>
      <c r="AP95">
        <v>0</v>
      </c>
      <c r="AQ95">
        <v>0</v>
      </c>
      <c r="AR95">
        <v>0</v>
      </c>
      <c r="AT95">
        <v>0.45</v>
      </c>
      <c r="AV95">
        <v>0</v>
      </c>
      <c r="AW95">
        <v>1</v>
      </c>
      <c r="AX95">
        <v>-1</v>
      </c>
      <c r="AY95">
        <v>0</v>
      </c>
      <c r="AZ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Y95*Source!I48</f>
        <v>0</v>
      </c>
      <c r="CY95">
        <f t="shared" si="8"/>
        <v>6256.66</v>
      </c>
      <c r="CZ95">
        <f t="shared" si="9"/>
        <v>6256.66</v>
      </c>
      <c r="DA95">
        <f t="shared" si="10"/>
        <v>1</v>
      </c>
      <c r="DB95">
        <f t="shared" si="6"/>
        <v>2815.5</v>
      </c>
      <c r="DC95">
        <f t="shared" si="7"/>
        <v>0</v>
      </c>
    </row>
    <row r="96" spans="1:107" x14ac:dyDescent="0.2">
      <c r="A96">
        <f>ROW(Source!A48)</f>
        <v>48</v>
      </c>
      <c r="B96">
        <v>939971439</v>
      </c>
      <c r="C96">
        <v>939976301</v>
      </c>
      <c r="D96">
        <v>337972280</v>
      </c>
      <c r="E96">
        <v>1</v>
      </c>
      <c r="F96">
        <v>1</v>
      </c>
      <c r="G96">
        <v>1</v>
      </c>
      <c r="H96">
        <v>3</v>
      </c>
      <c r="I96" t="s">
        <v>179</v>
      </c>
      <c r="J96" t="s">
        <v>181</v>
      </c>
      <c r="K96" t="s">
        <v>180</v>
      </c>
      <c r="L96">
        <v>1348</v>
      </c>
      <c r="N96">
        <v>39568864</v>
      </c>
      <c r="O96" t="s">
        <v>26</v>
      </c>
      <c r="P96" t="s">
        <v>26</v>
      </c>
      <c r="Q96">
        <v>1000</v>
      </c>
      <c r="W96">
        <v>0</v>
      </c>
      <c r="X96">
        <v>-1170207534</v>
      </c>
      <c r="Y96">
        <v>0.05</v>
      </c>
      <c r="AA96">
        <v>9103.4699999999993</v>
      </c>
      <c r="AB96">
        <v>0</v>
      </c>
      <c r="AC96">
        <v>0</v>
      </c>
      <c r="AD96">
        <v>0</v>
      </c>
      <c r="AE96">
        <v>9103.4699999999993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0</v>
      </c>
      <c r="AP96">
        <v>0</v>
      </c>
      <c r="AQ96">
        <v>0</v>
      </c>
      <c r="AR96">
        <v>0</v>
      </c>
      <c r="AT96">
        <v>0.05</v>
      </c>
      <c r="AV96">
        <v>0</v>
      </c>
      <c r="AW96">
        <v>1</v>
      </c>
      <c r="AX96">
        <v>-1</v>
      </c>
      <c r="AY96">
        <v>0</v>
      </c>
      <c r="AZ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Y96*Source!I48</f>
        <v>0</v>
      </c>
      <c r="CY96">
        <f t="shared" si="8"/>
        <v>9103.4699999999993</v>
      </c>
      <c r="CZ96">
        <f t="shared" si="9"/>
        <v>9103.4699999999993</v>
      </c>
      <c r="DA96">
        <f t="shared" si="10"/>
        <v>1</v>
      </c>
      <c r="DB96">
        <f t="shared" si="6"/>
        <v>455.17</v>
      </c>
      <c r="DC96">
        <f t="shared" si="7"/>
        <v>0</v>
      </c>
    </row>
    <row r="97" spans="1:107" x14ac:dyDescent="0.2">
      <c r="A97">
        <f>ROW(Source!A48)</f>
        <v>48</v>
      </c>
      <c r="B97">
        <v>939971439</v>
      </c>
      <c r="C97">
        <v>939976301</v>
      </c>
      <c r="D97">
        <v>338009588</v>
      </c>
      <c r="E97">
        <v>1</v>
      </c>
      <c r="F97">
        <v>1</v>
      </c>
      <c r="G97">
        <v>1</v>
      </c>
      <c r="H97">
        <v>3</v>
      </c>
      <c r="I97" t="s">
        <v>31</v>
      </c>
      <c r="J97" t="s">
        <v>169</v>
      </c>
      <c r="K97" t="s">
        <v>32</v>
      </c>
      <c r="L97">
        <v>1339</v>
      </c>
      <c r="N97">
        <v>1007</v>
      </c>
      <c r="O97" t="s">
        <v>20</v>
      </c>
      <c r="P97" t="s">
        <v>20</v>
      </c>
      <c r="Q97">
        <v>1</v>
      </c>
      <c r="W97">
        <v>1</v>
      </c>
      <c r="X97">
        <v>-672371193</v>
      </c>
      <c r="Y97">
        <v>-1.3</v>
      </c>
      <c r="AA97">
        <v>600</v>
      </c>
      <c r="AB97">
        <v>0</v>
      </c>
      <c r="AC97">
        <v>0</v>
      </c>
      <c r="AD97">
        <v>0</v>
      </c>
      <c r="AE97">
        <v>600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T97">
        <v>-1.3</v>
      </c>
      <c r="AV97">
        <v>0</v>
      </c>
      <c r="AW97">
        <v>2</v>
      </c>
      <c r="AX97">
        <v>939976317</v>
      </c>
      <c r="AY97">
        <v>1</v>
      </c>
      <c r="AZ97">
        <v>6144</v>
      </c>
      <c r="BA97">
        <v>95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Y97*Source!I48</f>
        <v>0</v>
      </c>
      <c r="CY97">
        <f t="shared" si="8"/>
        <v>600</v>
      </c>
      <c r="CZ97">
        <f t="shared" si="9"/>
        <v>600</v>
      </c>
      <c r="DA97">
        <f t="shared" si="10"/>
        <v>1</v>
      </c>
      <c r="DB97">
        <f t="shared" si="6"/>
        <v>-780</v>
      </c>
      <c r="DC97">
        <f t="shared" si="7"/>
        <v>0</v>
      </c>
    </row>
    <row r="98" spans="1:107" x14ac:dyDescent="0.2">
      <c r="A98">
        <f>ROW(Source!A48)</f>
        <v>48</v>
      </c>
      <c r="B98">
        <v>939971439</v>
      </c>
      <c r="C98">
        <v>939976301</v>
      </c>
      <c r="D98">
        <v>338010244</v>
      </c>
      <c r="E98">
        <v>1</v>
      </c>
      <c r="F98">
        <v>1</v>
      </c>
      <c r="G98">
        <v>1</v>
      </c>
      <c r="H98">
        <v>3</v>
      </c>
      <c r="I98" t="s">
        <v>165</v>
      </c>
      <c r="J98" t="s">
        <v>167</v>
      </c>
      <c r="K98" t="s">
        <v>166</v>
      </c>
      <c r="L98">
        <v>369160830</v>
      </c>
      <c r="N98">
        <v>1005</v>
      </c>
      <c r="O98" t="s">
        <v>17</v>
      </c>
      <c r="P98" t="s">
        <v>17</v>
      </c>
      <c r="Q98">
        <v>1</v>
      </c>
      <c r="W98">
        <v>1</v>
      </c>
      <c r="X98">
        <v>-1889212924</v>
      </c>
      <c r="Y98">
        <v>-102</v>
      </c>
      <c r="AA98">
        <v>70.099999999999994</v>
      </c>
      <c r="AB98">
        <v>0</v>
      </c>
      <c r="AC98">
        <v>0</v>
      </c>
      <c r="AD98">
        <v>0</v>
      </c>
      <c r="AE98">
        <v>70.099999999999994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T98">
        <v>-102</v>
      </c>
      <c r="AV98">
        <v>0</v>
      </c>
      <c r="AW98">
        <v>2</v>
      </c>
      <c r="AX98">
        <v>939976318</v>
      </c>
      <c r="AY98">
        <v>1</v>
      </c>
      <c r="AZ98">
        <v>6144</v>
      </c>
      <c r="BA98">
        <v>96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Y98*Source!I48</f>
        <v>0</v>
      </c>
      <c r="CY98">
        <f t="shared" si="8"/>
        <v>70.099999999999994</v>
      </c>
      <c r="CZ98">
        <f t="shared" si="9"/>
        <v>70.099999999999994</v>
      </c>
      <c r="DA98">
        <f t="shared" si="10"/>
        <v>1</v>
      </c>
      <c r="DB98">
        <f t="shared" si="6"/>
        <v>-7150.2</v>
      </c>
      <c r="DC98">
        <f t="shared" si="7"/>
        <v>0</v>
      </c>
    </row>
    <row r="99" spans="1:107" x14ac:dyDescent="0.2">
      <c r="A99">
        <f>ROW(Source!A48)</f>
        <v>48</v>
      </c>
      <c r="B99">
        <v>939971439</v>
      </c>
      <c r="C99">
        <v>939976301</v>
      </c>
      <c r="D99">
        <v>338010348</v>
      </c>
      <c r="E99">
        <v>1</v>
      </c>
      <c r="F99">
        <v>1</v>
      </c>
      <c r="G99">
        <v>1</v>
      </c>
      <c r="H99">
        <v>3</v>
      </c>
      <c r="I99" t="s">
        <v>175</v>
      </c>
      <c r="J99" t="s">
        <v>177</v>
      </c>
      <c r="K99" t="s">
        <v>176</v>
      </c>
      <c r="L99">
        <v>369160830</v>
      </c>
      <c r="N99">
        <v>1005</v>
      </c>
      <c r="O99" t="s">
        <v>17</v>
      </c>
      <c r="P99" t="s">
        <v>17</v>
      </c>
      <c r="Q99">
        <v>1</v>
      </c>
      <c r="W99">
        <v>0</v>
      </c>
      <c r="X99">
        <v>331078231</v>
      </c>
      <c r="Y99">
        <v>102</v>
      </c>
      <c r="AA99">
        <v>78.58</v>
      </c>
      <c r="AB99">
        <v>0</v>
      </c>
      <c r="AC99">
        <v>0</v>
      </c>
      <c r="AD99">
        <v>0</v>
      </c>
      <c r="AE99">
        <v>78.58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0</v>
      </c>
      <c r="AP99">
        <v>0</v>
      </c>
      <c r="AQ99">
        <v>0</v>
      </c>
      <c r="AR99">
        <v>0</v>
      </c>
      <c r="AT99">
        <v>102</v>
      </c>
      <c r="AV99">
        <v>0</v>
      </c>
      <c r="AW99">
        <v>1</v>
      </c>
      <c r="AX99">
        <v>-1</v>
      </c>
      <c r="AY99">
        <v>0</v>
      </c>
      <c r="AZ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Y99*Source!I48</f>
        <v>0</v>
      </c>
      <c r="CY99">
        <f t="shared" si="8"/>
        <v>78.58</v>
      </c>
      <c r="CZ99">
        <f t="shared" si="9"/>
        <v>78.58</v>
      </c>
      <c r="DA99">
        <f t="shared" si="10"/>
        <v>1</v>
      </c>
      <c r="DB99">
        <f t="shared" si="6"/>
        <v>8015.16</v>
      </c>
      <c r="DC99">
        <f t="shared" si="7"/>
        <v>0</v>
      </c>
    </row>
    <row r="100" spans="1:107" x14ac:dyDescent="0.2">
      <c r="A100">
        <f>ROW(Source!A48)</f>
        <v>48</v>
      </c>
      <c r="B100">
        <v>939971439</v>
      </c>
      <c r="C100">
        <v>939976301</v>
      </c>
      <c r="D100">
        <v>338014469</v>
      </c>
      <c r="E100">
        <v>1</v>
      </c>
      <c r="F100">
        <v>1</v>
      </c>
      <c r="G100">
        <v>1</v>
      </c>
      <c r="H100">
        <v>3</v>
      </c>
      <c r="I100" t="s">
        <v>33</v>
      </c>
      <c r="J100" t="s">
        <v>393</v>
      </c>
      <c r="K100" t="s">
        <v>34</v>
      </c>
      <c r="L100">
        <v>1339</v>
      </c>
      <c r="N100">
        <v>1007</v>
      </c>
      <c r="O100" t="s">
        <v>20</v>
      </c>
      <c r="P100" t="s">
        <v>20</v>
      </c>
      <c r="Q100">
        <v>1</v>
      </c>
      <c r="W100">
        <v>0</v>
      </c>
      <c r="X100">
        <v>619799737</v>
      </c>
      <c r="Y100">
        <v>3.85</v>
      </c>
      <c r="AA100">
        <v>2.44</v>
      </c>
      <c r="AB100">
        <v>0</v>
      </c>
      <c r="AC100">
        <v>0</v>
      </c>
      <c r="AD100">
        <v>0</v>
      </c>
      <c r="AE100">
        <v>2.44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T100">
        <v>3.85</v>
      </c>
      <c r="AV100">
        <v>0</v>
      </c>
      <c r="AW100">
        <v>2</v>
      </c>
      <c r="AX100">
        <v>939976319</v>
      </c>
      <c r="AY100">
        <v>1</v>
      </c>
      <c r="AZ100">
        <v>0</v>
      </c>
      <c r="BA100">
        <v>97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Y100*Source!I48</f>
        <v>0</v>
      </c>
      <c r="CY100">
        <f t="shared" si="8"/>
        <v>2.44</v>
      </c>
      <c r="CZ100">
        <f t="shared" si="9"/>
        <v>2.44</v>
      </c>
      <c r="DA100">
        <f t="shared" si="10"/>
        <v>1</v>
      </c>
      <c r="DB100">
        <f t="shared" si="6"/>
        <v>9.39</v>
      </c>
      <c r="DC100">
        <f t="shared" si="7"/>
        <v>0</v>
      </c>
    </row>
    <row r="101" spans="1:107" x14ac:dyDescent="0.2">
      <c r="A101">
        <f>ROW(Source!A49)</f>
        <v>49</v>
      </c>
      <c r="B101">
        <v>939971440</v>
      </c>
      <c r="C101">
        <v>939976301</v>
      </c>
      <c r="D101">
        <v>37776094</v>
      </c>
      <c r="E101">
        <v>1</v>
      </c>
      <c r="F101">
        <v>1</v>
      </c>
      <c r="G101">
        <v>1</v>
      </c>
      <c r="H101">
        <v>1</v>
      </c>
      <c r="I101" t="s">
        <v>426</v>
      </c>
      <c r="K101" t="s">
        <v>427</v>
      </c>
      <c r="L101">
        <v>1369</v>
      </c>
      <c r="N101">
        <v>1013</v>
      </c>
      <c r="O101" t="s">
        <v>365</v>
      </c>
      <c r="P101" t="s">
        <v>365</v>
      </c>
      <c r="Q101">
        <v>1</v>
      </c>
      <c r="W101">
        <v>0</v>
      </c>
      <c r="X101">
        <v>1415306217</v>
      </c>
      <c r="Y101">
        <v>81.31</v>
      </c>
      <c r="AA101">
        <v>0</v>
      </c>
      <c r="AB101">
        <v>0</v>
      </c>
      <c r="AC101">
        <v>0</v>
      </c>
      <c r="AD101">
        <v>8.31</v>
      </c>
      <c r="AE101">
        <v>0</v>
      </c>
      <c r="AF101">
        <v>0</v>
      </c>
      <c r="AG101">
        <v>0</v>
      </c>
      <c r="AH101">
        <v>8.31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T101">
        <v>81.31</v>
      </c>
      <c r="AV101">
        <v>1</v>
      </c>
      <c r="AW101">
        <v>2</v>
      </c>
      <c r="AX101">
        <v>939976311</v>
      </c>
      <c r="AY101">
        <v>1</v>
      </c>
      <c r="AZ101">
        <v>0</v>
      </c>
      <c r="BA101">
        <v>98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Y101*Source!I49</f>
        <v>0</v>
      </c>
      <c r="CY101">
        <f>AD101</f>
        <v>8.31</v>
      </c>
      <c r="CZ101">
        <f>AH101</f>
        <v>8.31</v>
      </c>
      <c r="DA101">
        <f>AL101</f>
        <v>1</v>
      </c>
      <c r="DB101">
        <f t="shared" si="6"/>
        <v>675.69</v>
      </c>
      <c r="DC101">
        <f t="shared" si="7"/>
        <v>0</v>
      </c>
    </row>
    <row r="102" spans="1:107" x14ac:dyDescent="0.2">
      <c r="A102">
        <f>ROW(Source!A49)</f>
        <v>49</v>
      </c>
      <c r="B102">
        <v>939971440</v>
      </c>
      <c r="C102">
        <v>939976301</v>
      </c>
      <c r="D102">
        <v>121548</v>
      </c>
      <c r="E102">
        <v>1</v>
      </c>
      <c r="F102">
        <v>1</v>
      </c>
      <c r="G102">
        <v>1</v>
      </c>
      <c r="H102">
        <v>1</v>
      </c>
      <c r="I102" t="s">
        <v>9</v>
      </c>
      <c r="K102" t="s">
        <v>366</v>
      </c>
      <c r="L102">
        <v>608254</v>
      </c>
      <c r="N102">
        <v>1013</v>
      </c>
      <c r="O102" t="s">
        <v>367</v>
      </c>
      <c r="P102" t="s">
        <v>367</v>
      </c>
      <c r="Q102">
        <v>1</v>
      </c>
      <c r="W102">
        <v>0</v>
      </c>
      <c r="X102">
        <v>-185737400</v>
      </c>
      <c r="Y102">
        <v>2.93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T102">
        <v>2.93</v>
      </c>
      <c r="AV102">
        <v>2</v>
      </c>
      <c r="AW102">
        <v>2</v>
      </c>
      <c r="AX102">
        <v>939976312</v>
      </c>
      <c r="AY102">
        <v>1</v>
      </c>
      <c r="AZ102">
        <v>0</v>
      </c>
      <c r="BA102">
        <v>99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Y102*Source!I49</f>
        <v>0</v>
      </c>
      <c r="CY102">
        <f>AD102</f>
        <v>0</v>
      </c>
      <c r="CZ102">
        <f>AH102</f>
        <v>0</v>
      </c>
      <c r="DA102">
        <f>AL102</f>
        <v>1</v>
      </c>
      <c r="DB102">
        <f t="shared" si="6"/>
        <v>0</v>
      </c>
      <c r="DC102">
        <f t="shared" si="7"/>
        <v>0</v>
      </c>
    </row>
    <row r="103" spans="1:107" x14ac:dyDescent="0.2">
      <c r="A103">
        <f>ROW(Source!A49)</f>
        <v>49</v>
      </c>
      <c r="B103">
        <v>939971440</v>
      </c>
      <c r="C103">
        <v>939976301</v>
      </c>
      <c r="D103">
        <v>338036908</v>
      </c>
      <c r="E103">
        <v>1</v>
      </c>
      <c r="F103">
        <v>1</v>
      </c>
      <c r="G103">
        <v>1</v>
      </c>
      <c r="H103">
        <v>2</v>
      </c>
      <c r="I103" t="s">
        <v>428</v>
      </c>
      <c r="J103" t="s">
        <v>429</v>
      </c>
      <c r="K103" t="s">
        <v>430</v>
      </c>
      <c r="L103">
        <v>1368</v>
      </c>
      <c r="N103">
        <v>91022270</v>
      </c>
      <c r="O103" t="s">
        <v>371</v>
      </c>
      <c r="P103" t="s">
        <v>371</v>
      </c>
      <c r="Q103">
        <v>1</v>
      </c>
      <c r="W103">
        <v>0</v>
      </c>
      <c r="X103">
        <v>1549832887</v>
      </c>
      <c r="Y103">
        <v>0.36</v>
      </c>
      <c r="AA103">
        <v>0</v>
      </c>
      <c r="AB103">
        <v>901.01</v>
      </c>
      <c r="AC103">
        <v>336.61</v>
      </c>
      <c r="AD103">
        <v>0</v>
      </c>
      <c r="AE103">
        <v>0</v>
      </c>
      <c r="AF103">
        <v>99.89</v>
      </c>
      <c r="AG103">
        <v>10.06</v>
      </c>
      <c r="AH103">
        <v>0</v>
      </c>
      <c r="AI103">
        <v>1</v>
      </c>
      <c r="AJ103">
        <v>9.02</v>
      </c>
      <c r="AK103">
        <v>33.46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T103">
        <v>0.36</v>
      </c>
      <c r="AV103">
        <v>0</v>
      </c>
      <c r="AW103">
        <v>2</v>
      </c>
      <c r="AX103">
        <v>939976313</v>
      </c>
      <c r="AY103">
        <v>1</v>
      </c>
      <c r="AZ103">
        <v>0</v>
      </c>
      <c r="BA103">
        <v>100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Y103*Source!I49</f>
        <v>0</v>
      </c>
      <c r="CY103">
        <f>AB103</f>
        <v>901.01</v>
      </c>
      <c r="CZ103">
        <f>AF103</f>
        <v>99.89</v>
      </c>
      <c r="DA103">
        <f>AJ103</f>
        <v>9.02</v>
      </c>
      <c r="DB103">
        <f t="shared" si="6"/>
        <v>35.96</v>
      </c>
      <c r="DC103">
        <f t="shared" si="7"/>
        <v>3.62</v>
      </c>
    </row>
    <row r="104" spans="1:107" x14ac:dyDescent="0.2">
      <c r="A104">
        <f>ROW(Source!A49)</f>
        <v>49</v>
      </c>
      <c r="B104">
        <v>939971440</v>
      </c>
      <c r="C104">
        <v>939976301</v>
      </c>
      <c r="D104">
        <v>338036985</v>
      </c>
      <c r="E104">
        <v>1</v>
      </c>
      <c r="F104">
        <v>1</v>
      </c>
      <c r="G104">
        <v>1</v>
      </c>
      <c r="H104">
        <v>2</v>
      </c>
      <c r="I104" t="s">
        <v>396</v>
      </c>
      <c r="J104" t="s">
        <v>397</v>
      </c>
      <c r="K104" t="s">
        <v>398</v>
      </c>
      <c r="L104">
        <v>1368</v>
      </c>
      <c r="N104">
        <v>91022270</v>
      </c>
      <c r="O104" t="s">
        <v>371</v>
      </c>
      <c r="P104" t="s">
        <v>371</v>
      </c>
      <c r="Q104">
        <v>1</v>
      </c>
      <c r="W104">
        <v>0</v>
      </c>
      <c r="X104">
        <v>344519037</v>
      </c>
      <c r="Y104">
        <v>2.57</v>
      </c>
      <c r="AA104">
        <v>0</v>
      </c>
      <c r="AB104">
        <v>466.71</v>
      </c>
      <c r="AC104">
        <v>451.71</v>
      </c>
      <c r="AD104">
        <v>0</v>
      </c>
      <c r="AE104">
        <v>0</v>
      </c>
      <c r="AF104">
        <v>31.26</v>
      </c>
      <c r="AG104">
        <v>13.5</v>
      </c>
      <c r="AH104">
        <v>0</v>
      </c>
      <c r="AI104">
        <v>1</v>
      </c>
      <c r="AJ104">
        <v>14.93</v>
      </c>
      <c r="AK104">
        <v>33.46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T104">
        <v>2.57</v>
      </c>
      <c r="AV104">
        <v>0</v>
      </c>
      <c r="AW104">
        <v>2</v>
      </c>
      <c r="AX104">
        <v>939976314</v>
      </c>
      <c r="AY104">
        <v>1</v>
      </c>
      <c r="AZ104">
        <v>0</v>
      </c>
      <c r="BA104">
        <v>101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Y104*Source!I49</f>
        <v>0</v>
      </c>
      <c r="CY104">
        <f>AB104</f>
        <v>466.71</v>
      </c>
      <c r="CZ104">
        <f>AF104</f>
        <v>31.26</v>
      </c>
      <c r="DA104">
        <f>AJ104</f>
        <v>14.93</v>
      </c>
      <c r="DB104">
        <f t="shared" si="6"/>
        <v>80.34</v>
      </c>
      <c r="DC104">
        <f t="shared" si="7"/>
        <v>34.700000000000003</v>
      </c>
    </row>
    <row r="105" spans="1:107" x14ac:dyDescent="0.2">
      <c r="A105">
        <f>ROW(Source!A49)</f>
        <v>49</v>
      </c>
      <c r="B105">
        <v>939971440</v>
      </c>
      <c r="C105">
        <v>939976301</v>
      </c>
      <c r="D105">
        <v>338039342</v>
      </c>
      <c r="E105">
        <v>1</v>
      </c>
      <c r="F105">
        <v>1</v>
      </c>
      <c r="G105">
        <v>1</v>
      </c>
      <c r="H105">
        <v>2</v>
      </c>
      <c r="I105" t="s">
        <v>381</v>
      </c>
      <c r="J105" t="s">
        <v>382</v>
      </c>
      <c r="K105" t="s">
        <v>383</v>
      </c>
      <c r="L105">
        <v>1368</v>
      </c>
      <c r="N105">
        <v>91022270</v>
      </c>
      <c r="O105" t="s">
        <v>371</v>
      </c>
      <c r="P105" t="s">
        <v>371</v>
      </c>
      <c r="Q105">
        <v>1</v>
      </c>
      <c r="W105">
        <v>0</v>
      </c>
      <c r="X105">
        <v>1230759911</v>
      </c>
      <c r="Y105">
        <v>0.84</v>
      </c>
      <c r="AA105">
        <v>0</v>
      </c>
      <c r="AB105">
        <v>932.72</v>
      </c>
      <c r="AC105">
        <v>388.14</v>
      </c>
      <c r="AD105">
        <v>0</v>
      </c>
      <c r="AE105">
        <v>0</v>
      </c>
      <c r="AF105">
        <v>87.17</v>
      </c>
      <c r="AG105">
        <v>11.6</v>
      </c>
      <c r="AH105">
        <v>0</v>
      </c>
      <c r="AI105">
        <v>1</v>
      </c>
      <c r="AJ105">
        <v>10.7</v>
      </c>
      <c r="AK105">
        <v>33.46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T105">
        <v>0.84</v>
      </c>
      <c r="AV105">
        <v>0</v>
      </c>
      <c r="AW105">
        <v>2</v>
      </c>
      <c r="AX105">
        <v>939976315</v>
      </c>
      <c r="AY105">
        <v>1</v>
      </c>
      <c r="AZ105">
        <v>0</v>
      </c>
      <c r="BA105">
        <v>102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Y105*Source!I49</f>
        <v>0</v>
      </c>
      <c r="CY105">
        <f>AB105</f>
        <v>932.72</v>
      </c>
      <c r="CZ105">
        <f>AF105</f>
        <v>87.17</v>
      </c>
      <c r="DA105">
        <f>AJ105</f>
        <v>10.7</v>
      </c>
      <c r="DB105">
        <f t="shared" si="6"/>
        <v>73.22</v>
      </c>
      <c r="DC105">
        <f t="shared" si="7"/>
        <v>9.74</v>
      </c>
    </row>
    <row r="106" spans="1:107" x14ac:dyDescent="0.2">
      <c r="A106">
        <f>ROW(Source!A49)</f>
        <v>49</v>
      </c>
      <c r="B106">
        <v>939971440</v>
      </c>
      <c r="C106">
        <v>939976301</v>
      </c>
      <c r="D106">
        <v>337972377</v>
      </c>
      <c r="E106">
        <v>1</v>
      </c>
      <c r="F106">
        <v>1</v>
      </c>
      <c r="G106">
        <v>1</v>
      </c>
      <c r="H106">
        <v>3</v>
      </c>
      <c r="I106" t="s">
        <v>18</v>
      </c>
      <c r="J106" t="s">
        <v>431</v>
      </c>
      <c r="K106" t="s">
        <v>19</v>
      </c>
      <c r="L106">
        <v>1339</v>
      </c>
      <c r="N106">
        <v>1007</v>
      </c>
      <c r="O106" t="s">
        <v>20</v>
      </c>
      <c r="P106" t="s">
        <v>20</v>
      </c>
      <c r="Q106">
        <v>1</v>
      </c>
      <c r="W106">
        <v>0</v>
      </c>
      <c r="X106">
        <v>-1158792968</v>
      </c>
      <c r="Y106">
        <v>3.06</v>
      </c>
      <c r="AA106">
        <v>423.58</v>
      </c>
      <c r="AB106">
        <v>0</v>
      </c>
      <c r="AC106">
        <v>0</v>
      </c>
      <c r="AD106">
        <v>0</v>
      </c>
      <c r="AE106">
        <v>34.92</v>
      </c>
      <c r="AF106">
        <v>0</v>
      </c>
      <c r="AG106">
        <v>0</v>
      </c>
      <c r="AH106">
        <v>0</v>
      </c>
      <c r="AI106">
        <v>12.13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T106">
        <v>3.06</v>
      </c>
      <c r="AV106">
        <v>0</v>
      </c>
      <c r="AW106">
        <v>2</v>
      </c>
      <c r="AX106">
        <v>939976316</v>
      </c>
      <c r="AY106">
        <v>1</v>
      </c>
      <c r="AZ106">
        <v>0</v>
      </c>
      <c r="BA106">
        <v>103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Y106*Source!I49</f>
        <v>0</v>
      </c>
      <c r="CY106">
        <f t="shared" ref="CY106:CY112" si="11">AA106</f>
        <v>423.58</v>
      </c>
      <c r="CZ106">
        <f t="shared" ref="CZ106:CZ112" si="12">AE106</f>
        <v>34.92</v>
      </c>
      <c r="DA106">
        <f t="shared" ref="DA106:DA112" si="13">AI106</f>
        <v>12.13</v>
      </c>
      <c r="DB106">
        <f t="shared" si="6"/>
        <v>106.86</v>
      </c>
      <c r="DC106">
        <f t="shared" si="7"/>
        <v>0</v>
      </c>
    </row>
    <row r="107" spans="1:107" x14ac:dyDescent="0.2">
      <c r="A107">
        <f>ROW(Source!A49)</f>
        <v>49</v>
      </c>
      <c r="B107">
        <v>939971440</v>
      </c>
      <c r="C107">
        <v>939976301</v>
      </c>
      <c r="D107">
        <v>337973861</v>
      </c>
      <c r="E107">
        <v>1</v>
      </c>
      <c r="F107">
        <v>1</v>
      </c>
      <c r="G107">
        <v>1</v>
      </c>
      <c r="H107">
        <v>3</v>
      </c>
      <c r="I107" t="s">
        <v>171</v>
      </c>
      <c r="J107" t="s">
        <v>173</v>
      </c>
      <c r="K107" t="s">
        <v>172</v>
      </c>
      <c r="L107">
        <v>1348</v>
      </c>
      <c r="N107">
        <v>39568864</v>
      </c>
      <c r="O107" t="s">
        <v>26</v>
      </c>
      <c r="P107" t="s">
        <v>26</v>
      </c>
      <c r="Q107">
        <v>1000</v>
      </c>
      <c r="W107">
        <v>0</v>
      </c>
      <c r="X107">
        <v>962115972</v>
      </c>
      <c r="Y107">
        <v>0.45</v>
      </c>
      <c r="AA107">
        <v>25026.639999999999</v>
      </c>
      <c r="AB107">
        <v>0</v>
      </c>
      <c r="AC107">
        <v>0</v>
      </c>
      <c r="AD107">
        <v>0</v>
      </c>
      <c r="AE107">
        <v>6256.66</v>
      </c>
      <c r="AF107">
        <v>0</v>
      </c>
      <c r="AG107">
        <v>0</v>
      </c>
      <c r="AH107">
        <v>0</v>
      </c>
      <c r="AI107">
        <v>4</v>
      </c>
      <c r="AJ107">
        <v>1</v>
      </c>
      <c r="AK107">
        <v>1</v>
      </c>
      <c r="AL107">
        <v>1</v>
      </c>
      <c r="AN107">
        <v>0</v>
      </c>
      <c r="AO107">
        <v>0</v>
      </c>
      <c r="AP107">
        <v>0</v>
      </c>
      <c r="AQ107">
        <v>0</v>
      </c>
      <c r="AR107">
        <v>0</v>
      </c>
      <c r="AT107">
        <v>0.45</v>
      </c>
      <c r="AV107">
        <v>0</v>
      </c>
      <c r="AW107">
        <v>1</v>
      </c>
      <c r="AX107">
        <v>-1</v>
      </c>
      <c r="AY107">
        <v>0</v>
      </c>
      <c r="AZ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Y107*Source!I49</f>
        <v>0</v>
      </c>
      <c r="CY107">
        <f t="shared" si="11"/>
        <v>25026.639999999999</v>
      </c>
      <c r="CZ107">
        <f t="shared" si="12"/>
        <v>6256.66</v>
      </c>
      <c r="DA107">
        <f t="shared" si="13"/>
        <v>4</v>
      </c>
      <c r="DB107">
        <f t="shared" si="6"/>
        <v>2815.5</v>
      </c>
      <c r="DC107">
        <f t="shared" si="7"/>
        <v>0</v>
      </c>
    </row>
    <row r="108" spans="1:107" x14ac:dyDescent="0.2">
      <c r="A108">
        <f>ROW(Source!A49)</f>
        <v>49</v>
      </c>
      <c r="B108">
        <v>939971440</v>
      </c>
      <c r="C108">
        <v>939976301</v>
      </c>
      <c r="D108">
        <v>337972280</v>
      </c>
      <c r="E108">
        <v>1</v>
      </c>
      <c r="F108">
        <v>1</v>
      </c>
      <c r="G108">
        <v>1</v>
      </c>
      <c r="H108">
        <v>3</v>
      </c>
      <c r="I108" t="s">
        <v>179</v>
      </c>
      <c r="J108" t="s">
        <v>181</v>
      </c>
      <c r="K108" t="s">
        <v>180</v>
      </c>
      <c r="L108">
        <v>1348</v>
      </c>
      <c r="N108">
        <v>39568864</v>
      </c>
      <c r="O108" t="s">
        <v>26</v>
      </c>
      <c r="P108" t="s">
        <v>26</v>
      </c>
      <c r="Q108">
        <v>1000</v>
      </c>
      <c r="W108">
        <v>0</v>
      </c>
      <c r="X108">
        <v>-1170207534</v>
      </c>
      <c r="Y108">
        <v>0.05</v>
      </c>
      <c r="AA108">
        <v>9103.4699999999993</v>
      </c>
      <c r="AB108">
        <v>0</v>
      </c>
      <c r="AC108">
        <v>0</v>
      </c>
      <c r="AD108">
        <v>0</v>
      </c>
      <c r="AE108">
        <v>9103.4699999999993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0</v>
      </c>
      <c r="AP108">
        <v>0</v>
      </c>
      <c r="AQ108">
        <v>0</v>
      </c>
      <c r="AR108">
        <v>0</v>
      </c>
      <c r="AT108">
        <v>0.05</v>
      </c>
      <c r="AV108">
        <v>0</v>
      </c>
      <c r="AW108">
        <v>1</v>
      </c>
      <c r="AX108">
        <v>-1</v>
      </c>
      <c r="AY108">
        <v>0</v>
      </c>
      <c r="AZ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Y108*Source!I49</f>
        <v>0</v>
      </c>
      <c r="CY108">
        <f t="shared" si="11"/>
        <v>9103.4699999999993</v>
      </c>
      <c r="CZ108">
        <f t="shared" si="12"/>
        <v>9103.4699999999993</v>
      </c>
      <c r="DA108">
        <f t="shared" si="13"/>
        <v>1</v>
      </c>
      <c r="DB108">
        <f t="shared" si="6"/>
        <v>455.17</v>
      </c>
      <c r="DC108">
        <f t="shared" si="7"/>
        <v>0</v>
      </c>
    </row>
    <row r="109" spans="1:107" x14ac:dyDescent="0.2">
      <c r="A109">
        <f>ROW(Source!A49)</f>
        <v>49</v>
      </c>
      <c r="B109">
        <v>939971440</v>
      </c>
      <c r="C109">
        <v>939976301</v>
      </c>
      <c r="D109">
        <v>338009588</v>
      </c>
      <c r="E109">
        <v>1</v>
      </c>
      <c r="F109">
        <v>1</v>
      </c>
      <c r="G109">
        <v>1</v>
      </c>
      <c r="H109">
        <v>3</v>
      </c>
      <c r="I109" t="s">
        <v>31</v>
      </c>
      <c r="J109" t="s">
        <v>169</v>
      </c>
      <c r="K109" t="s">
        <v>32</v>
      </c>
      <c r="L109">
        <v>1339</v>
      </c>
      <c r="N109">
        <v>1007</v>
      </c>
      <c r="O109" t="s">
        <v>20</v>
      </c>
      <c r="P109" t="s">
        <v>20</v>
      </c>
      <c r="Q109">
        <v>1</v>
      </c>
      <c r="W109">
        <v>1</v>
      </c>
      <c r="X109">
        <v>-672371193</v>
      </c>
      <c r="Y109">
        <v>-1.3</v>
      </c>
      <c r="AA109">
        <v>3534</v>
      </c>
      <c r="AB109">
        <v>0</v>
      </c>
      <c r="AC109">
        <v>0</v>
      </c>
      <c r="AD109">
        <v>0</v>
      </c>
      <c r="AE109">
        <v>600</v>
      </c>
      <c r="AF109">
        <v>0</v>
      </c>
      <c r="AG109">
        <v>0</v>
      </c>
      <c r="AH109">
        <v>0</v>
      </c>
      <c r="AI109">
        <v>5.89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T109">
        <v>-1.3</v>
      </c>
      <c r="AV109">
        <v>0</v>
      </c>
      <c r="AW109">
        <v>2</v>
      </c>
      <c r="AX109">
        <v>939976317</v>
      </c>
      <c r="AY109">
        <v>1</v>
      </c>
      <c r="AZ109">
        <v>6144</v>
      </c>
      <c r="BA109">
        <v>104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Y109*Source!I49</f>
        <v>0</v>
      </c>
      <c r="CY109">
        <f t="shared" si="11"/>
        <v>3534</v>
      </c>
      <c r="CZ109">
        <f t="shared" si="12"/>
        <v>600</v>
      </c>
      <c r="DA109">
        <f t="shared" si="13"/>
        <v>5.89</v>
      </c>
      <c r="DB109">
        <f t="shared" si="6"/>
        <v>-780</v>
      </c>
      <c r="DC109">
        <f t="shared" si="7"/>
        <v>0</v>
      </c>
    </row>
    <row r="110" spans="1:107" x14ac:dyDescent="0.2">
      <c r="A110">
        <f>ROW(Source!A49)</f>
        <v>49</v>
      </c>
      <c r="B110">
        <v>939971440</v>
      </c>
      <c r="C110">
        <v>939976301</v>
      </c>
      <c r="D110">
        <v>338010244</v>
      </c>
      <c r="E110">
        <v>1</v>
      </c>
      <c r="F110">
        <v>1</v>
      </c>
      <c r="G110">
        <v>1</v>
      </c>
      <c r="H110">
        <v>3</v>
      </c>
      <c r="I110" t="s">
        <v>165</v>
      </c>
      <c r="J110" t="s">
        <v>167</v>
      </c>
      <c r="K110" t="s">
        <v>166</v>
      </c>
      <c r="L110">
        <v>369160830</v>
      </c>
      <c r="N110">
        <v>1005</v>
      </c>
      <c r="O110" t="s">
        <v>17</v>
      </c>
      <c r="P110" t="s">
        <v>17</v>
      </c>
      <c r="Q110">
        <v>1</v>
      </c>
      <c r="W110">
        <v>1</v>
      </c>
      <c r="X110">
        <v>-1889212924</v>
      </c>
      <c r="Y110">
        <v>-102</v>
      </c>
      <c r="AA110">
        <v>314.05</v>
      </c>
      <c r="AB110">
        <v>0</v>
      </c>
      <c r="AC110">
        <v>0</v>
      </c>
      <c r="AD110">
        <v>0</v>
      </c>
      <c r="AE110">
        <v>70.099999999999994</v>
      </c>
      <c r="AF110">
        <v>0</v>
      </c>
      <c r="AG110">
        <v>0</v>
      </c>
      <c r="AH110">
        <v>0</v>
      </c>
      <c r="AI110">
        <v>4.4800000000000004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T110">
        <v>-102</v>
      </c>
      <c r="AV110">
        <v>0</v>
      </c>
      <c r="AW110">
        <v>2</v>
      </c>
      <c r="AX110">
        <v>939976318</v>
      </c>
      <c r="AY110">
        <v>1</v>
      </c>
      <c r="AZ110">
        <v>6144</v>
      </c>
      <c r="BA110">
        <v>105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Y110*Source!I49</f>
        <v>0</v>
      </c>
      <c r="CY110">
        <f t="shared" si="11"/>
        <v>314.05</v>
      </c>
      <c r="CZ110">
        <f t="shared" si="12"/>
        <v>70.099999999999994</v>
      </c>
      <c r="DA110">
        <f t="shared" si="13"/>
        <v>4.4800000000000004</v>
      </c>
      <c r="DB110">
        <f t="shared" si="6"/>
        <v>-7150.2</v>
      </c>
      <c r="DC110">
        <f t="shared" si="7"/>
        <v>0</v>
      </c>
    </row>
    <row r="111" spans="1:107" x14ac:dyDescent="0.2">
      <c r="A111">
        <f>ROW(Source!A49)</f>
        <v>49</v>
      </c>
      <c r="B111">
        <v>939971440</v>
      </c>
      <c r="C111">
        <v>939976301</v>
      </c>
      <c r="D111">
        <v>338010348</v>
      </c>
      <c r="E111">
        <v>1</v>
      </c>
      <c r="F111">
        <v>1</v>
      </c>
      <c r="G111">
        <v>1</v>
      </c>
      <c r="H111">
        <v>3</v>
      </c>
      <c r="I111" t="s">
        <v>175</v>
      </c>
      <c r="J111" t="s">
        <v>177</v>
      </c>
      <c r="K111" t="s">
        <v>176</v>
      </c>
      <c r="L111">
        <v>369160830</v>
      </c>
      <c r="N111">
        <v>1005</v>
      </c>
      <c r="O111" t="s">
        <v>17</v>
      </c>
      <c r="P111" t="s">
        <v>17</v>
      </c>
      <c r="Q111">
        <v>1</v>
      </c>
      <c r="W111">
        <v>0</v>
      </c>
      <c r="X111">
        <v>331078231</v>
      </c>
      <c r="Y111">
        <v>102</v>
      </c>
      <c r="AA111">
        <v>363.83</v>
      </c>
      <c r="AB111">
        <v>0</v>
      </c>
      <c r="AC111">
        <v>0</v>
      </c>
      <c r="AD111">
        <v>0</v>
      </c>
      <c r="AE111">
        <v>78.58</v>
      </c>
      <c r="AF111">
        <v>0</v>
      </c>
      <c r="AG111">
        <v>0</v>
      </c>
      <c r="AH111">
        <v>0</v>
      </c>
      <c r="AI111">
        <v>4.63</v>
      </c>
      <c r="AJ111">
        <v>1</v>
      </c>
      <c r="AK111">
        <v>1</v>
      </c>
      <c r="AL111">
        <v>1</v>
      </c>
      <c r="AN111">
        <v>0</v>
      </c>
      <c r="AO111">
        <v>0</v>
      </c>
      <c r="AP111">
        <v>0</v>
      </c>
      <c r="AQ111">
        <v>0</v>
      </c>
      <c r="AR111">
        <v>0</v>
      </c>
      <c r="AT111">
        <v>102</v>
      </c>
      <c r="AV111">
        <v>0</v>
      </c>
      <c r="AW111">
        <v>1</v>
      </c>
      <c r="AX111">
        <v>-1</v>
      </c>
      <c r="AY111">
        <v>0</v>
      </c>
      <c r="AZ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Y111*Source!I49</f>
        <v>0</v>
      </c>
      <c r="CY111">
        <f t="shared" si="11"/>
        <v>363.83</v>
      </c>
      <c r="CZ111">
        <f t="shared" si="12"/>
        <v>78.58</v>
      </c>
      <c r="DA111">
        <f t="shared" si="13"/>
        <v>4.63</v>
      </c>
      <c r="DB111">
        <f t="shared" si="6"/>
        <v>8015.16</v>
      </c>
      <c r="DC111">
        <f t="shared" si="7"/>
        <v>0</v>
      </c>
    </row>
    <row r="112" spans="1:107" x14ac:dyDescent="0.2">
      <c r="A112">
        <f>ROW(Source!A49)</f>
        <v>49</v>
      </c>
      <c r="B112">
        <v>939971440</v>
      </c>
      <c r="C112">
        <v>939976301</v>
      </c>
      <c r="D112">
        <v>338014469</v>
      </c>
      <c r="E112">
        <v>1</v>
      </c>
      <c r="F112">
        <v>1</v>
      </c>
      <c r="G112">
        <v>1</v>
      </c>
      <c r="H112">
        <v>3</v>
      </c>
      <c r="I112" t="s">
        <v>33</v>
      </c>
      <c r="J112" t="s">
        <v>393</v>
      </c>
      <c r="K112" t="s">
        <v>34</v>
      </c>
      <c r="L112">
        <v>1339</v>
      </c>
      <c r="N112">
        <v>1007</v>
      </c>
      <c r="O112" t="s">
        <v>20</v>
      </c>
      <c r="P112" t="s">
        <v>20</v>
      </c>
      <c r="Q112">
        <v>1</v>
      </c>
      <c r="W112">
        <v>0</v>
      </c>
      <c r="X112">
        <v>619799737</v>
      </c>
      <c r="Y112">
        <v>3.85</v>
      </c>
      <c r="AA112">
        <v>22.2</v>
      </c>
      <c r="AB112">
        <v>0</v>
      </c>
      <c r="AC112">
        <v>0</v>
      </c>
      <c r="AD112">
        <v>0</v>
      </c>
      <c r="AE112">
        <v>2.44</v>
      </c>
      <c r="AF112">
        <v>0</v>
      </c>
      <c r="AG112">
        <v>0</v>
      </c>
      <c r="AH112">
        <v>0</v>
      </c>
      <c r="AI112">
        <v>9.1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T112">
        <v>3.85</v>
      </c>
      <c r="AV112">
        <v>0</v>
      </c>
      <c r="AW112">
        <v>2</v>
      </c>
      <c r="AX112">
        <v>939976319</v>
      </c>
      <c r="AY112">
        <v>1</v>
      </c>
      <c r="AZ112">
        <v>0</v>
      </c>
      <c r="BA112">
        <v>106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Y112*Source!I49</f>
        <v>0</v>
      </c>
      <c r="CY112">
        <f t="shared" si="11"/>
        <v>22.2</v>
      </c>
      <c r="CZ112">
        <f t="shared" si="12"/>
        <v>2.44</v>
      </c>
      <c r="DA112">
        <f t="shared" si="13"/>
        <v>9.1</v>
      </c>
      <c r="DB112">
        <f t="shared" si="6"/>
        <v>9.39</v>
      </c>
      <c r="DC112">
        <f t="shared" si="7"/>
        <v>0</v>
      </c>
    </row>
    <row r="113" spans="1:107" x14ac:dyDescent="0.2">
      <c r="A113">
        <f>ROW(Source!A60)</f>
        <v>60</v>
      </c>
      <c r="B113">
        <v>939971439</v>
      </c>
      <c r="C113">
        <v>966165077</v>
      </c>
      <c r="D113">
        <v>37776124</v>
      </c>
      <c r="E113">
        <v>1</v>
      </c>
      <c r="F113">
        <v>1</v>
      </c>
      <c r="G113">
        <v>1</v>
      </c>
      <c r="H113">
        <v>1</v>
      </c>
      <c r="I113" t="s">
        <v>432</v>
      </c>
      <c r="K113" t="s">
        <v>433</v>
      </c>
      <c r="L113">
        <v>1369</v>
      </c>
      <c r="N113">
        <v>1013</v>
      </c>
      <c r="O113" t="s">
        <v>365</v>
      </c>
      <c r="P113" t="s">
        <v>365</v>
      </c>
      <c r="Q113">
        <v>1</v>
      </c>
      <c r="W113">
        <v>0</v>
      </c>
      <c r="X113">
        <v>-546915240</v>
      </c>
      <c r="Y113">
        <v>119.78</v>
      </c>
      <c r="AA113">
        <v>0</v>
      </c>
      <c r="AB113">
        <v>0</v>
      </c>
      <c r="AC113">
        <v>0</v>
      </c>
      <c r="AD113">
        <v>8.74</v>
      </c>
      <c r="AE113">
        <v>0</v>
      </c>
      <c r="AF113">
        <v>0</v>
      </c>
      <c r="AG113">
        <v>0</v>
      </c>
      <c r="AH113">
        <v>8.74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T113">
        <v>119.78</v>
      </c>
      <c r="AV113">
        <v>1</v>
      </c>
      <c r="AW113">
        <v>2</v>
      </c>
      <c r="AX113">
        <v>966166298</v>
      </c>
      <c r="AY113">
        <v>1</v>
      </c>
      <c r="AZ113">
        <v>0</v>
      </c>
      <c r="BA113">
        <v>107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Y113*Source!I60</f>
        <v>63.842740000000006</v>
      </c>
      <c r="CY113">
        <f>AD113</f>
        <v>8.74</v>
      </c>
      <c r="CZ113">
        <f>AH113</f>
        <v>8.74</v>
      </c>
      <c r="DA113">
        <f>AL113</f>
        <v>1</v>
      </c>
      <c r="DB113">
        <f t="shared" si="6"/>
        <v>1046.8800000000001</v>
      </c>
      <c r="DC113">
        <f t="shared" si="7"/>
        <v>0</v>
      </c>
    </row>
    <row r="114" spans="1:107" x14ac:dyDescent="0.2">
      <c r="A114">
        <f>ROW(Source!A60)</f>
        <v>60</v>
      </c>
      <c r="B114">
        <v>939971439</v>
      </c>
      <c r="C114">
        <v>966165077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9</v>
      </c>
      <c r="K114" t="s">
        <v>366</v>
      </c>
      <c r="L114">
        <v>608254</v>
      </c>
      <c r="N114">
        <v>1013</v>
      </c>
      <c r="O114" t="s">
        <v>367</v>
      </c>
      <c r="P114" t="s">
        <v>367</v>
      </c>
      <c r="Q114">
        <v>1</v>
      </c>
      <c r="W114">
        <v>0</v>
      </c>
      <c r="X114">
        <v>-185737400</v>
      </c>
      <c r="Y114">
        <v>2.66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T114">
        <v>2.66</v>
      </c>
      <c r="AV114">
        <v>2</v>
      </c>
      <c r="AW114">
        <v>2</v>
      </c>
      <c r="AX114">
        <v>966166299</v>
      </c>
      <c r="AY114">
        <v>1</v>
      </c>
      <c r="AZ114">
        <v>0</v>
      </c>
      <c r="BA114">
        <v>108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Y114*Source!I60</f>
        <v>1.4177800000000003</v>
      </c>
      <c r="CY114">
        <f>AD114</f>
        <v>0</v>
      </c>
      <c r="CZ114">
        <f>AH114</f>
        <v>0</v>
      </c>
      <c r="DA114">
        <f>AL114</f>
        <v>1</v>
      </c>
      <c r="DB114">
        <f t="shared" si="6"/>
        <v>0</v>
      </c>
      <c r="DC114">
        <f t="shared" si="7"/>
        <v>0</v>
      </c>
    </row>
    <row r="115" spans="1:107" x14ac:dyDescent="0.2">
      <c r="A115">
        <f>ROW(Source!A60)</f>
        <v>60</v>
      </c>
      <c r="B115">
        <v>939971439</v>
      </c>
      <c r="C115">
        <v>966165077</v>
      </c>
      <c r="D115">
        <v>338036908</v>
      </c>
      <c r="E115">
        <v>1</v>
      </c>
      <c r="F115">
        <v>1</v>
      </c>
      <c r="G115">
        <v>1</v>
      </c>
      <c r="H115">
        <v>2</v>
      </c>
      <c r="I115" t="s">
        <v>428</v>
      </c>
      <c r="J115" t="s">
        <v>429</v>
      </c>
      <c r="K115" t="s">
        <v>430</v>
      </c>
      <c r="L115">
        <v>1368</v>
      </c>
      <c r="N115">
        <v>91022270</v>
      </c>
      <c r="O115" t="s">
        <v>371</v>
      </c>
      <c r="P115" t="s">
        <v>371</v>
      </c>
      <c r="Q115">
        <v>1</v>
      </c>
      <c r="W115">
        <v>0</v>
      </c>
      <c r="X115">
        <v>1549832887</v>
      </c>
      <c r="Y115">
        <v>0.36</v>
      </c>
      <c r="AA115">
        <v>0</v>
      </c>
      <c r="AB115">
        <v>99.89</v>
      </c>
      <c r="AC115">
        <v>10.06</v>
      </c>
      <c r="AD115">
        <v>0</v>
      </c>
      <c r="AE115">
        <v>0</v>
      </c>
      <c r="AF115">
        <v>99.89</v>
      </c>
      <c r="AG115">
        <v>10.06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T115">
        <v>0.36</v>
      </c>
      <c r="AV115">
        <v>0</v>
      </c>
      <c r="AW115">
        <v>2</v>
      </c>
      <c r="AX115">
        <v>966166300</v>
      </c>
      <c r="AY115">
        <v>1</v>
      </c>
      <c r="AZ115">
        <v>0</v>
      </c>
      <c r="BA115">
        <v>109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Y115*Source!I60</f>
        <v>0.19188</v>
      </c>
      <c r="CY115">
        <f>AB115</f>
        <v>99.89</v>
      </c>
      <c r="CZ115">
        <f>AF115</f>
        <v>99.89</v>
      </c>
      <c r="DA115">
        <f>AJ115</f>
        <v>1</v>
      </c>
      <c r="DB115">
        <f t="shared" si="6"/>
        <v>35.96</v>
      </c>
      <c r="DC115">
        <f t="shared" si="7"/>
        <v>3.62</v>
      </c>
    </row>
    <row r="116" spans="1:107" x14ac:dyDescent="0.2">
      <c r="A116">
        <f>ROW(Source!A60)</f>
        <v>60</v>
      </c>
      <c r="B116">
        <v>939971439</v>
      </c>
      <c r="C116">
        <v>966165077</v>
      </c>
      <c r="D116">
        <v>338036985</v>
      </c>
      <c r="E116">
        <v>1</v>
      </c>
      <c r="F116">
        <v>1</v>
      </c>
      <c r="G116">
        <v>1</v>
      </c>
      <c r="H116">
        <v>2</v>
      </c>
      <c r="I116" t="s">
        <v>396</v>
      </c>
      <c r="J116" t="s">
        <v>397</v>
      </c>
      <c r="K116" t="s">
        <v>398</v>
      </c>
      <c r="L116">
        <v>1368</v>
      </c>
      <c r="N116">
        <v>91022270</v>
      </c>
      <c r="O116" t="s">
        <v>371</v>
      </c>
      <c r="P116" t="s">
        <v>371</v>
      </c>
      <c r="Q116">
        <v>1</v>
      </c>
      <c r="W116">
        <v>0</v>
      </c>
      <c r="X116">
        <v>344519037</v>
      </c>
      <c r="Y116">
        <v>2.2999999999999998</v>
      </c>
      <c r="AA116">
        <v>0</v>
      </c>
      <c r="AB116">
        <v>31.26</v>
      </c>
      <c r="AC116">
        <v>13.5</v>
      </c>
      <c r="AD116">
        <v>0</v>
      </c>
      <c r="AE116">
        <v>0</v>
      </c>
      <c r="AF116">
        <v>31.26</v>
      </c>
      <c r="AG116">
        <v>13.5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T116">
        <v>2.2999999999999998</v>
      </c>
      <c r="AV116">
        <v>0</v>
      </c>
      <c r="AW116">
        <v>2</v>
      </c>
      <c r="AX116">
        <v>966166301</v>
      </c>
      <c r="AY116">
        <v>1</v>
      </c>
      <c r="AZ116">
        <v>0</v>
      </c>
      <c r="BA116">
        <v>110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Y116*Source!I60</f>
        <v>1.2259</v>
      </c>
      <c r="CY116">
        <f>AB116</f>
        <v>31.26</v>
      </c>
      <c r="CZ116">
        <f>AF116</f>
        <v>31.26</v>
      </c>
      <c r="DA116">
        <f>AJ116</f>
        <v>1</v>
      </c>
      <c r="DB116">
        <f t="shared" si="6"/>
        <v>71.900000000000006</v>
      </c>
      <c r="DC116">
        <f t="shared" si="7"/>
        <v>31.05</v>
      </c>
    </row>
    <row r="117" spans="1:107" x14ac:dyDescent="0.2">
      <c r="A117">
        <f>ROW(Source!A60)</f>
        <v>60</v>
      </c>
      <c r="B117">
        <v>939971439</v>
      </c>
      <c r="C117">
        <v>966165077</v>
      </c>
      <c r="D117">
        <v>338039342</v>
      </c>
      <c r="E117">
        <v>1</v>
      </c>
      <c r="F117">
        <v>1</v>
      </c>
      <c r="G117">
        <v>1</v>
      </c>
      <c r="H117">
        <v>2</v>
      </c>
      <c r="I117" t="s">
        <v>381</v>
      </c>
      <c r="J117" t="s">
        <v>382</v>
      </c>
      <c r="K117" t="s">
        <v>383</v>
      </c>
      <c r="L117">
        <v>1368</v>
      </c>
      <c r="N117">
        <v>91022270</v>
      </c>
      <c r="O117" t="s">
        <v>371</v>
      </c>
      <c r="P117" t="s">
        <v>371</v>
      </c>
      <c r="Q117">
        <v>1</v>
      </c>
      <c r="W117">
        <v>0</v>
      </c>
      <c r="X117">
        <v>1230759911</v>
      </c>
      <c r="Y117">
        <v>0.28000000000000003</v>
      </c>
      <c r="AA117">
        <v>0</v>
      </c>
      <c r="AB117">
        <v>87.17</v>
      </c>
      <c r="AC117">
        <v>11.6</v>
      </c>
      <c r="AD117">
        <v>0</v>
      </c>
      <c r="AE117">
        <v>0</v>
      </c>
      <c r="AF117">
        <v>87.17</v>
      </c>
      <c r="AG117">
        <v>11.6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T117">
        <v>0.28000000000000003</v>
      </c>
      <c r="AV117">
        <v>0</v>
      </c>
      <c r="AW117">
        <v>2</v>
      </c>
      <c r="AX117">
        <v>966166302</v>
      </c>
      <c r="AY117">
        <v>1</v>
      </c>
      <c r="AZ117">
        <v>0</v>
      </c>
      <c r="BA117">
        <v>111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Y117*Source!I60</f>
        <v>0.14924000000000001</v>
      </c>
      <c r="CY117">
        <f>AB117</f>
        <v>87.17</v>
      </c>
      <c r="CZ117">
        <f>AF117</f>
        <v>87.17</v>
      </c>
      <c r="DA117">
        <f>AJ117</f>
        <v>1</v>
      </c>
      <c r="DB117">
        <f t="shared" si="6"/>
        <v>24.41</v>
      </c>
      <c r="DC117">
        <f t="shared" si="7"/>
        <v>3.25</v>
      </c>
    </row>
    <row r="118" spans="1:107" x14ac:dyDescent="0.2">
      <c r="A118">
        <f>ROW(Source!A60)</f>
        <v>60</v>
      </c>
      <c r="B118">
        <v>939971439</v>
      </c>
      <c r="C118">
        <v>966165077</v>
      </c>
      <c r="D118">
        <v>337974428</v>
      </c>
      <c r="E118">
        <v>1</v>
      </c>
      <c r="F118">
        <v>1</v>
      </c>
      <c r="G118">
        <v>1</v>
      </c>
      <c r="H118">
        <v>3</v>
      </c>
      <c r="I118" t="s">
        <v>15</v>
      </c>
      <c r="J118" t="s">
        <v>434</v>
      </c>
      <c r="K118" t="s">
        <v>16</v>
      </c>
      <c r="L118">
        <v>369160830</v>
      </c>
      <c r="N118">
        <v>1005</v>
      </c>
      <c r="O118" t="s">
        <v>17</v>
      </c>
      <c r="P118" t="s">
        <v>17</v>
      </c>
      <c r="Q118">
        <v>1</v>
      </c>
      <c r="W118">
        <v>0</v>
      </c>
      <c r="X118">
        <v>-329301202</v>
      </c>
      <c r="Y118">
        <v>102</v>
      </c>
      <c r="AA118">
        <v>67.8</v>
      </c>
      <c r="AB118">
        <v>0</v>
      </c>
      <c r="AC118">
        <v>0</v>
      </c>
      <c r="AD118">
        <v>0</v>
      </c>
      <c r="AE118">
        <v>67.8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T118">
        <v>102</v>
      </c>
      <c r="AV118">
        <v>0</v>
      </c>
      <c r="AW118">
        <v>2</v>
      </c>
      <c r="AX118">
        <v>966166303</v>
      </c>
      <c r="AY118">
        <v>1</v>
      </c>
      <c r="AZ118">
        <v>0</v>
      </c>
      <c r="BA118">
        <v>112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Y118*Source!I60</f>
        <v>54.366</v>
      </c>
      <c r="CY118">
        <f>AA118</f>
        <v>67.8</v>
      </c>
      <c r="CZ118">
        <f>AE118</f>
        <v>67.8</v>
      </c>
      <c r="DA118">
        <f>AI118</f>
        <v>1</v>
      </c>
      <c r="DB118">
        <f t="shared" si="6"/>
        <v>6915.6</v>
      </c>
      <c r="DC118">
        <f t="shared" si="7"/>
        <v>0</v>
      </c>
    </row>
    <row r="119" spans="1:107" x14ac:dyDescent="0.2">
      <c r="A119">
        <f>ROW(Source!A60)</f>
        <v>60</v>
      </c>
      <c r="B119">
        <v>939971439</v>
      </c>
      <c r="C119">
        <v>966165077</v>
      </c>
      <c r="D119">
        <v>337972377</v>
      </c>
      <c r="E119">
        <v>1</v>
      </c>
      <c r="F119">
        <v>1</v>
      </c>
      <c r="G119">
        <v>1</v>
      </c>
      <c r="H119">
        <v>3</v>
      </c>
      <c r="I119" t="s">
        <v>18</v>
      </c>
      <c r="J119" t="s">
        <v>431</v>
      </c>
      <c r="K119" t="s">
        <v>19</v>
      </c>
      <c r="L119">
        <v>1339</v>
      </c>
      <c r="N119">
        <v>1007</v>
      </c>
      <c r="O119" t="s">
        <v>20</v>
      </c>
      <c r="P119" t="s">
        <v>20</v>
      </c>
      <c r="Q119">
        <v>1</v>
      </c>
      <c r="W119">
        <v>0</v>
      </c>
      <c r="X119">
        <v>-1158792968</v>
      </c>
      <c r="Y119">
        <v>3.06</v>
      </c>
      <c r="AA119">
        <v>34.92</v>
      </c>
      <c r="AB119">
        <v>0</v>
      </c>
      <c r="AC119">
        <v>0</v>
      </c>
      <c r="AD119">
        <v>0</v>
      </c>
      <c r="AE119">
        <v>34.92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T119">
        <v>3.06</v>
      </c>
      <c r="AV119">
        <v>0</v>
      </c>
      <c r="AW119">
        <v>2</v>
      </c>
      <c r="AX119">
        <v>966166304</v>
      </c>
      <c r="AY119">
        <v>1</v>
      </c>
      <c r="AZ119">
        <v>0</v>
      </c>
      <c r="BA119">
        <v>113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Y119*Source!I60</f>
        <v>1.6309800000000001</v>
      </c>
      <c r="CY119">
        <f>AA119</f>
        <v>34.92</v>
      </c>
      <c r="CZ119">
        <f>AE119</f>
        <v>34.92</v>
      </c>
      <c r="DA119">
        <f>AI119</f>
        <v>1</v>
      </c>
      <c r="DB119">
        <f t="shared" si="6"/>
        <v>106.86</v>
      </c>
      <c r="DC119">
        <f t="shared" si="7"/>
        <v>0</v>
      </c>
    </row>
    <row r="120" spans="1:107" x14ac:dyDescent="0.2">
      <c r="A120">
        <f>ROW(Source!A60)</f>
        <v>60</v>
      </c>
      <c r="B120">
        <v>939971439</v>
      </c>
      <c r="C120">
        <v>966165077</v>
      </c>
      <c r="D120">
        <v>338009588</v>
      </c>
      <c r="E120">
        <v>1</v>
      </c>
      <c r="F120">
        <v>1</v>
      </c>
      <c r="G120">
        <v>1</v>
      </c>
      <c r="H120">
        <v>3</v>
      </c>
      <c r="I120" t="s">
        <v>31</v>
      </c>
      <c r="J120" t="s">
        <v>169</v>
      </c>
      <c r="K120" t="s">
        <v>32</v>
      </c>
      <c r="L120">
        <v>1339</v>
      </c>
      <c r="N120">
        <v>1007</v>
      </c>
      <c r="O120" t="s">
        <v>20</v>
      </c>
      <c r="P120" t="s">
        <v>20</v>
      </c>
      <c r="Q120">
        <v>1</v>
      </c>
      <c r="W120">
        <v>0</v>
      </c>
      <c r="X120">
        <v>-672371193</v>
      </c>
      <c r="Y120">
        <v>1.3</v>
      </c>
      <c r="AA120">
        <v>600</v>
      </c>
      <c r="AB120">
        <v>0</v>
      </c>
      <c r="AC120">
        <v>0</v>
      </c>
      <c r="AD120">
        <v>0</v>
      </c>
      <c r="AE120">
        <v>600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T120">
        <v>1.3</v>
      </c>
      <c r="AV120">
        <v>0</v>
      </c>
      <c r="AW120">
        <v>2</v>
      </c>
      <c r="AX120">
        <v>966166305</v>
      </c>
      <c r="AY120">
        <v>1</v>
      </c>
      <c r="AZ120">
        <v>0</v>
      </c>
      <c r="BA120">
        <v>114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Y120*Source!I60</f>
        <v>0.69290000000000007</v>
      </c>
      <c r="CY120">
        <f>AA120</f>
        <v>600</v>
      </c>
      <c r="CZ120">
        <f>AE120</f>
        <v>600</v>
      </c>
      <c r="DA120">
        <f>AI120</f>
        <v>1</v>
      </c>
      <c r="DB120">
        <f t="shared" si="6"/>
        <v>780</v>
      </c>
      <c r="DC120">
        <f t="shared" si="7"/>
        <v>0</v>
      </c>
    </row>
    <row r="121" spans="1:107" x14ac:dyDescent="0.2">
      <c r="A121">
        <f>ROW(Source!A60)</f>
        <v>60</v>
      </c>
      <c r="B121">
        <v>939971439</v>
      </c>
      <c r="C121">
        <v>966165077</v>
      </c>
      <c r="D121">
        <v>338014469</v>
      </c>
      <c r="E121">
        <v>1</v>
      </c>
      <c r="F121">
        <v>1</v>
      </c>
      <c r="G121">
        <v>1</v>
      </c>
      <c r="H121">
        <v>3</v>
      </c>
      <c r="I121" t="s">
        <v>33</v>
      </c>
      <c r="J121" t="s">
        <v>393</v>
      </c>
      <c r="K121" t="s">
        <v>34</v>
      </c>
      <c r="L121">
        <v>1339</v>
      </c>
      <c r="N121">
        <v>1007</v>
      </c>
      <c r="O121" t="s">
        <v>20</v>
      </c>
      <c r="P121" t="s">
        <v>20</v>
      </c>
      <c r="Q121">
        <v>1</v>
      </c>
      <c r="W121">
        <v>0</v>
      </c>
      <c r="X121">
        <v>619799737</v>
      </c>
      <c r="Y121">
        <v>3.85</v>
      </c>
      <c r="AA121">
        <v>2.44</v>
      </c>
      <c r="AB121">
        <v>0</v>
      </c>
      <c r="AC121">
        <v>0</v>
      </c>
      <c r="AD121">
        <v>0</v>
      </c>
      <c r="AE121">
        <v>2.44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T121">
        <v>3.85</v>
      </c>
      <c r="AV121">
        <v>0</v>
      </c>
      <c r="AW121">
        <v>2</v>
      </c>
      <c r="AX121">
        <v>966166306</v>
      </c>
      <c r="AY121">
        <v>1</v>
      </c>
      <c r="AZ121">
        <v>0</v>
      </c>
      <c r="BA121">
        <v>115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Y121*Source!I60</f>
        <v>2.0520500000000004</v>
      </c>
      <c r="CY121">
        <f>AA121</f>
        <v>2.44</v>
      </c>
      <c r="CZ121">
        <f>AE121</f>
        <v>2.44</v>
      </c>
      <c r="DA121">
        <f>AI121</f>
        <v>1</v>
      </c>
      <c r="DB121">
        <f t="shared" si="6"/>
        <v>9.39</v>
      </c>
      <c r="DC121">
        <f t="shared" si="7"/>
        <v>0</v>
      </c>
    </row>
    <row r="122" spans="1:107" x14ac:dyDescent="0.2">
      <c r="A122">
        <f>ROW(Source!A61)</f>
        <v>61</v>
      </c>
      <c r="B122">
        <v>939971440</v>
      </c>
      <c r="C122">
        <v>966165077</v>
      </c>
      <c r="D122">
        <v>37776124</v>
      </c>
      <c r="E122">
        <v>1</v>
      </c>
      <c r="F122">
        <v>1</v>
      </c>
      <c r="G122">
        <v>1</v>
      </c>
      <c r="H122">
        <v>1</v>
      </c>
      <c r="I122" t="s">
        <v>432</v>
      </c>
      <c r="K122" t="s">
        <v>433</v>
      </c>
      <c r="L122">
        <v>1369</v>
      </c>
      <c r="N122">
        <v>1013</v>
      </c>
      <c r="O122" t="s">
        <v>365</v>
      </c>
      <c r="P122" t="s">
        <v>365</v>
      </c>
      <c r="Q122">
        <v>1</v>
      </c>
      <c r="W122">
        <v>0</v>
      </c>
      <c r="X122">
        <v>-546915240</v>
      </c>
      <c r="Y122">
        <v>119.78</v>
      </c>
      <c r="AA122">
        <v>0</v>
      </c>
      <c r="AB122">
        <v>0</v>
      </c>
      <c r="AC122">
        <v>0</v>
      </c>
      <c r="AD122">
        <v>8.74</v>
      </c>
      <c r="AE122">
        <v>0</v>
      </c>
      <c r="AF122">
        <v>0</v>
      </c>
      <c r="AG122">
        <v>0</v>
      </c>
      <c r="AH122">
        <v>8.74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T122">
        <v>119.78</v>
      </c>
      <c r="AV122">
        <v>1</v>
      </c>
      <c r="AW122">
        <v>2</v>
      </c>
      <c r="AX122">
        <v>966166298</v>
      </c>
      <c r="AY122">
        <v>1</v>
      </c>
      <c r="AZ122">
        <v>0</v>
      </c>
      <c r="BA122">
        <v>116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Y122*Source!I61</f>
        <v>63.842740000000006</v>
      </c>
      <c r="CY122">
        <f>AD122</f>
        <v>8.74</v>
      </c>
      <c r="CZ122">
        <f>AH122</f>
        <v>8.74</v>
      </c>
      <c r="DA122">
        <f>AL122</f>
        <v>1</v>
      </c>
      <c r="DB122">
        <f t="shared" si="6"/>
        <v>1046.8800000000001</v>
      </c>
      <c r="DC122">
        <f t="shared" si="7"/>
        <v>0</v>
      </c>
    </row>
    <row r="123" spans="1:107" x14ac:dyDescent="0.2">
      <c r="A123">
        <f>ROW(Source!A61)</f>
        <v>61</v>
      </c>
      <c r="B123">
        <v>939971440</v>
      </c>
      <c r="C123">
        <v>966165077</v>
      </c>
      <c r="D123">
        <v>121548</v>
      </c>
      <c r="E123">
        <v>1</v>
      </c>
      <c r="F123">
        <v>1</v>
      </c>
      <c r="G123">
        <v>1</v>
      </c>
      <c r="H123">
        <v>1</v>
      </c>
      <c r="I123" t="s">
        <v>9</v>
      </c>
      <c r="K123" t="s">
        <v>366</v>
      </c>
      <c r="L123">
        <v>608254</v>
      </c>
      <c r="N123">
        <v>1013</v>
      </c>
      <c r="O123" t="s">
        <v>367</v>
      </c>
      <c r="P123" t="s">
        <v>367</v>
      </c>
      <c r="Q123">
        <v>1</v>
      </c>
      <c r="W123">
        <v>0</v>
      </c>
      <c r="X123">
        <v>-185737400</v>
      </c>
      <c r="Y123">
        <v>2.66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T123">
        <v>2.66</v>
      </c>
      <c r="AV123">
        <v>2</v>
      </c>
      <c r="AW123">
        <v>2</v>
      </c>
      <c r="AX123">
        <v>966166299</v>
      </c>
      <c r="AY123">
        <v>1</v>
      </c>
      <c r="AZ123">
        <v>0</v>
      </c>
      <c r="BA123">
        <v>117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Y123*Source!I61</f>
        <v>1.4177800000000003</v>
      </c>
      <c r="CY123">
        <f>AD123</f>
        <v>0</v>
      </c>
      <c r="CZ123">
        <f>AH123</f>
        <v>0</v>
      </c>
      <c r="DA123">
        <f>AL123</f>
        <v>1</v>
      </c>
      <c r="DB123">
        <f t="shared" si="6"/>
        <v>0</v>
      </c>
      <c r="DC123">
        <f t="shared" si="7"/>
        <v>0</v>
      </c>
    </row>
    <row r="124" spans="1:107" x14ac:dyDescent="0.2">
      <c r="A124">
        <f>ROW(Source!A61)</f>
        <v>61</v>
      </c>
      <c r="B124">
        <v>939971440</v>
      </c>
      <c r="C124">
        <v>966165077</v>
      </c>
      <c r="D124">
        <v>338036908</v>
      </c>
      <c r="E124">
        <v>1</v>
      </c>
      <c r="F124">
        <v>1</v>
      </c>
      <c r="G124">
        <v>1</v>
      </c>
      <c r="H124">
        <v>2</v>
      </c>
      <c r="I124" t="s">
        <v>428</v>
      </c>
      <c r="J124" t="s">
        <v>429</v>
      </c>
      <c r="K124" t="s">
        <v>430</v>
      </c>
      <c r="L124">
        <v>1368</v>
      </c>
      <c r="N124">
        <v>91022270</v>
      </c>
      <c r="O124" t="s">
        <v>371</v>
      </c>
      <c r="P124" t="s">
        <v>371</v>
      </c>
      <c r="Q124">
        <v>1</v>
      </c>
      <c r="W124">
        <v>0</v>
      </c>
      <c r="X124">
        <v>1549832887</v>
      </c>
      <c r="Y124">
        <v>0.36</v>
      </c>
      <c r="AA124">
        <v>0</v>
      </c>
      <c r="AB124">
        <v>901.01</v>
      </c>
      <c r="AC124">
        <v>336.61</v>
      </c>
      <c r="AD124">
        <v>0</v>
      </c>
      <c r="AE124">
        <v>0</v>
      </c>
      <c r="AF124">
        <v>99.89</v>
      </c>
      <c r="AG124">
        <v>10.06</v>
      </c>
      <c r="AH124">
        <v>0</v>
      </c>
      <c r="AI124">
        <v>1</v>
      </c>
      <c r="AJ124">
        <v>9.02</v>
      </c>
      <c r="AK124">
        <v>33.46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T124">
        <v>0.36</v>
      </c>
      <c r="AV124">
        <v>0</v>
      </c>
      <c r="AW124">
        <v>2</v>
      </c>
      <c r="AX124">
        <v>966166300</v>
      </c>
      <c r="AY124">
        <v>1</v>
      </c>
      <c r="AZ124">
        <v>0</v>
      </c>
      <c r="BA124">
        <v>118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Y124*Source!I61</f>
        <v>0.19188</v>
      </c>
      <c r="CY124">
        <f>AB124</f>
        <v>901.01</v>
      </c>
      <c r="CZ124">
        <f>AF124</f>
        <v>99.89</v>
      </c>
      <c r="DA124">
        <f>AJ124</f>
        <v>9.02</v>
      </c>
      <c r="DB124">
        <f t="shared" si="6"/>
        <v>35.96</v>
      </c>
      <c r="DC124">
        <f t="shared" si="7"/>
        <v>3.62</v>
      </c>
    </row>
    <row r="125" spans="1:107" x14ac:dyDescent="0.2">
      <c r="A125">
        <f>ROW(Source!A61)</f>
        <v>61</v>
      </c>
      <c r="B125">
        <v>939971440</v>
      </c>
      <c r="C125">
        <v>966165077</v>
      </c>
      <c r="D125">
        <v>338036985</v>
      </c>
      <c r="E125">
        <v>1</v>
      </c>
      <c r="F125">
        <v>1</v>
      </c>
      <c r="G125">
        <v>1</v>
      </c>
      <c r="H125">
        <v>2</v>
      </c>
      <c r="I125" t="s">
        <v>396</v>
      </c>
      <c r="J125" t="s">
        <v>397</v>
      </c>
      <c r="K125" t="s">
        <v>398</v>
      </c>
      <c r="L125">
        <v>1368</v>
      </c>
      <c r="N125">
        <v>91022270</v>
      </c>
      <c r="O125" t="s">
        <v>371</v>
      </c>
      <c r="P125" t="s">
        <v>371</v>
      </c>
      <c r="Q125">
        <v>1</v>
      </c>
      <c r="W125">
        <v>0</v>
      </c>
      <c r="X125">
        <v>344519037</v>
      </c>
      <c r="Y125">
        <v>2.2999999999999998</v>
      </c>
      <c r="AA125">
        <v>0</v>
      </c>
      <c r="AB125">
        <v>466.71</v>
      </c>
      <c r="AC125">
        <v>451.71</v>
      </c>
      <c r="AD125">
        <v>0</v>
      </c>
      <c r="AE125">
        <v>0</v>
      </c>
      <c r="AF125">
        <v>31.26</v>
      </c>
      <c r="AG125">
        <v>13.5</v>
      </c>
      <c r="AH125">
        <v>0</v>
      </c>
      <c r="AI125">
        <v>1</v>
      </c>
      <c r="AJ125">
        <v>14.93</v>
      </c>
      <c r="AK125">
        <v>33.46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T125">
        <v>2.2999999999999998</v>
      </c>
      <c r="AV125">
        <v>0</v>
      </c>
      <c r="AW125">
        <v>2</v>
      </c>
      <c r="AX125">
        <v>966166301</v>
      </c>
      <c r="AY125">
        <v>1</v>
      </c>
      <c r="AZ125">
        <v>0</v>
      </c>
      <c r="BA125">
        <v>119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Y125*Source!I61</f>
        <v>1.2259</v>
      </c>
      <c r="CY125">
        <f>AB125</f>
        <v>466.71</v>
      </c>
      <c r="CZ125">
        <f>AF125</f>
        <v>31.26</v>
      </c>
      <c r="DA125">
        <f>AJ125</f>
        <v>14.93</v>
      </c>
      <c r="DB125">
        <f t="shared" si="6"/>
        <v>71.900000000000006</v>
      </c>
      <c r="DC125">
        <f t="shared" si="7"/>
        <v>31.05</v>
      </c>
    </row>
    <row r="126" spans="1:107" x14ac:dyDescent="0.2">
      <c r="A126">
        <f>ROW(Source!A61)</f>
        <v>61</v>
      </c>
      <c r="B126">
        <v>939971440</v>
      </c>
      <c r="C126">
        <v>966165077</v>
      </c>
      <c r="D126">
        <v>338039342</v>
      </c>
      <c r="E126">
        <v>1</v>
      </c>
      <c r="F126">
        <v>1</v>
      </c>
      <c r="G126">
        <v>1</v>
      </c>
      <c r="H126">
        <v>2</v>
      </c>
      <c r="I126" t="s">
        <v>381</v>
      </c>
      <c r="J126" t="s">
        <v>382</v>
      </c>
      <c r="K126" t="s">
        <v>383</v>
      </c>
      <c r="L126">
        <v>1368</v>
      </c>
      <c r="N126">
        <v>91022270</v>
      </c>
      <c r="O126" t="s">
        <v>371</v>
      </c>
      <c r="P126" t="s">
        <v>371</v>
      </c>
      <c r="Q126">
        <v>1</v>
      </c>
      <c r="W126">
        <v>0</v>
      </c>
      <c r="X126">
        <v>1230759911</v>
      </c>
      <c r="Y126">
        <v>0.28000000000000003</v>
      </c>
      <c r="AA126">
        <v>0</v>
      </c>
      <c r="AB126">
        <v>932.72</v>
      </c>
      <c r="AC126">
        <v>388.14</v>
      </c>
      <c r="AD126">
        <v>0</v>
      </c>
      <c r="AE126">
        <v>0</v>
      </c>
      <c r="AF126">
        <v>87.17</v>
      </c>
      <c r="AG126">
        <v>11.6</v>
      </c>
      <c r="AH126">
        <v>0</v>
      </c>
      <c r="AI126">
        <v>1</v>
      </c>
      <c r="AJ126">
        <v>10.7</v>
      </c>
      <c r="AK126">
        <v>33.46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T126">
        <v>0.28000000000000003</v>
      </c>
      <c r="AV126">
        <v>0</v>
      </c>
      <c r="AW126">
        <v>2</v>
      </c>
      <c r="AX126">
        <v>966166302</v>
      </c>
      <c r="AY126">
        <v>1</v>
      </c>
      <c r="AZ126">
        <v>0</v>
      </c>
      <c r="BA126">
        <v>120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Y126*Source!I61</f>
        <v>0.14924000000000001</v>
      </c>
      <c r="CY126">
        <f>AB126</f>
        <v>932.72</v>
      </c>
      <c r="CZ126">
        <f>AF126</f>
        <v>87.17</v>
      </c>
      <c r="DA126">
        <f>AJ126</f>
        <v>10.7</v>
      </c>
      <c r="DB126">
        <f t="shared" si="6"/>
        <v>24.41</v>
      </c>
      <c r="DC126">
        <f t="shared" si="7"/>
        <v>3.25</v>
      </c>
    </row>
    <row r="127" spans="1:107" x14ac:dyDescent="0.2">
      <c r="A127">
        <f>ROW(Source!A61)</f>
        <v>61</v>
      </c>
      <c r="B127">
        <v>939971440</v>
      </c>
      <c r="C127">
        <v>966165077</v>
      </c>
      <c r="D127">
        <v>337974428</v>
      </c>
      <c r="E127">
        <v>1</v>
      </c>
      <c r="F127">
        <v>1</v>
      </c>
      <c r="G127">
        <v>1</v>
      </c>
      <c r="H127">
        <v>3</v>
      </c>
      <c r="I127" t="s">
        <v>15</v>
      </c>
      <c r="J127" t="s">
        <v>434</v>
      </c>
      <c r="K127" t="s">
        <v>16</v>
      </c>
      <c r="L127">
        <v>369160830</v>
      </c>
      <c r="N127">
        <v>1005</v>
      </c>
      <c r="O127" t="s">
        <v>17</v>
      </c>
      <c r="P127" t="s">
        <v>17</v>
      </c>
      <c r="Q127">
        <v>1</v>
      </c>
      <c r="W127">
        <v>0</v>
      </c>
      <c r="X127">
        <v>-329301202</v>
      </c>
      <c r="Y127">
        <v>102</v>
      </c>
      <c r="AA127">
        <v>555.96</v>
      </c>
      <c r="AB127">
        <v>0</v>
      </c>
      <c r="AC127">
        <v>0</v>
      </c>
      <c r="AD127">
        <v>0</v>
      </c>
      <c r="AE127">
        <v>67.8</v>
      </c>
      <c r="AF127">
        <v>0</v>
      </c>
      <c r="AG127">
        <v>0</v>
      </c>
      <c r="AH127">
        <v>0</v>
      </c>
      <c r="AI127">
        <v>8.1999999999999993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T127">
        <v>102</v>
      </c>
      <c r="AV127">
        <v>0</v>
      </c>
      <c r="AW127">
        <v>2</v>
      </c>
      <c r="AX127">
        <v>966166303</v>
      </c>
      <c r="AY127">
        <v>1</v>
      </c>
      <c r="AZ127">
        <v>0</v>
      </c>
      <c r="BA127">
        <v>121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Y127*Source!I61</f>
        <v>54.366</v>
      </c>
      <c r="CY127">
        <f>AA127</f>
        <v>555.96</v>
      </c>
      <c r="CZ127">
        <f>AE127</f>
        <v>67.8</v>
      </c>
      <c r="DA127">
        <f>AI127</f>
        <v>8.1999999999999993</v>
      </c>
      <c r="DB127">
        <f t="shared" si="6"/>
        <v>6915.6</v>
      </c>
      <c r="DC127">
        <f t="shared" si="7"/>
        <v>0</v>
      </c>
    </row>
    <row r="128" spans="1:107" x14ac:dyDescent="0.2">
      <c r="A128">
        <f>ROW(Source!A61)</f>
        <v>61</v>
      </c>
      <c r="B128">
        <v>939971440</v>
      </c>
      <c r="C128">
        <v>966165077</v>
      </c>
      <c r="D128">
        <v>337972377</v>
      </c>
      <c r="E128">
        <v>1</v>
      </c>
      <c r="F128">
        <v>1</v>
      </c>
      <c r="G128">
        <v>1</v>
      </c>
      <c r="H128">
        <v>3</v>
      </c>
      <c r="I128" t="s">
        <v>18</v>
      </c>
      <c r="J128" t="s">
        <v>431</v>
      </c>
      <c r="K128" t="s">
        <v>19</v>
      </c>
      <c r="L128">
        <v>1339</v>
      </c>
      <c r="N128">
        <v>1007</v>
      </c>
      <c r="O128" t="s">
        <v>20</v>
      </c>
      <c r="P128" t="s">
        <v>20</v>
      </c>
      <c r="Q128">
        <v>1</v>
      </c>
      <c r="W128">
        <v>0</v>
      </c>
      <c r="X128">
        <v>-1158792968</v>
      </c>
      <c r="Y128">
        <v>3.06</v>
      </c>
      <c r="AA128">
        <v>423.58</v>
      </c>
      <c r="AB128">
        <v>0</v>
      </c>
      <c r="AC128">
        <v>0</v>
      </c>
      <c r="AD128">
        <v>0</v>
      </c>
      <c r="AE128">
        <v>34.92</v>
      </c>
      <c r="AF128">
        <v>0</v>
      </c>
      <c r="AG128">
        <v>0</v>
      </c>
      <c r="AH128">
        <v>0</v>
      </c>
      <c r="AI128">
        <v>12.13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T128">
        <v>3.06</v>
      </c>
      <c r="AV128">
        <v>0</v>
      </c>
      <c r="AW128">
        <v>2</v>
      </c>
      <c r="AX128">
        <v>966166304</v>
      </c>
      <c r="AY128">
        <v>1</v>
      </c>
      <c r="AZ128">
        <v>0</v>
      </c>
      <c r="BA128">
        <v>122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Y128*Source!I61</f>
        <v>1.6309800000000001</v>
      </c>
      <c r="CY128">
        <f>AA128</f>
        <v>423.58</v>
      </c>
      <c r="CZ128">
        <f>AE128</f>
        <v>34.92</v>
      </c>
      <c r="DA128">
        <f>AI128</f>
        <v>12.13</v>
      </c>
      <c r="DB128">
        <f t="shared" si="6"/>
        <v>106.86</v>
      </c>
      <c r="DC128">
        <f t="shared" si="7"/>
        <v>0</v>
      </c>
    </row>
    <row r="129" spans="1:107" x14ac:dyDescent="0.2">
      <c r="A129">
        <f>ROW(Source!A61)</f>
        <v>61</v>
      </c>
      <c r="B129">
        <v>939971440</v>
      </c>
      <c r="C129">
        <v>966165077</v>
      </c>
      <c r="D129">
        <v>338009588</v>
      </c>
      <c r="E129">
        <v>1</v>
      </c>
      <c r="F129">
        <v>1</v>
      </c>
      <c r="G129">
        <v>1</v>
      </c>
      <c r="H129">
        <v>3</v>
      </c>
      <c r="I129" t="s">
        <v>31</v>
      </c>
      <c r="J129" t="s">
        <v>169</v>
      </c>
      <c r="K129" t="s">
        <v>32</v>
      </c>
      <c r="L129">
        <v>1339</v>
      </c>
      <c r="N129">
        <v>1007</v>
      </c>
      <c r="O129" t="s">
        <v>20</v>
      </c>
      <c r="P129" t="s">
        <v>20</v>
      </c>
      <c r="Q129">
        <v>1</v>
      </c>
      <c r="W129">
        <v>0</v>
      </c>
      <c r="X129">
        <v>-672371193</v>
      </c>
      <c r="Y129">
        <v>1.3</v>
      </c>
      <c r="AA129">
        <v>3534</v>
      </c>
      <c r="AB129">
        <v>0</v>
      </c>
      <c r="AC129">
        <v>0</v>
      </c>
      <c r="AD129">
        <v>0</v>
      </c>
      <c r="AE129">
        <v>600</v>
      </c>
      <c r="AF129">
        <v>0</v>
      </c>
      <c r="AG129">
        <v>0</v>
      </c>
      <c r="AH129">
        <v>0</v>
      </c>
      <c r="AI129">
        <v>5.89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T129">
        <v>1.3</v>
      </c>
      <c r="AV129">
        <v>0</v>
      </c>
      <c r="AW129">
        <v>2</v>
      </c>
      <c r="AX129">
        <v>966166305</v>
      </c>
      <c r="AY129">
        <v>1</v>
      </c>
      <c r="AZ129">
        <v>0</v>
      </c>
      <c r="BA129">
        <v>123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Y129*Source!I61</f>
        <v>0.69290000000000007</v>
      </c>
      <c r="CY129">
        <f>AA129</f>
        <v>3534</v>
      </c>
      <c r="CZ129">
        <f>AE129</f>
        <v>600</v>
      </c>
      <c r="DA129">
        <f>AI129</f>
        <v>5.89</v>
      </c>
      <c r="DB129">
        <f t="shared" si="6"/>
        <v>780</v>
      </c>
      <c r="DC129">
        <f t="shared" si="7"/>
        <v>0</v>
      </c>
    </row>
    <row r="130" spans="1:107" x14ac:dyDescent="0.2">
      <c r="A130">
        <f>ROW(Source!A61)</f>
        <v>61</v>
      </c>
      <c r="B130">
        <v>939971440</v>
      </c>
      <c r="C130">
        <v>966165077</v>
      </c>
      <c r="D130">
        <v>338014469</v>
      </c>
      <c r="E130">
        <v>1</v>
      </c>
      <c r="F130">
        <v>1</v>
      </c>
      <c r="G130">
        <v>1</v>
      </c>
      <c r="H130">
        <v>3</v>
      </c>
      <c r="I130" t="s">
        <v>33</v>
      </c>
      <c r="J130" t="s">
        <v>393</v>
      </c>
      <c r="K130" t="s">
        <v>34</v>
      </c>
      <c r="L130">
        <v>1339</v>
      </c>
      <c r="N130">
        <v>1007</v>
      </c>
      <c r="O130" t="s">
        <v>20</v>
      </c>
      <c r="P130" t="s">
        <v>20</v>
      </c>
      <c r="Q130">
        <v>1</v>
      </c>
      <c r="W130">
        <v>0</v>
      </c>
      <c r="X130">
        <v>619799737</v>
      </c>
      <c r="Y130">
        <v>3.85</v>
      </c>
      <c r="AA130">
        <v>22.2</v>
      </c>
      <c r="AB130">
        <v>0</v>
      </c>
      <c r="AC130">
        <v>0</v>
      </c>
      <c r="AD130">
        <v>0</v>
      </c>
      <c r="AE130">
        <v>2.44</v>
      </c>
      <c r="AF130">
        <v>0</v>
      </c>
      <c r="AG130">
        <v>0</v>
      </c>
      <c r="AH130">
        <v>0</v>
      </c>
      <c r="AI130">
        <v>9.1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T130">
        <v>3.85</v>
      </c>
      <c r="AV130">
        <v>0</v>
      </c>
      <c r="AW130">
        <v>2</v>
      </c>
      <c r="AX130">
        <v>966166306</v>
      </c>
      <c r="AY130">
        <v>1</v>
      </c>
      <c r="AZ130">
        <v>0</v>
      </c>
      <c r="BA130">
        <v>124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Y130*Source!I61</f>
        <v>2.0520500000000004</v>
      </c>
      <c r="CY130">
        <f>AA130</f>
        <v>22.2</v>
      </c>
      <c r="CZ130">
        <f>AE130</f>
        <v>2.44</v>
      </c>
      <c r="DA130">
        <f>AI130</f>
        <v>9.1</v>
      </c>
      <c r="DB130">
        <f t="shared" si="6"/>
        <v>9.39</v>
      </c>
      <c r="DC130">
        <f t="shared" si="7"/>
        <v>0</v>
      </c>
    </row>
    <row r="131" spans="1:107" x14ac:dyDescent="0.2">
      <c r="A131">
        <f>ROW(Source!A62)</f>
        <v>62</v>
      </c>
      <c r="B131">
        <v>939971439</v>
      </c>
      <c r="C131">
        <v>940001666</v>
      </c>
      <c r="D131">
        <v>37775796</v>
      </c>
      <c r="E131">
        <v>1</v>
      </c>
      <c r="F131">
        <v>1</v>
      </c>
      <c r="G131">
        <v>1</v>
      </c>
      <c r="H131">
        <v>1</v>
      </c>
      <c r="I131" t="s">
        <v>435</v>
      </c>
      <c r="K131" t="s">
        <v>436</v>
      </c>
      <c r="L131">
        <v>1369</v>
      </c>
      <c r="N131">
        <v>1013</v>
      </c>
      <c r="O131" t="s">
        <v>365</v>
      </c>
      <c r="P131" t="s">
        <v>365</v>
      </c>
      <c r="Q131">
        <v>1</v>
      </c>
      <c r="W131">
        <v>0</v>
      </c>
      <c r="X131">
        <v>-1803619151</v>
      </c>
      <c r="Y131">
        <v>14.72</v>
      </c>
      <c r="AA131">
        <v>0</v>
      </c>
      <c r="AB131">
        <v>0</v>
      </c>
      <c r="AC131">
        <v>0</v>
      </c>
      <c r="AD131">
        <v>9.2899999999999991</v>
      </c>
      <c r="AE131">
        <v>0</v>
      </c>
      <c r="AF131">
        <v>0</v>
      </c>
      <c r="AG131">
        <v>0</v>
      </c>
      <c r="AH131">
        <v>9.2899999999999991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T131">
        <v>12.8</v>
      </c>
      <c r="AU131" t="s">
        <v>141</v>
      </c>
      <c r="AV131">
        <v>1</v>
      </c>
      <c r="AW131">
        <v>2</v>
      </c>
      <c r="AX131">
        <v>940001667</v>
      </c>
      <c r="AY131">
        <v>1</v>
      </c>
      <c r="AZ131">
        <v>0</v>
      </c>
      <c r="BA131">
        <v>125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Y131*Source!I62</f>
        <v>7.4336000000000002</v>
      </c>
      <c r="CY131">
        <f>AD131</f>
        <v>9.2899999999999991</v>
      </c>
      <c r="CZ131">
        <f>AH131</f>
        <v>9.2899999999999991</v>
      </c>
      <c r="DA131">
        <f>AL131</f>
        <v>1</v>
      </c>
      <c r="DB131">
        <f>ROUND((ROUND(AT131*CZ131,2)*1.15),6)</f>
        <v>136.7465</v>
      </c>
      <c r="DC131">
        <f>ROUND((ROUND(AT131*AG131,2)*1.15),6)</f>
        <v>0</v>
      </c>
    </row>
    <row r="132" spans="1:107" x14ac:dyDescent="0.2">
      <c r="A132">
        <f>ROW(Source!A62)</f>
        <v>62</v>
      </c>
      <c r="B132">
        <v>939971439</v>
      </c>
      <c r="C132">
        <v>940001666</v>
      </c>
      <c r="D132">
        <v>338038929</v>
      </c>
      <c r="E132">
        <v>1</v>
      </c>
      <c r="F132">
        <v>1</v>
      </c>
      <c r="G132">
        <v>1</v>
      </c>
      <c r="H132">
        <v>2</v>
      </c>
      <c r="I132" t="s">
        <v>437</v>
      </c>
      <c r="J132" t="s">
        <v>438</v>
      </c>
      <c r="K132" t="s">
        <v>439</v>
      </c>
      <c r="L132">
        <v>1368</v>
      </c>
      <c r="N132">
        <v>91022270</v>
      </c>
      <c r="O132" t="s">
        <v>371</v>
      </c>
      <c r="P132" t="s">
        <v>371</v>
      </c>
      <c r="Q132">
        <v>1</v>
      </c>
      <c r="W132">
        <v>0</v>
      </c>
      <c r="X132">
        <v>-1867053656</v>
      </c>
      <c r="Y132">
        <v>11.625</v>
      </c>
      <c r="AA132">
        <v>0</v>
      </c>
      <c r="AB132">
        <v>1.95</v>
      </c>
      <c r="AC132">
        <v>0</v>
      </c>
      <c r="AD132">
        <v>0</v>
      </c>
      <c r="AE132">
        <v>0</v>
      </c>
      <c r="AF132">
        <v>1.95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T132">
        <v>9.3000000000000007</v>
      </c>
      <c r="AU132" t="s">
        <v>140</v>
      </c>
      <c r="AV132">
        <v>0</v>
      </c>
      <c r="AW132">
        <v>2</v>
      </c>
      <c r="AX132">
        <v>940001668</v>
      </c>
      <c r="AY132">
        <v>1</v>
      </c>
      <c r="AZ132">
        <v>0</v>
      </c>
      <c r="BA132">
        <v>126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Y132*Source!I62</f>
        <v>5.8706250000000004</v>
      </c>
      <c r="CY132">
        <f>AB132</f>
        <v>1.95</v>
      </c>
      <c r="CZ132">
        <f>AF132</f>
        <v>1.95</v>
      </c>
      <c r="DA132">
        <f>AJ132</f>
        <v>1</v>
      </c>
      <c r="DB132">
        <f>ROUND((ROUND(AT132*CZ132,2)*1.25),6)</f>
        <v>22.675000000000001</v>
      </c>
      <c r="DC132">
        <f>ROUND((ROUND(AT132*AG132,2)*1.25),6)</f>
        <v>0</v>
      </c>
    </row>
    <row r="133" spans="1:107" x14ac:dyDescent="0.2">
      <c r="A133">
        <f>ROW(Source!A62)</f>
        <v>62</v>
      </c>
      <c r="B133">
        <v>939971439</v>
      </c>
      <c r="C133">
        <v>940001666</v>
      </c>
      <c r="D133">
        <v>338039342</v>
      </c>
      <c r="E133">
        <v>1</v>
      </c>
      <c r="F133">
        <v>1</v>
      </c>
      <c r="G133">
        <v>1</v>
      </c>
      <c r="H133">
        <v>2</v>
      </c>
      <c r="I133" t="s">
        <v>381</v>
      </c>
      <c r="J133" t="s">
        <v>382</v>
      </c>
      <c r="K133" t="s">
        <v>383</v>
      </c>
      <c r="L133">
        <v>1368</v>
      </c>
      <c r="N133">
        <v>91022270</v>
      </c>
      <c r="O133" t="s">
        <v>371</v>
      </c>
      <c r="P133" t="s">
        <v>371</v>
      </c>
      <c r="Q133">
        <v>1</v>
      </c>
      <c r="W133">
        <v>0</v>
      </c>
      <c r="X133">
        <v>1230759911</v>
      </c>
      <c r="Y133">
        <v>6.25E-2</v>
      </c>
      <c r="AA133">
        <v>0</v>
      </c>
      <c r="AB133">
        <v>87.17</v>
      </c>
      <c r="AC133">
        <v>11.6</v>
      </c>
      <c r="AD133">
        <v>0</v>
      </c>
      <c r="AE133">
        <v>0</v>
      </c>
      <c r="AF133">
        <v>87.17</v>
      </c>
      <c r="AG133">
        <v>11.6</v>
      </c>
      <c r="AH133">
        <v>0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T133">
        <v>0.05</v>
      </c>
      <c r="AU133" t="s">
        <v>140</v>
      </c>
      <c r="AV133">
        <v>0</v>
      </c>
      <c r="AW133">
        <v>2</v>
      </c>
      <c r="AX133">
        <v>940001669</v>
      </c>
      <c r="AY133">
        <v>1</v>
      </c>
      <c r="AZ133">
        <v>0</v>
      </c>
      <c r="BA133">
        <v>127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Y133*Source!I62</f>
        <v>3.15625E-2</v>
      </c>
      <c r="CY133">
        <f>AB133</f>
        <v>87.17</v>
      </c>
      <c r="CZ133">
        <f>AF133</f>
        <v>87.17</v>
      </c>
      <c r="DA133">
        <f>AJ133</f>
        <v>1</v>
      </c>
      <c r="DB133">
        <f>ROUND((ROUND(AT133*CZ133,2)*1.25),6)</f>
        <v>5.45</v>
      </c>
      <c r="DC133">
        <f>ROUND((ROUND(AT133*AG133,2)*1.25),6)</f>
        <v>0.72499999999999998</v>
      </c>
    </row>
    <row r="134" spans="1:107" x14ac:dyDescent="0.2">
      <c r="A134">
        <f>ROW(Source!A62)</f>
        <v>62</v>
      </c>
      <c r="B134">
        <v>939971439</v>
      </c>
      <c r="C134">
        <v>940001666</v>
      </c>
      <c r="D134">
        <v>337979104</v>
      </c>
      <c r="E134">
        <v>1</v>
      </c>
      <c r="F134">
        <v>1</v>
      </c>
      <c r="G134">
        <v>1</v>
      </c>
      <c r="H134">
        <v>3</v>
      </c>
      <c r="I134" t="s">
        <v>24</v>
      </c>
      <c r="J134" t="s">
        <v>440</v>
      </c>
      <c r="K134" t="s">
        <v>25</v>
      </c>
      <c r="L134">
        <v>1348</v>
      </c>
      <c r="N134">
        <v>39568864</v>
      </c>
      <c r="O134" t="s">
        <v>26</v>
      </c>
      <c r="P134" t="s">
        <v>26</v>
      </c>
      <c r="Q134">
        <v>1000</v>
      </c>
      <c r="W134">
        <v>0</v>
      </c>
      <c r="X134">
        <v>-1987662731</v>
      </c>
      <c r="Y134">
        <v>7.5000000000000002E-4</v>
      </c>
      <c r="AA134">
        <v>12429.99</v>
      </c>
      <c r="AB134">
        <v>0</v>
      </c>
      <c r="AC134">
        <v>0</v>
      </c>
      <c r="AD134">
        <v>0</v>
      </c>
      <c r="AE134">
        <v>12429.99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T134">
        <v>7.5000000000000002E-4</v>
      </c>
      <c r="AV134">
        <v>0</v>
      </c>
      <c r="AW134">
        <v>2</v>
      </c>
      <c r="AX134">
        <v>940001670</v>
      </c>
      <c r="AY134">
        <v>1</v>
      </c>
      <c r="AZ134">
        <v>0</v>
      </c>
      <c r="BA134">
        <v>128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Y134*Source!I62</f>
        <v>3.7875000000000002E-4</v>
      </c>
      <c r="CY134">
        <f>AA134</f>
        <v>12429.99</v>
      </c>
      <c r="CZ134">
        <f>AE134</f>
        <v>12429.99</v>
      </c>
      <c r="DA134">
        <f>AI134</f>
        <v>1</v>
      </c>
      <c r="DB134">
        <f>ROUND(ROUND(AT134*CZ134,2),6)</f>
        <v>9.32</v>
      </c>
      <c r="DC134">
        <f>ROUND(ROUND(AT134*AG134,2),6)</f>
        <v>0</v>
      </c>
    </row>
    <row r="135" spans="1:107" x14ac:dyDescent="0.2">
      <c r="A135">
        <f>ROW(Source!A62)</f>
        <v>62</v>
      </c>
      <c r="B135">
        <v>939971439</v>
      </c>
      <c r="C135">
        <v>940001666</v>
      </c>
      <c r="D135">
        <v>337993510</v>
      </c>
      <c r="E135">
        <v>1</v>
      </c>
      <c r="F135">
        <v>1</v>
      </c>
      <c r="G135">
        <v>1</v>
      </c>
      <c r="H135">
        <v>3</v>
      </c>
      <c r="I135" t="s">
        <v>27</v>
      </c>
      <c r="J135" t="s">
        <v>441</v>
      </c>
      <c r="K135" t="s">
        <v>28</v>
      </c>
      <c r="L135">
        <v>1348</v>
      </c>
      <c r="N135">
        <v>39568864</v>
      </c>
      <c r="O135" t="s">
        <v>26</v>
      </c>
      <c r="P135" t="s">
        <v>26</v>
      </c>
      <c r="Q135">
        <v>1000</v>
      </c>
      <c r="W135">
        <v>0</v>
      </c>
      <c r="X135">
        <v>-572949936</v>
      </c>
      <c r="Y135">
        <v>4.0000000000000001E-3</v>
      </c>
      <c r="AA135">
        <v>6820</v>
      </c>
      <c r="AB135">
        <v>0</v>
      </c>
      <c r="AC135">
        <v>0</v>
      </c>
      <c r="AD135">
        <v>0</v>
      </c>
      <c r="AE135">
        <v>6820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T135">
        <v>4.0000000000000001E-3</v>
      </c>
      <c r="AV135">
        <v>0</v>
      </c>
      <c r="AW135">
        <v>2</v>
      </c>
      <c r="AX135">
        <v>940001671</v>
      </c>
      <c r="AY135">
        <v>1</v>
      </c>
      <c r="AZ135">
        <v>0</v>
      </c>
      <c r="BA135">
        <v>129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Y135*Source!I62</f>
        <v>2.0200000000000001E-3</v>
      </c>
      <c r="CY135">
        <f>AA135</f>
        <v>6820</v>
      </c>
      <c r="CZ135">
        <f>AE135</f>
        <v>6820</v>
      </c>
      <c r="DA135">
        <f>AI135</f>
        <v>1</v>
      </c>
      <c r="DB135">
        <f>ROUND(ROUND(AT135*CZ135,2),6)</f>
        <v>27.28</v>
      </c>
      <c r="DC135">
        <f>ROUND(ROUND(AT135*AG135,2),6)</f>
        <v>0</v>
      </c>
    </row>
    <row r="136" spans="1:107" x14ac:dyDescent="0.2">
      <c r="A136">
        <f>ROW(Source!A62)</f>
        <v>62</v>
      </c>
      <c r="B136">
        <v>939971439</v>
      </c>
      <c r="C136">
        <v>940001666</v>
      </c>
      <c r="D136">
        <v>337992350</v>
      </c>
      <c r="E136">
        <v>1</v>
      </c>
      <c r="F136">
        <v>1</v>
      </c>
      <c r="G136">
        <v>1</v>
      </c>
      <c r="H136">
        <v>3</v>
      </c>
      <c r="I136" t="s">
        <v>192</v>
      </c>
      <c r="J136" t="s">
        <v>194</v>
      </c>
      <c r="K136" t="s">
        <v>193</v>
      </c>
      <c r="L136">
        <v>1348</v>
      </c>
      <c r="N136">
        <v>39568864</v>
      </c>
      <c r="O136" t="s">
        <v>26</v>
      </c>
      <c r="P136" t="s">
        <v>26</v>
      </c>
      <c r="Q136">
        <v>1000</v>
      </c>
      <c r="W136">
        <v>0</v>
      </c>
      <c r="X136">
        <v>-203775977</v>
      </c>
      <c r="Y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N136">
        <v>1</v>
      </c>
      <c r="AO136">
        <v>0</v>
      </c>
      <c r="AP136">
        <v>0</v>
      </c>
      <c r="AQ136">
        <v>0</v>
      </c>
      <c r="AR136">
        <v>0</v>
      </c>
      <c r="AT136">
        <v>0</v>
      </c>
      <c r="AV136">
        <v>0</v>
      </c>
      <c r="AW136">
        <v>2</v>
      </c>
      <c r="AX136">
        <v>940001672</v>
      </c>
      <c r="AY136">
        <v>1</v>
      </c>
      <c r="AZ136">
        <v>0</v>
      </c>
      <c r="BA136">
        <v>130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Y136*Source!I62</f>
        <v>0</v>
      </c>
      <c r="CY136">
        <f>AA136</f>
        <v>0</v>
      </c>
      <c r="CZ136">
        <f>AE136</f>
        <v>0</v>
      </c>
      <c r="DA136">
        <f>AI136</f>
        <v>1</v>
      </c>
      <c r="DB136">
        <f>ROUND(ROUND(AT136*CZ136,2),6)</f>
        <v>0</v>
      </c>
      <c r="DC136">
        <f>ROUND(ROUND(AT136*AG136,2),6)</f>
        <v>0</v>
      </c>
    </row>
    <row r="137" spans="1:107" x14ac:dyDescent="0.2">
      <c r="A137">
        <f>ROW(Source!A63)</f>
        <v>63</v>
      </c>
      <c r="B137">
        <v>939971440</v>
      </c>
      <c r="C137">
        <v>940001666</v>
      </c>
      <c r="D137">
        <v>37775796</v>
      </c>
      <c r="E137">
        <v>1</v>
      </c>
      <c r="F137">
        <v>1</v>
      </c>
      <c r="G137">
        <v>1</v>
      </c>
      <c r="H137">
        <v>1</v>
      </c>
      <c r="I137" t="s">
        <v>435</v>
      </c>
      <c r="K137" t="s">
        <v>436</v>
      </c>
      <c r="L137">
        <v>1369</v>
      </c>
      <c r="N137">
        <v>1013</v>
      </c>
      <c r="O137" t="s">
        <v>365</v>
      </c>
      <c r="P137" t="s">
        <v>365</v>
      </c>
      <c r="Q137">
        <v>1</v>
      </c>
      <c r="W137">
        <v>0</v>
      </c>
      <c r="X137">
        <v>-1803619151</v>
      </c>
      <c r="Y137">
        <v>14.72</v>
      </c>
      <c r="AA137">
        <v>0</v>
      </c>
      <c r="AB137">
        <v>0</v>
      </c>
      <c r="AC137">
        <v>0</v>
      </c>
      <c r="AD137">
        <v>9.2899999999999991</v>
      </c>
      <c r="AE137">
        <v>0</v>
      </c>
      <c r="AF137">
        <v>0</v>
      </c>
      <c r="AG137">
        <v>0</v>
      </c>
      <c r="AH137">
        <v>9.2899999999999991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T137">
        <v>12.8</v>
      </c>
      <c r="AU137" t="s">
        <v>141</v>
      </c>
      <c r="AV137">
        <v>1</v>
      </c>
      <c r="AW137">
        <v>2</v>
      </c>
      <c r="AX137">
        <v>940001667</v>
      </c>
      <c r="AY137">
        <v>1</v>
      </c>
      <c r="AZ137">
        <v>0</v>
      </c>
      <c r="BA137">
        <v>131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Y137*Source!I63</f>
        <v>7.4336000000000002</v>
      </c>
      <c r="CY137">
        <f>AD137</f>
        <v>9.2899999999999991</v>
      </c>
      <c r="CZ137">
        <f>AH137</f>
        <v>9.2899999999999991</v>
      </c>
      <c r="DA137">
        <f>AL137</f>
        <v>1</v>
      </c>
      <c r="DB137">
        <f>ROUND((ROUND(AT137*CZ137,2)*1.15),6)</f>
        <v>136.7465</v>
      </c>
      <c r="DC137">
        <f>ROUND((ROUND(AT137*AG137,2)*1.15),6)</f>
        <v>0</v>
      </c>
    </row>
    <row r="138" spans="1:107" x14ac:dyDescent="0.2">
      <c r="A138">
        <f>ROW(Source!A63)</f>
        <v>63</v>
      </c>
      <c r="B138">
        <v>939971440</v>
      </c>
      <c r="C138">
        <v>940001666</v>
      </c>
      <c r="D138">
        <v>338038929</v>
      </c>
      <c r="E138">
        <v>1</v>
      </c>
      <c r="F138">
        <v>1</v>
      </c>
      <c r="G138">
        <v>1</v>
      </c>
      <c r="H138">
        <v>2</v>
      </c>
      <c r="I138" t="s">
        <v>437</v>
      </c>
      <c r="J138" t="s">
        <v>438</v>
      </c>
      <c r="K138" t="s">
        <v>439</v>
      </c>
      <c r="L138">
        <v>1368</v>
      </c>
      <c r="N138">
        <v>91022270</v>
      </c>
      <c r="O138" t="s">
        <v>371</v>
      </c>
      <c r="P138" t="s">
        <v>371</v>
      </c>
      <c r="Q138">
        <v>1</v>
      </c>
      <c r="W138">
        <v>0</v>
      </c>
      <c r="X138">
        <v>-1867053656</v>
      </c>
      <c r="Y138">
        <v>11.625</v>
      </c>
      <c r="AA138">
        <v>0</v>
      </c>
      <c r="AB138">
        <v>7.33</v>
      </c>
      <c r="AC138">
        <v>0</v>
      </c>
      <c r="AD138">
        <v>0</v>
      </c>
      <c r="AE138">
        <v>0</v>
      </c>
      <c r="AF138">
        <v>1.95</v>
      </c>
      <c r="AG138">
        <v>0</v>
      </c>
      <c r="AH138">
        <v>0</v>
      </c>
      <c r="AI138">
        <v>1</v>
      </c>
      <c r="AJ138">
        <v>3.76</v>
      </c>
      <c r="AK138">
        <v>33.46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T138">
        <v>9.3000000000000007</v>
      </c>
      <c r="AU138" t="s">
        <v>140</v>
      </c>
      <c r="AV138">
        <v>0</v>
      </c>
      <c r="AW138">
        <v>2</v>
      </c>
      <c r="AX138">
        <v>940001668</v>
      </c>
      <c r="AY138">
        <v>1</v>
      </c>
      <c r="AZ138">
        <v>0</v>
      </c>
      <c r="BA138">
        <v>132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Y138*Source!I63</f>
        <v>5.8706250000000004</v>
      </c>
      <c r="CY138">
        <f>AB138</f>
        <v>7.33</v>
      </c>
      <c r="CZ138">
        <f>AF138</f>
        <v>1.95</v>
      </c>
      <c r="DA138">
        <f>AJ138</f>
        <v>3.76</v>
      </c>
      <c r="DB138">
        <f>ROUND((ROUND(AT138*CZ138,2)*1.25),6)</f>
        <v>22.675000000000001</v>
      </c>
      <c r="DC138">
        <f>ROUND((ROUND(AT138*AG138,2)*1.25),6)</f>
        <v>0</v>
      </c>
    </row>
    <row r="139" spans="1:107" x14ac:dyDescent="0.2">
      <c r="A139">
        <f>ROW(Source!A63)</f>
        <v>63</v>
      </c>
      <c r="B139">
        <v>939971440</v>
      </c>
      <c r="C139">
        <v>940001666</v>
      </c>
      <c r="D139">
        <v>338039342</v>
      </c>
      <c r="E139">
        <v>1</v>
      </c>
      <c r="F139">
        <v>1</v>
      </c>
      <c r="G139">
        <v>1</v>
      </c>
      <c r="H139">
        <v>2</v>
      </c>
      <c r="I139" t="s">
        <v>381</v>
      </c>
      <c r="J139" t="s">
        <v>382</v>
      </c>
      <c r="K139" t="s">
        <v>383</v>
      </c>
      <c r="L139">
        <v>1368</v>
      </c>
      <c r="N139">
        <v>91022270</v>
      </c>
      <c r="O139" t="s">
        <v>371</v>
      </c>
      <c r="P139" t="s">
        <v>371</v>
      </c>
      <c r="Q139">
        <v>1</v>
      </c>
      <c r="W139">
        <v>0</v>
      </c>
      <c r="X139">
        <v>1230759911</v>
      </c>
      <c r="Y139">
        <v>6.25E-2</v>
      </c>
      <c r="AA139">
        <v>0</v>
      </c>
      <c r="AB139">
        <v>932.72</v>
      </c>
      <c r="AC139">
        <v>388.14</v>
      </c>
      <c r="AD139">
        <v>0</v>
      </c>
      <c r="AE139">
        <v>0</v>
      </c>
      <c r="AF139">
        <v>87.17</v>
      </c>
      <c r="AG139">
        <v>11.6</v>
      </c>
      <c r="AH139">
        <v>0</v>
      </c>
      <c r="AI139">
        <v>1</v>
      </c>
      <c r="AJ139">
        <v>10.7</v>
      </c>
      <c r="AK139">
        <v>33.46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T139">
        <v>0.05</v>
      </c>
      <c r="AU139" t="s">
        <v>140</v>
      </c>
      <c r="AV139">
        <v>0</v>
      </c>
      <c r="AW139">
        <v>2</v>
      </c>
      <c r="AX139">
        <v>940001669</v>
      </c>
      <c r="AY139">
        <v>1</v>
      </c>
      <c r="AZ139">
        <v>0</v>
      </c>
      <c r="BA139">
        <v>133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Y139*Source!I63</f>
        <v>3.15625E-2</v>
      </c>
      <c r="CY139">
        <f>AB139</f>
        <v>932.72</v>
      </c>
      <c r="CZ139">
        <f>AF139</f>
        <v>87.17</v>
      </c>
      <c r="DA139">
        <f>AJ139</f>
        <v>10.7</v>
      </c>
      <c r="DB139">
        <f>ROUND((ROUND(AT139*CZ139,2)*1.25),6)</f>
        <v>5.45</v>
      </c>
      <c r="DC139">
        <f>ROUND((ROUND(AT139*AG139,2)*1.25),6)</f>
        <v>0.72499999999999998</v>
      </c>
    </row>
    <row r="140" spans="1:107" x14ac:dyDescent="0.2">
      <c r="A140">
        <f>ROW(Source!A63)</f>
        <v>63</v>
      </c>
      <c r="B140">
        <v>939971440</v>
      </c>
      <c r="C140">
        <v>940001666</v>
      </c>
      <c r="D140">
        <v>337979104</v>
      </c>
      <c r="E140">
        <v>1</v>
      </c>
      <c r="F140">
        <v>1</v>
      </c>
      <c r="G140">
        <v>1</v>
      </c>
      <c r="H140">
        <v>3</v>
      </c>
      <c r="I140" t="s">
        <v>24</v>
      </c>
      <c r="J140" t="s">
        <v>440</v>
      </c>
      <c r="K140" t="s">
        <v>25</v>
      </c>
      <c r="L140">
        <v>1348</v>
      </c>
      <c r="N140">
        <v>39568864</v>
      </c>
      <c r="O140" t="s">
        <v>26</v>
      </c>
      <c r="P140" t="s">
        <v>26</v>
      </c>
      <c r="Q140">
        <v>1000</v>
      </c>
      <c r="W140">
        <v>0</v>
      </c>
      <c r="X140">
        <v>-1987662731</v>
      </c>
      <c r="Y140">
        <v>7.5000000000000002E-4</v>
      </c>
      <c r="AA140">
        <v>99191.32</v>
      </c>
      <c r="AB140">
        <v>0</v>
      </c>
      <c r="AC140">
        <v>0</v>
      </c>
      <c r="AD140">
        <v>0</v>
      </c>
      <c r="AE140">
        <v>12429.99</v>
      </c>
      <c r="AF140">
        <v>0</v>
      </c>
      <c r="AG140">
        <v>0</v>
      </c>
      <c r="AH140">
        <v>0</v>
      </c>
      <c r="AI140">
        <v>7.98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T140">
        <v>7.5000000000000002E-4</v>
      </c>
      <c r="AV140">
        <v>0</v>
      </c>
      <c r="AW140">
        <v>2</v>
      </c>
      <c r="AX140">
        <v>940001670</v>
      </c>
      <c r="AY140">
        <v>1</v>
      </c>
      <c r="AZ140">
        <v>0</v>
      </c>
      <c r="BA140">
        <v>134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Y140*Source!I63</f>
        <v>3.7875000000000002E-4</v>
      </c>
      <c r="CY140">
        <f>AA140</f>
        <v>99191.32</v>
      </c>
      <c r="CZ140">
        <f>AE140</f>
        <v>12429.99</v>
      </c>
      <c r="DA140">
        <f>AI140</f>
        <v>7.98</v>
      </c>
      <c r="DB140">
        <f t="shared" ref="DB140:DB148" si="14">ROUND(ROUND(AT140*CZ140,2),6)</f>
        <v>9.32</v>
      </c>
      <c r="DC140">
        <f t="shared" ref="DC140:DC148" si="15">ROUND(ROUND(AT140*AG140,2),6)</f>
        <v>0</v>
      </c>
    </row>
    <row r="141" spans="1:107" x14ac:dyDescent="0.2">
      <c r="A141">
        <f>ROW(Source!A63)</f>
        <v>63</v>
      </c>
      <c r="B141">
        <v>939971440</v>
      </c>
      <c r="C141">
        <v>940001666</v>
      </c>
      <c r="D141">
        <v>337993510</v>
      </c>
      <c r="E141">
        <v>1</v>
      </c>
      <c r="F141">
        <v>1</v>
      </c>
      <c r="G141">
        <v>1</v>
      </c>
      <c r="H141">
        <v>3</v>
      </c>
      <c r="I141" t="s">
        <v>27</v>
      </c>
      <c r="J141" t="s">
        <v>441</v>
      </c>
      <c r="K141" t="s">
        <v>28</v>
      </c>
      <c r="L141">
        <v>1348</v>
      </c>
      <c r="N141">
        <v>39568864</v>
      </c>
      <c r="O141" t="s">
        <v>26</v>
      </c>
      <c r="P141" t="s">
        <v>26</v>
      </c>
      <c r="Q141">
        <v>1000</v>
      </c>
      <c r="W141">
        <v>0</v>
      </c>
      <c r="X141">
        <v>-572949936</v>
      </c>
      <c r="Y141">
        <v>4.0000000000000001E-3</v>
      </c>
      <c r="AA141">
        <v>96093.8</v>
      </c>
      <c r="AB141">
        <v>0</v>
      </c>
      <c r="AC141">
        <v>0</v>
      </c>
      <c r="AD141">
        <v>0</v>
      </c>
      <c r="AE141">
        <v>6820</v>
      </c>
      <c r="AF141">
        <v>0</v>
      </c>
      <c r="AG141">
        <v>0</v>
      </c>
      <c r="AH141">
        <v>0</v>
      </c>
      <c r="AI141">
        <v>14.09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T141">
        <v>4.0000000000000001E-3</v>
      </c>
      <c r="AV141">
        <v>0</v>
      </c>
      <c r="AW141">
        <v>2</v>
      </c>
      <c r="AX141">
        <v>940001671</v>
      </c>
      <c r="AY141">
        <v>1</v>
      </c>
      <c r="AZ141">
        <v>0</v>
      </c>
      <c r="BA141">
        <v>135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Y141*Source!I63</f>
        <v>2.0200000000000001E-3</v>
      </c>
      <c r="CY141">
        <f>AA141</f>
        <v>96093.8</v>
      </c>
      <c r="CZ141">
        <f>AE141</f>
        <v>6820</v>
      </c>
      <c r="DA141">
        <f>AI141</f>
        <v>14.09</v>
      </c>
      <c r="DB141">
        <f t="shared" si="14"/>
        <v>27.28</v>
      </c>
      <c r="DC141">
        <f t="shared" si="15"/>
        <v>0</v>
      </c>
    </row>
    <row r="142" spans="1:107" x14ac:dyDescent="0.2">
      <c r="A142">
        <f>ROW(Source!A63)</f>
        <v>63</v>
      </c>
      <c r="B142">
        <v>939971440</v>
      </c>
      <c r="C142">
        <v>940001666</v>
      </c>
      <c r="D142">
        <v>337992350</v>
      </c>
      <c r="E142">
        <v>1</v>
      </c>
      <c r="F142">
        <v>1</v>
      </c>
      <c r="G142">
        <v>1</v>
      </c>
      <c r="H142">
        <v>3</v>
      </c>
      <c r="I142" t="s">
        <v>192</v>
      </c>
      <c r="J142" t="s">
        <v>194</v>
      </c>
      <c r="K142" t="s">
        <v>193</v>
      </c>
      <c r="L142">
        <v>1348</v>
      </c>
      <c r="N142">
        <v>39568864</v>
      </c>
      <c r="O142" t="s">
        <v>26</v>
      </c>
      <c r="P142" t="s">
        <v>26</v>
      </c>
      <c r="Q142">
        <v>1000</v>
      </c>
      <c r="W142">
        <v>0</v>
      </c>
      <c r="X142">
        <v>-203775977</v>
      </c>
      <c r="Y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1</v>
      </c>
      <c r="AO142">
        <v>0</v>
      </c>
      <c r="AP142">
        <v>0</v>
      </c>
      <c r="AQ142">
        <v>0</v>
      </c>
      <c r="AR142">
        <v>0</v>
      </c>
      <c r="AT142">
        <v>0</v>
      </c>
      <c r="AV142">
        <v>0</v>
      </c>
      <c r="AW142">
        <v>2</v>
      </c>
      <c r="AX142">
        <v>940001672</v>
      </c>
      <c r="AY142">
        <v>1</v>
      </c>
      <c r="AZ142">
        <v>0</v>
      </c>
      <c r="BA142">
        <v>136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Y142*Source!I63</f>
        <v>0</v>
      </c>
      <c r="CY142">
        <f>AA142</f>
        <v>0</v>
      </c>
      <c r="CZ142">
        <f>AE142</f>
        <v>0</v>
      </c>
      <c r="DA142">
        <f>AI142</f>
        <v>1</v>
      </c>
      <c r="DB142">
        <f t="shared" si="14"/>
        <v>0</v>
      </c>
      <c r="DC142">
        <f t="shared" si="15"/>
        <v>0</v>
      </c>
    </row>
    <row r="143" spans="1:107" x14ac:dyDescent="0.2">
      <c r="A143">
        <f>ROW(Source!A68)</f>
        <v>68</v>
      </c>
      <c r="B143">
        <v>939971439</v>
      </c>
      <c r="C143">
        <v>940014126</v>
      </c>
      <c r="D143">
        <v>37777120</v>
      </c>
      <c r="E143">
        <v>1</v>
      </c>
      <c r="F143">
        <v>1</v>
      </c>
      <c r="G143">
        <v>1</v>
      </c>
      <c r="H143">
        <v>1</v>
      </c>
      <c r="I143" t="s">
        <v>442</v>
      </c>
      <c r="K143" t="s">
        <v>443</v>
      </c>
      <c r="L143">
        <v>1369</v>
      </c>
      <c r="N143">
        <v>1013</v>
      </c>
      <c r="O143" t="s">
        <v>365</v>
      </c>
      <c r="P143" t="s">
        <v>365</v>
      </c>
      <c r="Q143">
        <v>1</v>
      </c>
      <c r="W143">
        <v>0</v>
      </c>
      <c r="X143">
        <v>-667300694</v>
      </c>
      <c r="Y143">
        <v>0.57769999999999999</v>
      </c>
      <c r="AA143">
        <v>0</v>
      </c>
      <c r="AB143">
        <v>0</v>
      </c>
      <c r="AC143">
        <v>0</v>
      </c>
      <c r="AD143">
        <v>7.19</v>
      </c>
      <c r="AE143">
        <v>0</v>
      </c>
      <c r="AF143">
        <v>0</v>
      </c>
      <c r="AG143">
        <v>0</v>
      </c>
      <c r="AH143">
        <v>7.19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T143">
        <v>0.57769999999999999</v>
      </c>
      <c r="AV143">
        <v>1</v>
      </c>
      <c r="AW143">
        <v>2</v>
      </c>
      <c r="AX143">
        <v>940014175</v>
      </c>
      <c r="AY143">
        <v>1</v>
      </c>
      <c r="AZ143">
        <v>0</v>
      </c>
      <c r="BA143">
        <v>137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Y143*Source!I68</f>
        <v>0.70537170000000005</v>
      </c>
      <c r="CY143">
        <f>AD143</f>
        <v>7.19</v>
      </c>
      <c r="CZ143">
        <f>AH143</f>
        <v>7.19</v>
      </c>
      <c r="DA143">
        <f>AL143</f>
        <v>1</v>
      </c>
      <c r="DB143">
        <f t="shared" si="14"/>
        <v>4.1500000000000004</v>
      </c>
      <c r="DC143">
        <f t="shared" si="15"/>
        <v>0</v>
      </c>
    </row>
    <row r="144" spans="1:107" x14ac:dyDescent="0.2">
      <c r="A144">
        <f>ROW(Source!A68)</f>
        <v>68</v>
      </c>
      <c r="B144">
        <v>939971439</v>
      </c>
      <c r="C144">
        <v>940014126</v>
      </c>
      <c r="D144">
        <v>338039353</v>
      </c>
      <c r="E144">
        <v>1</v>
      </c>
      <c r="F144">
        <v>1</v>
      </c>
      <c r="G144">
        <v>1</v>
      </c>
      <c r="H144">
        <v>2</v>
      </c>
      <c r="I144" t="s">
        <v>444</v>
      </c>
      <c r="J144" t="s">
        <v>445</v>
      </c>
      <c r="K144" t="s">
        <v>446</v>
      </c>
      <c r="L144">
        <v>1368</v>
      </c>
      <c r="N144">
        <v>91022270</v>
      </c>
      <c r="O144" t="s">
        <v>371</v>
      </c>
      <c r="P144" t="s">
        <v>371</v>
      </c>
      <c r="Q144">
        <v>1</v>
      </c>
      <c r="W144">
        <v>0</v>
      </c>
      <c r="X144">
        <v>-1888888004</v>
      </c>
      <c r="Y144">
        <v>0.28999999999999998</v>
      </c>
      <c r="AA144">
        <v>0</v>
      </c>
      <c r="AB144">
        <v>111</v>
      </c>
      <c r="AC144">
        <v>11.6</v>
      </c>
      <c r="AD144">
        <v>0</v>
      </c>
      <c r="AE144">
        <v>0</v>
      </c>
      <c r="AF144">
        <v>111</v>
      </c>
      <c r="AG144">
        <v>11.6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T144">
        <v>0.28999999999999998</v>
      </c>
      <c r="AV144">
        <v>0</v>
      </c>
      <c r="AW144">
        <v>2</v>
      </c>
      <c r="AX144">
        <v>940014176</v>
      </c>
      <c r="AY144">
        <v>1</v>
      </c>
      <c r="AZ144">
        <v>0</v>
      </c>
      <c r="BA144">
        <v>138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Y144*Source!I68</f>
        <v>0.35409000000000002</v>
      </c>
      <c r="CY144">
        <f>AB144</f>
        <v>111</v>
      </c>
      <c r="CZ144">
        <f>AF144</f>
        <v>111</v>
      </c>
      <c r="DA144">
        <f>AJ144</f>
        <v>1</v>
      </c>
      <c r="DB144">
        <f t="shared" si="14"/>
        <v>32.19</v>
      </c>
      <c r="DC144">
        <f t="shared" si="15"/>
        <v>3.36</v>
      </c>
    </row>
    <row r="145" spans="1:107" x14ac:dyDescent="0.2">
      <c r="A145">
        <f>ROW(Source!A69)</f>
        <v>69</v>
      </c>
      <c r="B145">
        <v>939971440</v>
      </c>
      <c r="C145">
        <v>940014126</v>
      </c>
      <c r="D145">
        <v>37777120</v>
      </c>
      <c r="E145">
        <v>1</v>
      </c>
      <c r="F145">
        <v>1</v>
      </c>
      <c r="G145">
        <v>1</v>
      </c>
      <c r="H145">
        <v>1</v>
      </c>
      <c r="I145" t="s">
        <v>442</v>
      </c>
      <c r="K145" t="s">
        <v>443</v>
      </c>
      <c r="L145">
        <v>1369</v>
      </c>
      <c r="N145">
        <v>1013</v>
      </c>
      <c r="O145" t="s">
        <v>365</v>
      </c>
      <c r="P145" t="s">
        <v>365</v>
      </c>
      <c r="Q145">
        <v>1</v>
      </c>
      <c r="W145">
        <v>0</v>
      </c>
      <c r="X145">
        <v>-667300694</v>
      </c>
      <c r="Y145">
        <v>0.57769999999999999</v>
      </c>
      <c r="AA145">
        <v>0</v>
      </c>
      <c r="AB145">
        <v>0</v>
      </c>
      <c r="AC145">
        <v>0</v>
      </c>
      <c r="AD145">
        <v>7.19</v>
      </c>
      <c r="AE145">
        <v>0</v>
      </c>
      <c r="AF145">
        <v>0</v>
      </c>
      <c r="AG145">
        <v>0</v>
      </c>
      <c r="AH145">
        <v>7.19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T145">
        <v>0.57769999999999999</v>
      </c>
      <c r="AV145">
        <v>1</v>
      </c>
      <c r="AW145">
        <v>2</v>
      </c>
      <c r="AX145">
        <v>940014175</v>
      </c>
      <c r="AY145">
        <v>1</v>
      </c>
      <c r="AZ145">
        <v>0</v>
      </c>
      <c r="BA145">
        <v>139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Y145*Source!I69</f>
        <v>0.70537170000000005</v>
      </c>
      <c r="CY145">
        <f>AD145</f>
        <v>7.19</v>
      </c>
      <c r="CZ145">
        <f>AH145</f>
        <v>7.19</v>
      </c>
      <c r="DA145">
        <f>AL145</f>
        <v>1</v>
      </c>
      <c r="DB145">
        <f t="shared" si="14"/>
        <v>4.1500000000000004</v>
      </c>
      <c r="DC145">
        <f t="shared" si="15"/>
        <v>0</v>
      </c>
    </row>
    <row r="146" spans="1:107" x14ac:dyDescent="0.2">
      <c r="A146">
        <f>ROW(Source!A69)</f>
        <v>69</v>
      </c>
      <c r="B146">
        <v>939971440</v>
      </c>
      <c r="C146">
        <v>940014126</v>
      </c>
      <c r="D146">
        <v>338039353</v>
      </c>
      <c r="E146">
        <v>1</v>
      </c>
      <c r="F146">
        <v>1</v>
      </c>
      <c r="G146">
        <v>1</v>
      </c>
      <c r="H146">
        <v>2</v>
      </c>
      <c r="I146" t="s">
        <v>444</v>
      </c>
      <c r="J146" t="s">
        <v>445</v>
      </c>
      <c r="K146" t="s">
        <v>446</v>
      </c>
      <c r="L146">
        <v>1368</v>
      </c>
      <c r="N146">
        <v>91022270</v>
      </c>
      <c r="O146" t="s">
        <v>371</v>
      </c>
      <c r="P146" t="s">
        <v>371</v>
      </c>
      <c r="Q146">
        <v>1</v>
      </c>
      <c r="W146">
        <v>0</v>
      </c>
      <c r="X146">
        <v>-1888888004</v>
      </c>
      <c r="Y146">
        <v>0.28999999999999998</v>
      </c>
      <c r="AA146">
        <v>0</v>
      </c>
      <c r="AB146">
        <v>907.98</v>
      </c>
      <c r="AC146">
        <v>388.14</v>
      </c>
      <c r="AD146">
        <v>0</v>
      </c>
      <c r="AE146">
        <v>0</v>
      </c>
      <c r="AF146">
        <v>111</v>
      </c>
      <c r="AG146">
        <v>11.6</v>
      </c>
      <c r="AH146">
        <v>0</v>
      </c>
      <c r="AI146">
        <v>1</v>
      </c>
      <c r="AJ146">
        <v>8.18</v>
      </c>
      <c r="AK146">
        <v>33.46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T146">
        <v>0.28999999999999998</v>
      </c>
      <c r="AV146">
        <v>0</v>
      </c>
      <c r="AW146">
        <v>2</v>
      </c>
      <c r="AX146">
        <v>940014176</v>
      </c>
      <c r="AY146">
        <v>1</v>
      </c>
      <c r="AZ146">
        <v>0</v>
      </c>
      <c r="BA146">
        <v>140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Y146*Source!I69</f>
        <v>0.35409000000000002</v>
      </c>
      <c r="CY146">
        <f>AB146</f>
        <v>907.98</v>
      </c>
      <c r="CZ146">
        <f>AF146</f>
        <v>111</v>
      </c>
      <c r="DA146">
        <f>AJ146</f>
        <v>8.18</v>
      </c>
      <c r="DB146">
        <f t="shared" si="14"/>
        <v>32.19</v>
      </c>
      <c r="DC146">
        <f t="shared" si="15"/>
        <v>3.36</v>
      </c>
    </row>
    <row r="147" spans="1:107" x14ac:dyDescent="0.2">
      <c r="A147">
        <f>ROW(Source!A70)</f>
        <v>70</v>
      </c>
      <c r="B147">
        <v>939971439</v>
      </c>
      <c r="C147">
        <v>940017250</v>
      </c>
      <c r="D147">
        <v>338039345</v>
      </c>
      <c r="E147">
        <v>1</v>
      </c>
      <c r="F147">
        <v>1</v>
      </c>
      <c r="G147">
        <v>1</v>
      </c>
      <c r="H147">
        <v>2</v>
      </c>
      <c r="I147" t="s">
        <v>447</v>
      </c>
      <c r="J147" t="s">
        <v>448</v>
      </c>
      <c r="K147" t="s">
        <v>449</v>
      </c>
      <c r="L147">
        <v>1368</v>
      </c>
      <c r="N147">
        <v>91022270</v>
      </c>
      <c r="O147" t="s">
        <v>371</v>
      </c>
      <c r="P147" t="s">
        <v>371</v>
      </c>
      <c r="Q147">
        <v>1</v>
      </c>
      <c r="W147">
        <v>0</v>
      </c>
      <c r="X147">
        <v>1768408033</v>
      </c>
      <c r="Y147">
        <v>0.1447</v>
      </c>
      <c r="AA147">
        <v>0</v>
      </c>
      <c r="AB147">
        <v>117.92</v>
      </c>
      <c r="AC147">
        <v>13.5</v>
      </c>
      <c r="AD147">
        <v>0</v>
      </c>
      <c r="AE147">
        <v>0</v>
      </c>
      <c r="AF147">
        <v>117.92</v>
      </c>
      <c r="AG147">
        <v>13.5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T147">
        <v>0.1447</v>
      </c>
      <c r="AV147">
        <v>0</v>
      </c>
      <c r="AW147">
        <v>2</v>
      </c>
      <c r="AX147">
        <v>940019089</v>
      </c>
      <c r="AY147">
        <v>1</v>
      </c>
      <c r="AZ147">
        <v>0</v>
      </c>
      <c r="BA147">
        <v>141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Y147*Source!I70</f>
        <v>0.17667869999999999</v>
      </c>
      <c r="CY147">
        <f>AB147</f>
        <v>117.92</v>
      </c>
      <c r="CZ147">
        <f>AF147</f>
        <v>117.92</v>
      </c>
      <c r="DA147">
        <f>AJ147</f>
        <v>1</v>
      </c>
      <c r="DB147">
        <f t="shared" si="14"/>
        <v>17.059999999999999</v>
      </c>
      <c r="DC147">
        <f t="shared" si="15"/>
        <v>1.95</v>
      </c>
    </row>
    <row r="148" spans="1:107" x14ac:dyDescent="0.2">
      <c r="A148">
        <f>ROW(Source!A71)</f>
        <v>71</v>
      </c>
      <c r="B148">
        <v>939971440</v>
      </c>
      <c r="C148">
        <v>940017250</v>
      </c>
      <c r="D148">
        <v>338039345</v>
      </c>
      <c r="E148">
        <v>1</v>
      </c>
      <c r="F148">
        <v>1</v>
      </c>
      <c r="G148">
        <v>1</v>
      </c>
      <c r="H148">
        <v>2</v>
      </c>
      <c r="I148" t="s">
        <v>447</v>
      </c>
      <c r="J148" t="s">
        <v>448</v>
      </c>
      <c r="K148" t="s">
        <v>449</v>
      </c>
      <c r="L148">
        <v>1368</v>
      </c>
      <c r="N148">
        <v>91022270</v>
      </c>
      <c r="O148" t="s">
        <v>371</v>
      </c>
      <c r="P148" t="s">
        <v>371</v>
      </c>
      <c r="Q148">
        <v>1</v>
      </c>
      <c r="W148">
        <v>0</v>
      </c>
      <c r="X148">
        <v>1768408033</v>
      </c>
      <c r="Y148">
        <v>0.1447</v>
      </c>
      <c r="AA148">
        <v>0</v>
      </c>
      <c r="AB148">
        <v>1166.23</v>
      </c>
      <c r="AC148">
        <v>451.71</v>
      </c>
      <c r="AD148">
        <v>0</v>
      </c>
      <c r="AE148">
        <v>0</v>
      </c>
      <c r="AF148">
        <v>117.92</v>
      </c>
      <c r="AG148">
        <v>13.5</v>
      </c>
      <c r="AH148">
        <v>0</v>
      </c>
      <c r="AI148">
        <v>1</v>
      </c>
      <c r="AJ148">
        <v>9.89</v>
      </c>
      <c r="AK148">
        <v>33.46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T148">
        <v>0.1447</v>
      </c>
      <c r="AV148">
        <v>0</v>
      </c>
      <c r="AW148">
        <v>2</v>
      </c>
      <c r="AX148">
        <v>940019089</v>
      </c>
      <c r="AY148">
        <v>1</v>
      </c>
      <c r="AZ148">
        <v>0</v>
      </c>
      <c r="BA148">
        <v>142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Y148*Source!I71</f>
        <v>0.17667869999999999</v>
      </c>
      <c r="CY148">
        <f>AB148</f>
        <v>1166.23</v>
      </c>
      <c r="CZ148">
        <f>AF148</f>
        <v>117.92</v>
      </c>
      <c r="DA148">
        <f>AJ148</f>
        <v>9.89</v>
      </c>
      <c r="DB148">
        <f t="shared" si="14"/>
        <v>17.059999999999999</v>
      </c>
      <c r="DC148">
        <f t="shared" si="15"/>
        <v>1.95</v>
      </c>
    </row>
  </sheetData>
  <printOptions gridLines="1"/>
  <pageMargins left="0.75" right="0.75" top="1" bottom="1" header="0.5" footer="0.5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142"/>
  <sheetViews>
    <sheetView zoomScaleNormal="100" workbookViewId="0"/>
  </sheetViews>
  <sheetFormatPr defaultRowHeight="12.75" x14ac:dyDescent="0.2"/>
  <cols>
    <col min="1" max="1025" width="9.140625" customWidth="1"/>
  </cols>
  <sheetData>
    <row r="1" spans="1:44" x14ac:dyDescent="0.2">
      <c r="A1">
        <f>ROW(Source!A24)</f>
        <v>24</v>
      </c>
      <c r="B1">
        <v>939972153</v>
      </c>
      <c r="C1">
        <v>939971563</v>
      </c>
      <c r="D1">
        <v>37778912</v>
      </c>
      <c r="E1">
        <v>1</v>
      </c>
      <c r="F1">
        <v>1</v>
      </c>
      <c r="G1">
        <v>1</v>
      </c>
      <c r="H1">
        <v>1</v>
      </c>
      <c r="I1" t="s">
        <v>363</v>
      </c>
      <c r="K1" t="s">
        <v>364</v>
      </c>
      <c r="L1">
        <v>1369</v>
      </c>
      <c r="N1">
        <v>1013</v>
      </c>
      <c r="O1" t="s">
        <v>365</v>
      </c>
      <c r="P1" t="s">
        <v>365</v>
      </c>
      <c r="Q1">
        <v>1</v>
      </c>
      <c r="X1">
        <v>378.17</v>
      </c>
      <c r="Y1">
        <v>0</v>
      </c>
      <c r="Z1">
        <v>0</v>
      </c>
      <c r="AA1">
        <v>0</v>
      </c>
      <c r="AB1">
        <v>9.18</v>
      </c>
      <c r="AC1">
        <v>0</v>
      </c>
      <c r="AD1">
        <v>1</v>
      </c>
      <c r="AE1">
        <v>1</v>
      </c>
      <c r="AF1" t="s">
        <v>110</v>
      </c>
      <c r="AG1">
        <v>302.536</v>
      </c>
      <c r="AH1">
        <v>2</v>
      </c>
      <c r="AI1">
        <v>939972153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939972154</v>
      </c>
      <c r="C2">
        <v>939971563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9</v>
      </c>
      <c r="K2" t="s">
        <v>366</v>
      </c>
      <c r="L2">
        <v>608254</v>
      </c>
      <c r="N2">
        <v>1013</v>
      </c>
      <c r="O2" t="s">
        <v>367</v>
      </c>
      <c r="P2" t="s">
        <v>367</v>
      </c>
      <c r="Q2">
        <v>1</v>
      </c>
      <c r="X2">
        <v>2.16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110</v>
      </c>
      <c r="AG2">
        <v>1.728</v>
      </c>
      <c r="AH2">
        <v>2</v>
      </c>
      <c r="AI2">
        <v>939972154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939972155</v>
      </c>
      <c r="C3">
        <v>939971563</v>
      </c>
      <c r="D3">
        <v>338036696</v>
      </c>
      <c r="E3">
        <v>1</v>
      </c>
      <c r="F3">
        <v>1</v>
      </c>
      <c r="G3">
        <v>1</v>
      </c>
      <c r="H3">
        <v>2</v>
      </c>
      <c r="I3" t="s">
        <v>368</v>
      </c>
      <c r="J3" t="s">
        <v>369</v>
      </c>
      <c r="K3" t="s">
        <v>370</v>
      </c>
      <c r="L3">
        <v>1368</v>
      </c>
      <c r="N3">
        <v>91022270</v>
      </c>
      <c r="O3" t="s">
        <v>371</v>
      </c>
      <c r="P3" t="s">
        <v>371</v>
      </c>
      <c r="Q3">
        <v>1</v>
      </c>
      <c r="X3">
        <v>0.34</v>
      </c>
      <c r="Y3">
        <v>0</v>
      </c>
      <c r="Z3">
        <v>83.43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110</v>
      </c>
      <c r="AG3">
        <v>0.27200000000000002</v>
      </c>
      <c r="AH3">
        <v>2</v>
      </c>
      <c r="AI3">
        <v>939972155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939972156</v>
      </c>
      <c r="C4">
        <v>939971563</v>
      </c>
      <c r="D4">
        <v>338036807</v>
      </c>
      <c r="E4">
        <v>1</v>
      </c>
      <c r="F4">
        <v>1</v>
      </c>
      <c r="G4">
        <v>1</v>
      </c>
      <c r="H4">
        <v>2</v>
      </c>
      <c r="I4" t="s">
        <v>372</v>
      </c>
      <c r="J4" t="s">
        <v>373</v>
      </c>
      <c r="K4" t="s">
        <v>374</v>
      </c>
      <c r="L4">
        <v>1368</v>
      </c>
      <c r="N4">
        <v>91022270</v>
      </c>
      <c r="O4" t="s">
        <v>371</v>
      </c>
      <c r="P4" t="s">
        <v>371</v>
      </c>
      <c r="Q4">
        <v>1</v>
      </c>
      <c r="X4">
        <v>0.13</v>
      </c>
      <c r="Y4">
        <v>0</v>
      </c>
      <c r="Z4">
        <v>88.01</v>
      </c>
      <c r="AA4">
        <v>11.6</v>
      </c>
      <c r="AB4">
        <v>0</v>
      </c>
      <c r="AC4">
        <v>0</v>
      </c>
      <c r="AD4">
        <v>1</v>
      </c>
      <c r="AE4">
        <v>0</v>
      </c>
      <c r="AF4" t="s">
        <v>110</v>
      </c>
      <c r="AG4">
        <v>0.104</v>
      </c>
      <c r="AH4">
        <v>2</v>
      </c>
      <c r="AI4">
        <v>939972156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939972157</v>
      </c>
      <c r="C5">
        <v>939971563</v>
      </c>
      <c r="D5">
        <v>338037570</v>
      </c>
      <c r="E5">
        <v>1</v>
      </c>
      <c r="F5">
        <v>1</v>
      </c>
      <c r="G5">
        <v>1</v>
      </c>
      <c r="H5">
        <v>2</v>
      </c>
      <c r="I5" t="s">
        <v>375</v>
      </c>
      <c r="J5" t="s">
        <v>376</v>
      </c>
      <c r="K5" t="s">
        <v>377</v>
      </c>
      <c r="L5">
        <v>1368</v>
      </c>
      <c r="N5">
        <v>91022270</v>
      </c>
      <c r="O5" t="s">
        <v>371</v>
      </c>
      <c r="P5" t="s">
        <v>371</v>
      </c>
      <c r="Q5">
        <v>1</v>
      </c>
      <c r="X5">
        <v>1.69</v>
      </c>
      <c r="Y5">
        <v>0</v>
      </c>
      <c r="Z5">
        <v>12.4</v>
      </c>
      <c r="AA5">
        <v>10.06</v>
      </c>
      <c r="AB5">
        <v>0</v>
      </c>
      <c r="AC5">
        <v>0</v>
      </c>
      <c r="AD5">
        <v>1</v>
      </c>
      <c r="AE5">
        <v>0</v>
      </c>
      <c r="AF5" t="s">
        <v>110</v>
      </c>
      <c r="AG5">
        <v>1.3520000000000001</v>
      </c>
      <c r="AH5">
        <v>2</v>
      </c>
      <c r="AI5">
        <v>939972157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ROW(Source!A24)</f>
        <v>24</v>
      </c>
      <c r="B6">
        <v>939972158</v>
      </c>
      <c r="C6">
        <v>939971563</v>
      </c>
      <c r="D6">
        <v>338039067</v>
      </c>
      <c r="E6">
        <v>1</v>
      </c>
      <c r="F6">
        <v>1</v>
      </c>
      <c r="G6">
        <v>1</v>
      </c>
      <c r="H6">
        <v>2</v>
      </c>
      <c r="I6" t="s">
        <v>378</v>
      </c>
      <c r="J6" t="s">
        <v>379</v>
      </c>
      <c r="K6" t="s">
        <v>380</v>
      </c>
      <c r="L6">
        <v>1368</v>
      </c>
      <c r="N6">
        <v>91022270</v>
      </c>
      <c r="O6" t="s">
        <v>371</v>
      </c>
      <c r="P6" t="s">
        <v>371</v>
      </c>
      <c r="Q6">
        <v>1</v>
      </c>
      <c r="X6">
        <v>0.09</v>
      </c>
      <c r="Y6">
        <v>0</v>
      </c>
      <c r="Z6">
        <v>9.9700000000000006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110</v>
      </c>
      <c r="AG6">
        <v>7.1999999999999995E-2</v>
      </c>
      <c r="AH6">
        <v>2</v>
      </c>
      <c r="AI6">
        <v>939972158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ROW(Source!A24)</f>
        <v>24</v>
      </c>
      <c r="B7">
        <v>939972159</v>
      </c>
      <c r="C7">
        <v>939971563</v>
      </c>
      <c r="D7">
        <v>338039342</v>
      </c>
      <c r="E7">
        <v>1</v>
      </c>
      <c r="F7">
        <v>1</v>
      </c>
      <c r="G7">
        <v>1</v>
      </c>
      <c r="H7">
        <v>2</v>
      </c>
      <c r="I7" t="s">
        <v>381</v>
      </c>
      <c r="J7" t="s">
        <v>382</v>
      </c>
      <c r="K7" t="s">
        <v>383</v>
      </c>
      <c r="L7">
        <v>1368</v>
      </c>
      <c r="N7">
        <v>91022270</v>
      </c>
      <c r="O7" t="s">
        <v>371</v>
      </c>
      <c r="P7" t="s">
        <v>371</v>
      </c>
      <c r="Q7">
        <v>1</v>
      </c>
      <c r="X7">
        <v>0.13</v>
      </c>
      <c r="Y7">
        <v>0</v>
      </c>
      <c r="Z7">
        <v>87.17</v>
      </c>
      <c r="AA7">
        <v>11.6</v>
      </c>
      <c r="AB7">
        <v>0</v>
      </c>
      <c r="AC7">
        <v>0</v>
      </c>
      <c r="AD7">
        <v>1</v>
      </c>
      <c r="AE7">
        <v>0</v>
      </c>
      <c r="AF7" t="s">
        <v>110</v>
      </c>
      <c r="AG7">
        <v>0.104</v>
      </c>
      <c r="AH7">
        <v>2</v>
      </c>
      <c r="AI7">
        <v>939972159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ROW(Source!A24)</f>
        <v>24</v>
      </c>
      <c r="B8">
        <v>939972160</v>
      </c>
      <c r="C8">
        <v>939971563</v>
      </c>
      <c r="D8">
        <v>337972278</v>
      </c>
      <c r="E8">
        <v>1</v>
      </c>
      <c r="F8">
        <v>1</v>
      </c>
      <c r="G8">
        <v>1</v>
      </c>
      <c r="H8">
        <v>3</v>
      </c>
      <c r="I8" t="s">
        <v>384</v>
      </c>
      <c r="J8" t="s">
        <v>385</v>
      </c>
      <c r="K8" t="s">
        <v>386</v>
      </c>
      <c r="L8">
        <v>1348</v>
      </c>
      <c r="N8">
        <v>39568864</v>
      </c>
      <c r="O8" t="s">
        <v>26</v>
      </c>
      <c r="P8" t="s">
        <v>26</v>
      </c>
      <c r="Q8">
        <v>1000</v>
      </c>
      <c r="X8">
        <v>2.1000000000000001E-2</v>
      </c>
      <c r="Y8">
        <v>6532.53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109</v>
      </c>
      <c r="AG8">
        <v>0</v>
      </c>
      <c r="AH8">
        <v>2</v>
      </c>
      <c r="AI8">
        <v>939972160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ROW(Source!A24)</f>
        <v>24</v>
      </c>
      <c r="B9">
        <v>939972161</v>
      </c>
      <c r="C9">
        <v>939971563</v>
      </c>
      <c r="D9">
        <v>337973852</v>
      </c>
      <c r="E9">
        <v>1</v>
      </c>
      <c r="F9">
        <v>1</v>
      </c>
      <c r="G9">
        <v>1</v>
      </c>
      <c r="H9">
        <v>3</v>
      </c>
      <c r="I9" t="s">
        <v>387</v>
      </c>
      <c r="J9" t="s">
        <v>388</v>
      </c>
      <c r="K9" t="s">
        <v>389</v>
      </c>
      <c r="L9">
        <v>1346</v>
      </c>
      <c r="N9">
        <v>39568864</v>
      </c>
      <c r="O9" t="s">
        <v>23</v>
      </c>
      <c r="P9" t="s">
        <v>23</v>
      </c>
      <c r="Q9">
        <v>1</v>
      </c>
      <c r="X9">
        <v>1200</v>
      </c>
      <c r="Y9">
        <v>3.86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109</v>
      </c>
      <c r="AG9">
        <v>0</v>
      </c>
      <c r="AH9">
        <v>2</v>
      </c>
      <c r="AI9">
        <v>939972161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ROW(Source!A24)</f>
        <v>24</v>
      </c>
      <c r="B10">
        <v>939972162</v>
      </c>
      <c r="C10">
        <v>939971563</v>
      </c>
      <c r="D10">
        <v>337974293</v>
      </c>
      <c r="E10">
        <v>1</v>
      </c>
      <c r="F10">
        <v>1</v>
      </c>
      <c r="G10">
        <v>1</v>
      </c>
      <c r="H10">
        <v>3</v>
      </c>
      <c r="I10" t="s">
        <v>390</v>
      </c>
      <c r="J10" t="s">
        <v>391</v>
      </c>
      <c r="K10" t="s">
        <v>392</v>
      </c>
      <c r="L10">
        <v>369160830</v>
      </c>
      <c r="N10">
        <v>1005</v>
      </c>
      <c r="O10" t="s">
        <v>17</v>
      </c>
      <c r="P10" t="s">
        <v>17</v>
      </c>
      <c r="Q10">
        <v>1</v>
      </c>
      <c r="X10">
        <v>102</v>
      </c>
      <c r="Y10">
        <v>126.55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109</v>
      </c>
      <c r="AG10">
        <v>0</v>
      </c>
      <c r="AH10">
        <v>2</v>
      </c>
      <c r="AI10">
        <v>939972162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ROW(Source!A24)</f>
        <v>24</v>
      </c>
      <c r="B11">
        <v>939972163</v>
      </c>
      <c r="C11">
        <v>939971563</v>
      </c>
      <c r="D11">
        <v>337995718</v>
      </c>
      <c r="E11">
        <v>1</v>
      </c>
      <c r="F11">
        <v>1</v>
      </c>
      <c r="G11">
        <v>1</v>
      </c>
      <c r="H11">
        <v>3</v>
      </c>
      <c r="I11" t="s">
        <v>116</v>
      </c>
      <c r="J11" t="s">
        <v>118</v>
      </c>
      <c r="K11" t="s">
        <v>117</v>
      </c>
      <c r="L11">
        <v>1339</v>
      </c>
      <c r="N11">
        <v>1007</v>
      </c>
      <c r="O11" t="s">
        <v>20</v>
      </c>
      <c r="P11" t="s">
        <v>20</v>
      </c>
      <c r="Q11">
        <v>1</v>
      </c>
      <c r="X11">
        <v>0.01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109</v>
      </c>
      <c r="AG11">
        <v>0</v>
      </c>
      <c r="AH11">
        <v>2</v>
      </c>
      <c r="AI11">
        <v>939972163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ROW(Source!A24)</f>
        <v>24</v>
      </c>
      <c r="B12">
        <v>939972164</v>
      </c>
      <c r="C12">
        <v>939971563</v>
      </c>
      <c r="D12">
        <v>338014469</v>
      </c>
      <c r="E12">
        <v>1</v>
      </c>
      <c r="F12">
        <v>1</v>
      </c>
      <c r="G12">
        <v>1</v>
      </c>
      <c r="H12">
        <v>3</v>
      </c>
      <c r="I12" t="s">
        <v>33</v>
      </c>
      <c r="J12" t="s">
        <v>393</v>
      </c>
      <c r="K12" t="s">
        <v>34</v>
      </c>
      <c r="L12">
        <v>1339</v>
      </c>
      <c r="N12">
        <v>1007</v>
      </c>
      <c r="O12" t="s">
        <v>20</v>
      </c>
      <c r="P12" t="s">
        <v>20</v>
      </c>
      <c r="Q12">
        <v>1</v>
      </c>
      <c r="X12">
        <v>0.45</v>
      </c>
      <c r="Y12">
        <v>2.44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109</v>
      </c>
      <c r="AG12">
        <v>0</v>
      </c>
      <c r="AH12">
        <v>2</v>
      </c>
      <c r="AI12">
        <v>939972164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ROW(Source!A25)</f>
        <v>25</v>
      </c>
      <c r="B13">
        <v>939972153</v>
      </c>
      <c r="C13">
        <v>939971563</v>
      </c>
      <c r="D13">
        <v>37778912</v>
      </c>
      <c r="E13">
        <v>1</v>
      </c>
      <c r="F13">
        <v>1</v>
      </c>
      <c r="G13">
        <v>1</v>
      </c>
      <c r="H13">
        <v>1</v>
      </c>
      <c r="I13" t="s">
        <v>363</v>
      </c>
      <c r="K13" t="s">
        <v>364</v>
      </c>
      <c r="L13">
        <v>1369</v>
      </c>
      <c r="N13">
        <v>1013</v>
      </c>
      <c r="O13" t="s">
        <v>365</v>
      </c>
      <c r="P13" t="s">
        <v>365</v>
      </c>
      <c r="Q13">
        <v>1</v>
      </c>
      <c r="X13">
        <v>378.17</v>
      </c>
      <c r="Y13">
        <v>0</v>
      </c>
      <c r="Z13">
        <v>0</v>
      </c>
      <c r="AA13">
        <v>0</v>
      </c>
      <c r="AB13">
        <v>9.18</v>
      </c>
      <c r="AC13">
        <v>0</v>
      </c>
      <c r="AD13">
        <v>1</v>
      </c>
      <c r="AE13">
        <v>1</v>
      </c>
      <c r="AF13" t="s">
        <v>110</v>
      </c>
      <c r="AG13">
        <v>302.536</v>
      </c>
      <c r="AH13">
        <v>2</v>
      </c>
      <c r="AI13">
        <v>939972153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ROW(Source!A25)</f>
        <v>25</v>
      </c>
      <c r="B14">
        <v>939972154</v>
      </c>
      <c r="C14">
        <v>939971563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9</v>
      </c>
      <c r="K14" t="s">
        <v>366</v>
      </c>
      <c r="L14">
        <v>608254</v>
      </c>
      <c r="N14">
        <v>1013</v>
      </c>
      <c r="O14" t="s">
        <v>367</v>
      </c>
      <c r="P14" t="s">
        <v>367</v>
      </c>
      <c r="Q14">
        <v>1</v>
      </c>
      <c r="X14">
        <v>2.16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110</v>
      </c>
      <c r="AG14">
        <v>1.728</v>
      </c>
      <c r="AH14">
        <v>2</v>
      </c>
      <c r="AI14">
        <v>939972154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ROW(Source!A25)</f>
        <v>25</v>
      </c>
      <c r="B15">
        <v>939972155</v>
      </c>
      <c r="C15">
        <v>939971563</v>
      </c>
      <c r="D15">
        <v>338036696</v>
      </c>
      <c r="E15">
        <v>1</v>
      </c>
      <c r="F15">
        <v>1</v>
      </c>
      <c r="G15">
        <v>1</v>
      </c>
      <c r="H15">
        <v>2</v>
      </c>
      <c r="I15" t="s">
        <v>368</v>
      </c>
      <c r="J15" t="s">
        <v>369</v>
      </c>
      <c r="K15" t="s">
        <v>370</v>
      </c>
      <c r="L15">
        <v>1368</v>
      </c>
      <c r="N15">
        <v>91022270</v>
      </c>
      <c r="O15" t="s">
        <v>371</v>
      </c>
      <c r="P15" t="s">
        <v>371</v>
      </c>
      <c r="Q15">
        <v>1</v>
      </c>
      <c r="X15">
        <v>0.34</v>
      </c>
      <c r="Y15">
        <v>0</v>
      </c>
      <c r="Z15">
        <v>83.43</v>
      </c>
      <c r="AA15">
        <v>13.5</v>
      </c>
      <c r="AB15">
        <v>0</v>
      </c>
      <c r="AC15">
        <v>0</v>
      </c>
      <c r="AD15">
        <v>1</v>
      </c>
      <c r="AE15">
        <v>0</v>
      </c>
      <c r="AF15" t="s">
        <v>110</v>
      </c>
      <c r="AG15">
        <v>0.27200000000000002</v>
      </c>
      <c r="AH15">
        <v>2</v>
      </c>
      <c r="AI15">
        <v>939972155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ROW(Source!A25)</f>
        <v>25</v>
      </c>
      <c r="B16">
        <v>939972156</v>
      </c>
      <c r="C16">
        <v>939971563</v>
      </c>
      <c r="D16">
        <v>338036807</v>
      </c>
      <c r="E16">
        <v>1</v>
      </c>
      <c r="F16">
        <v>1</v>
      </c>
      <c r="G16">
        <v>1</v>
      </c>
      <c r="H16">
        <v>2</v>
      </c>
      <c r="I16" t="s">
        <v>372</v>
      </c>
      <c r="J16" t="s">
        <v>373</v>
      </c>
      <c r="K16" t="s">
        <v>374</v>
      </c>
      <c r="L16">
        <v>1368</v>
      </c>
      <c r="N16">
        <v>91022270</v>
      </c>
      <c r="O16" t="s">
        <v>371</v>
      </c>
      <c r="P16" t="s">
        <v>371</v>
      </c>
      <c r="Q16">
        <v>1</v>
      </c>
      <c r="X16">
        <v>0.13</v>
      </c>
      <c r="Y16">
        <v>0</v>
      </c>
      <c r="Z16">
        <v>88.01</v>
      </c>
      <c r="AA16">
        <v>11.6</v>
      </c>
      <c r="AB16">
        <v>0</v>
      </c>
      <c r="AC16">
        <v>0</v>
      </c>
      <c r="AD16">
        <v>1</v>
      </c>
      <c r="AE16">
        <v>0</v>
      </c>
      <c r="AF16" t="s">
        <v>110</v>
      </c>
      <c r="AG16">
        <v>0.104</v>
      </c>
      <c r="AH16">
        <v>2</v>
      </c>
      <c r="AI16">
        <v>939972156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ROW(Source!A25)</f>
        <v>25</v>
      </c>
      <c r="B17">
        <v>939972157</v>
      </c>
      <c r="C17">
        <v>939971563</v>
      </c>
      <c r="D17">
        <v>338037570</v>
      </c>
      <c r="E17">
        <v>1</v>
      </c>
      <c r="F17">
        <v>1</v>
      </c>
      <c r="G17">
        <v>1</v>
      </c>
      <c r="H17">
        <v>2</v>
      </c>
      <c r="I17" t="s">
        <v>375</v>
      </c>
      <c r="J17" t="s">
        <v>376</v>
      </c>
      <c r="K17" t="s">
        <v>377</v>
      </c>
      <c r="L17">
        <v>1368</v>
      </c>
      <c r="N17">
        <v>91022270</v>
      </c>
      <c r="O17" t="s">
        <v>371</v>
      </c>
      <c r="P17" t="s">
        <v>371</v>
      </c>
      <c r="Q17">
        <v>1</v>
      </c>
      <c r="X17">
        <v>1.69</v>
      </c>
      <c r="Y17">
        <v>0</v>
      </c>
      <c r="Z17">
        <v>12.4</v>
      </c>
      <c r="AA17">
        <v>10.06</v>
      </c>
      <c r="AB17">
        <v>0</v>
      </c>
      <c r="AC17">
        <v>0</v>
      </c>
      <c r="AD17">
        <v>1</v>
      </c>
      <c r="AE17">
        <v>0</v>
      </c>
      <c r="AF17" t="s">
        <v>110</v>
      </c>
      <c r="AG17">
        <v>1.3520000000000001</v>
      </c>
      <c r="AH17">
        <v>2</v>
      </c>
      <c r="AI17">
        <v>939972157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ROW(Source!A25)</f>
        <v>25</v>
      </c>
      <c r="B18">
        <v>939972158</v>
      </c>
      <c r="C18">
        <v>939971563</v>
      </c>
      <c r="D18">
        <v>338039067</v>
      </c>
      <c r="E18">
        <v>1</v>
      </c>
      <c r="F18">
        <v>1</v>
      </c>
      <c r="G18">
        <v>1</v>
      </c>
      <c r="H18">
        <v>2</v>
      </c>
      <c r="I18" t="s">
        <v>378</v>
      </c>
      <c r="J18" t="s">
        <v>379</v>
      </c>
      <c r="K18" t="s">
        <v>380</v>
      </c>
      <c r="L18">
        <v>1368</v>
      </c>
      <c r="N18">
        <v>91022270</v>
      </c>
      <c r="O18" t="s">
        <v>371</v>
      </c>
      <c r="P18" t="s">
        <v>371</v>
      </c>
      <c r="Q18">
        <v>1</v>
      </c>
      <c r="X18">
        <v>0.09</v>
      </c>
      <c r="Y18">
        <v>0</v>
      </c>
      <c r="Z18">
        <v>9.9700000000000006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110</v>
      </c>
      <c r="AG18">
        <v>7.1999999999999995E-2</v>
      </c>
      <c r="AH18">
        <v>2</v>
      </c>
      <c r="AI18">
        <v>939972158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ROW(Source!A25)</f>
        <v>25</v>
      </c>
      <c r="B19">
        <v>939972159</v>
      </c>
      <c r="C19">
        <v>939971563</v>
      </c>
      <c r="D19">
        <v>338039342</v>
      </c>
      <c r="E19">
        <v>1</v>
      </c>
      <c r="F19">
        <v>1</v>
      </c>
      <c r="G19">
        <v>1</v>
      </c>
      <c r="H19">
        <v>2</v>
      </c>
      <c r="I19" t="s">
        <v>381</v>
      </c>
      <c r="J19" t="s">
        <v>382</v>
      </c>
      <c r="K19" t="s">
        <v>383</v>
      </c>
      <c r="L19">
        <v>1368</v>
      </c>
      <c r="N19">
        <v>91022270</v>
      </c>
      <c r="O19" t="s">
        <v>371</v>
      </c>
      <c r="P19" t="s">
        <v>371</v>
      </c>
      <c r="Q19">
        <v>1</v>
      </c>
      <c r="X19">
        <v>0.13</v>
      </c>
      <c r="Y19">
        <v>0</v>
      </c>
      <c r="Z19">
        <v>87.17</v>
      </c>
      <c r="AA19">
        <v>11.6</v>
      </c>
      <c r="AB19">
        <v>0</v>
      </c>
      <c r="AC19">
        <v>0</v>
      </c>
      <c r="AD19">
        <v>1</v>
      </c>
      <c r="AE19">
        <v>0</v>
      </c>
      <c r="AF19" t="s">
        <v>110</v>
      </c>
      <c r="AG19">
        <v>0.104</v>
      </c>
      <c r="AH19">
        <v>2</v>
      </c>
      <c r="AI19">
        <v>939972159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ROW(Source!A25)</f>
        <v>25</v>
      </c>
      <c r="B20">
        <v>939972160</v>
      </c>
      <c r="C20">
        <v>939971563</v>
      </c>
      <c r="D20">
        <v>337972278</v>
      </c>
      <c r="E20">
        <v>1</v>
      </c>
      <c r="F20">
        <v>1</v>
      </c>
      <c r="G20">
        <v>1</v>
      </c>
      <c r="H20">
        <v>3</v>
      </c>
      <c r="I20" t="s">
        <v>384</v>
      </c>
      <c r="J20" t="s">
        <v>385</v>
      </c>
      <c r="K20" t="s">
        <v>386</v>
      </c>
      <c r="L20">
        <v>1348</v>
      </c>
      <c r="N20">
        <v>39568864</v>
      </c>
      <c r="O20" t="s">
        <v>26</v>
      </c>
      <c r="P20" t="s">
        <v>26</v>
      </c>
      <c r="Q20">
        <v>1000</v>
      </c>
      <c r="X20">
        <v>2.1000000000000001E-2</v>
      </c>
      <c r="Y20">
        <v>6532.53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109</v>
      </c>
      <c r="AG20">
        <v>0</v>
      </c>
      <c r="AH20">
        <v>2</v>
      </c>
      <c r="AI20">
        <v>939972160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ROW(Source!A25)</f>
        <v>25</v>
      </c>
      <c r="B21">
        <v>939972161</v>
      </c>
      <c r="C21">
        <v>939971563</v>
      </c>
      <c r="D21">
        <v>337973852</v>
      </c>
      <c r="E21">
        <v>1</v>
      </c>
      <c r="F21">
        <v>1</v>
      </c>
      <c r="G21">
        <v>1</v>
      </c>
      <c r="H21">
        <v>3</v>
      </c>
      <c r="I21" t="s">
        <v>387</v>
      </c>
      <c r="J21" t="s">
        <v>388</v>
      </c>
      <c r="K21" t="s">
        <v>389</v>
      </c>
      <c r="L21">
        <v>1346</v>
      </c>
      <c r="N21">
        <v>39568864</v>
      </c>
      <c r="O21" t="s">
        <v>23</v>
      </c>
      <c r="P21" t="s">
        <v>23</v>
      </c>
      <c r="Q21">
        <v>1</v>
      </c>
      <c r="X21">
        <v>1200</v>
      </c>
      <c r="Y21">
        <v>3.86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109</v>
      </c>
      <c r="AG21">
        <v>0</v>
      </c>
      <c r="AH21">
        <v>2</v>
      </c>
      <c r="AI21">
        <v>939972161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ROW(Source!A25)</f>
        <v>25</v>
      </c>
      <c r="B22">
        <v>939972162</v>
      </c>
      <c r="C22">
        <v>939971563</v>
      </c>
      <c r="D22">
        <v>337974293</v>
      </c>
      <c r="E22">
        <v>1</v>
      </c>
      <c r="F22">
        <v>1</v>
      </c>
      <c r="G22">
        <v>1</v>
      </c>
      <c r="H22">
        <v>3</v>
      </c>
      <c r="I22" t="s">
        <v>390</v>
      </c>
      <c r="J22" t="s">
        <v>391</v>
      </c>
      <c r="K22" t="s">
        <v>392</v>
      </c>
      <c r="L22">
        <v>369160830</v>
      </c>
      <c r="N22">
        <v>1005</v>
      </c>
      <c r="O22" t="s">
        <v>17</v>
      </c>
      <c r="P22" t="s">
        <v>17</v>
      </c>
      <c r="Q22">
        <v>1</v>
      </c>
      <c r="X22">
        <v>102</v>
      </c>
      <c r="Y22">
        <v>126.55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109</v>
      </c>
      <c r="AG22">
        <v>0</v>
      </c>
      <c r="AH22">
        <v>2</v>
      </c>
      <c r="AI22">
        <v>939972162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ROW(Source!A25)</f>
        <v>25</v>
      </c>
      <c r="B23">
        <v>939972163</v>
      </c>
      <c r="C23">
        <v>939971563</v>
      </c>
      <c r="D23">
        <v>337995718</v>
      </c>
      <c r="E23">
        <v>1</v>
      </c>
      <c r="F23">
        <v>1</v>
      </c>
      <c r="G23">
        <v>1</v>
      </c>
      <c r="H23">
        <v>3</v>
      </c>
      <c r="I23" t="s">
        <v>116</v>
      </c>
      <c r="J23" t="s">
        <v>118</v>
      </c>
      <c r="K23" t="s">
        <v>117</v>
      </c>
      <c r="L23">
        <v>1339</v>
      </c>
      <c r="N23">
        <v>1007</v>
      </c>
      <c r="O23" t="s">
        <v>20</v>
      </c>
      <c r="P23" t="s">
        <v>20</v>
      </c>
      <c r="Q23">
        <v>1</v>
      </c>
      <c r="X23">
        <v>0.01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 t="s">
        <v>109</v>
      </c>
      <c r="AG23">
        <v>0</v>
      </c>
      <c r="AH23">
        <v>2</v>
      </c>
      <c r="AI23">
        <v>939972163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ROW(Source!A25)</f>
        <v>25</v>
      </c>
      <c r="B24">
        <v>939972164</v>
      </c>
      <c r="C24">
        <v>939971563</v>
      </c>
      <c r="D24">
        <v>338014469</v>
      </c>
      <c r="E24">
        <v>1</v>
      </c>
      <c r="F24">
        <v>1</v>
      </c>
      <c r="G24">
        <v>1</v>
      </c>
      <c r="H24">
        <v>3</v>
      </c>
      <c r="I24" t="s">
        <v>33</v>
      </c>
      <c r="J24" t="s">
        <v>393</v>
      </c>
      <c r="K24" t="s">
        <v>34</v>
      </c>
      <c r="L24">
        <v>1339</v>
      </c>
      <c r="N24">
        <v>1007</v>
      </c>
      <c r="O24" t="s">
        <v>20</v>
      </c>
      <c r="P24" t="s">
        <v>20</v>
      </c>
      <c r="Q24">
        <v>1</v>
      </c>
      <c r="X24">
        <v>0.45</v>
      </c>
      <c r="Y24">
        <v>2.44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109</v>
      </c>
      <c r="AG24">
        <v>0</v>
      </c>
      <c r="AH24">
        <v>2</v>
      </c>
      <c r="AI24">
        <v>939972164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ROW(Source!A28)</f>
        <v>28</v>
      </c>
      <c r="B25">
        <v>939976140</v>
      </c>
      <c r="C25">
        <v>939971569</v>
      </c>
      <c r="D25">
        <v>37772686</v>
      </c>
      <c r="E25">
        <v>1</v>
      </c>
      <c r="F25">
        <v>1</v>
      </c>
      <c r="G25">
        <v>1</v>
      </c>
      <c r="H25">
        <v>1</v>
      </c>
      <c r="I25" t="s">
        <v>394</v>
      </c>
      <c r="K25" t="s">
        <v>395</v>
      </c>
      <c r="L25">
        <v>1369</v>
      </c>
      <c r="N25">
        <v>1013</v>
      </c>
      <c r="O25" t="s">
        <v>365</v>
      </c>
      <c r="P25" t="s">
        <v>365</v>
      </c>
      <c r="Q25">
        <v>1</v>
      </c>
      <c r="X25">
        <v>69.87</v>
      </c>
      <c r="Y25">
        <v>0</v>
      </c>
      <c r="Z25">
        <v>0</v>
      </c>
      <c r="AA25">
        <v>0</v>
      </c>
      <c r="AB25">
        <v>8.5299999999999994</v>
      </c>
      <c r="AC25">
        <v>0</v>
      </c>
      <c r="AD25">
        <v>1</v>
      </c>
      <c r="AE25">
        <v>1</v>
      </c>
      <c r="AG25">
        <v>69.87</v>
      </c>
      <c r="AH25">
        <v>2</v>
      </c>
      <c r="AI25">
        <v>939976140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ROW(Source!A28)</f>
        <v>28</v>
      </c>
      <c r="B26">
        <v>939976141</v>
      </c>
      <c r="C26">
        <v>939971569</v>
      </c>
      <c r="D26">
        <v>121548</v>
      </c>
      <c r="E26">
        <v>1</v>
      </c>
      <c r="F26">
        <v>1</v>
      </c>
      <c r="G26">
        <v>1</v>
      </c>
      <c r="H26">
        <v>1</v>
      </c>
      <c r="I26" t="s">
        <v>9</v>
      </c>
      <c r="K26" t="s">
        <v>366</v>
      </c>
      <c r="L26">
        <v>608254</v>
      </c>
      <c r="N26">
        <v>1013</v>
      </c>
      <c r="O26" t="s">
        <v>367</v>
      </c>
      <c r="P26" t="s">
        <v>367</v>
      </c>
      <c r="Q26">
        <v>1</v>
      </c>
      <c r="X26">
        <v>1.44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G26">
        <v>1.44</v>
      </c>
      <c r="AH26">
        <v>2</v>
      </c>
      <c r="AI26">
        <v>939976141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ROW(Source!A28)</f>
        <v>28</v>
      </c>
      <c r="B27">
        <v>939976142</v>
      </c>
      <c r="C27">
        <v>939971569</v>
      </c>
      <c r="D27">
        <v>338036985</v>
      </c>
      <c r="E27">
        <v>1</v>
      </c>
      <c r="F27">
        <v>1</v>
      </c>
      <c r="G27">
        <v>1</v>
      </c>
      <c r="H27">
        <v>2</v>
      </c>
      <c r="I27" t="s">
        <v>396</v>
      </c>
      <c r="J27" t="s">
        <v>397</v>
      </c>
      <c r="K27" t="s">
        <v>398</v>
      </c>
      <c r="L27">
        <v>1368</v>
      </c>
      <c r="N27">
        <v>91022270</v>
      </c>
      <c r="O27" t="s">
        <v>371</v>
      </c>
      <c r="P27" t="s">
        <v>371</v>
      </c>
      <c r="Q27">
        <v>1</v>
      </c>
      <c r="X27">
        <v>1.44</v>
      </c>
      <c r="Y27">
        <v>0</v>
      </c>
      <c r="Z27">
        <v>31.26</v>
      </c>
      <c r="AA27">
        <v>13.5</v>
      </c>
      <c r="AB27">
        <v>0</v>
      </c>
      <c r="AC27">
        <v>0</v>
      </c>
      <c r="AD27">
        <v>1</v>
      </c>
      <c r="AE27">
        <v>0</v>
      </c>
      <c r="AG27">
        <v>1.44</v>
      </c>
      <c r="AH27">
        <v>2</v>
      </c>
      <c r="AI27">
        <v>939976142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ROW(Source!A28)</f>
        <v>28</v>
      </c>
      <c r="B28">
        <v>939976143</v>
      </c>
      <c r="C28">
        <v>939971569</v>
      </c>
      <c r="D28">
        <v>338028778</v>
      </c>
      <c r="E28">
        <v>1</v>
      </c>
      <c r="F28">
        <v>1</v>
      </c>
      <c r="G28">
        <v>1</v>
      </c>
      <c r="H28">
        <v>3</v>
      </c>
      <c r="I28" t="s">
        <v>126</v>
      </c>
      <c r="J28" t="s">
        <v>127</v>
      </c>
      <c r="K28" t="s">
        <v>77</v>
      </c>
      <c r="L28">
        <v>1348</v>
      </c>
      <c r="N28">
        <v>39568864</v>
      </c>
      <c r="O28" t="s">
        <v>26</v>
      </c>
      <c r="P28" t="s">
        <v>26</v>
      </c>
      <c r="Q28">
        <v>1000</v>
      </c>
      <c r="X28">
        <v>5.2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G28">
        <v>5.2</v>
      </c>
      <c r="AH28">
        <v>2</v>
      </c>
      <c r="AI28">
        <v>939976143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ROW(Source!A29)</f>
        <v>29</v>
      </c>
      <c r="B29">
        <v>939976140</v>
      </c>
      <c r="C29">
        <v>939971569</v>
      </c>
      <c r="D29">
        <v>37772686</v>
      </c>
      <c r="E29">
        <v>1</v>
      </c>
      <c r="F29">
        <v>1</v>
      </c>
      <c r="G29">
        <v>1</v>
      </c>
      <c r="H29">
        <v>1</v>
      </c>
      <c r="I29" t="s">
        <v>394</v>
      </c>
      <c r="K29" t="s">
        <v>395</v>
      </c>
      <c r="L29">
        <v>1369</v>
      </c>
      <c r="N29">
        <v>1013</v>
      </c>
      <c r="O29" t="s">
        <v>365</v>
      </c>
      <c r="P29" t="s">
        <v>365</v>
      </c>
      <c r="Q29">
        <v>1</v>
      </c>
      <c r="X29">
        <v>69.87</v>
      </c>
      <c r="Y29">
        <v>0</v>
      </c>
      <c r="Z29">
        <v>0</v>
      </c>
      <c r="AA29">
        <v>0</v>
      </c>
      <c r="AB29">
        <v>8.5299999999999994</v>
      </c>
      <c r="AC29">
        <v>0</v>
      </c>
      <c r="AD29">
        <v>1</v>
      </c>
      <c r="AE29">
        <v>1</v>
      </c>
      <c r="AG29">
        <v>69.87</v>
      </c>
      <c r="AH29">
        <v>2</v>
      </c>
      <c r="AI29">
        <v>939976140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ROW(Source!A29)</f>
        <v>29</v>
      </c>
      <c r="B30">
        <v>939976141</v>
      </c>
      <c r="C30">
        <v>939971569</v>
      </c>
      <c r="D30">
        <v>121548</v>
      </c>
      <c r="E30">
        <v>1</v>
      </c>
      <c r="F30">
        <v>1</v>
      </c>
      <c r="G30">
        <v>1</v>
      </c>
      <c r="H30">
        <v>1</v>
      </c>
      <c r="I30" t="s">
        <v>9</v>
      </c>
      <c r="K30" t="s">
        <v>366</v>
      </c>
      <c r="L30">
        <v>608254</v>
      </c>
      <c r="N30">
        <v>1013</v>
      </c>
      <c r="O30" t="s">
        <v>367</v>
      </c>
      <c r="P30" t="s">
        <v>367</v>
      </c>
      <c r="Q30">
        <v>1</v>
      </c>
      <c r="X30">
        <v>1.44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G30">
        <v>1.44</v>
      </c>
      <c r="AH30">
        <v>2</v>
      </c>
      <c r="AI30">
        <v>939976141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ROW(Source!A29)</f>
        <v>29</v>
      </c>
      <c r="B31">
        <v>939976142</v>
      </c>
      <c r="C31">
        <v>939971569</v>
      </c>
      <c r="D31">
        <v>338036985</v>
      </c>
      <c r="E31">
        <v>1</v>
      </c>
      <c r="F31">
        <v>1</v>
      </c>
      <c r="G31">
        <v>1</v>
      </c>
      <c r="H31">
        <v>2</v>
      </c>
      <c r="I31" t="s">
        <v>396</v>
      </c>
      <c r="J31" t="s">
        <v>397</v>
      </c>
      <c r="K31" t="s">
        <v>398</v>
      </c>
      <c r="L31">
        <v>1368</v>
      </c>
      <c r="N31">
        <v>91022270</v>
      </c>
      <c r="O31" t="s">
        <v>371</v>
      </c>
      <c r="P31" t="s">
        <v>371</v>
      </c>
      <c r="Q31">
        <v>1</v>
      </c>
      <c r="X31">
        <v>1.44</v>
      </c>
      <c r="Y31">
        <v>0</v>
      </c>
      <c r="Z31">
        <v>31.26</v>
      </c>
      <c r="AA31">
        <v>13.5</v>
      </c>
      <c r="AB31">
        <v>0</v>
      </c>
      <c r="AC31">
        <v>0</v>
      </c>
      <c r="AD31">
        <v>1</v>
      </c>
      <c r="AE31">
        <v>0</v>
      </c>
      <c r="AG31">
        <v>1.44</v>
      </c>
      <c r="AH31">
        <v>2</v>
      </c>
      <c r="AI31">
        <v>939976142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ROW(Source!A29)</f>
        <v>29</v>
      </c>
      <c r="B32">
        <v>939976143</v>
      </c>
      <c r="C32">
        <v>939971569</v>
      </c>
      <c r="D32">
        <v>338028778</v>
      </c>
      <c r="E32">
        <v>1</v>
      </c>
      <c r="F32">
        <v>1</v>
      </c>
      <c r="G32">
        <v>1</v>
      </c>
      <c r="H32">
        <v>3</v>
      </c>
      <c r="I32" t="s">
        <v>126</v>
      </c>
      <c r="J32" t="s">
        <v>127</v>
      </c>
      <c r="K32" t="s">
        <v>77</v>
      </c>
      <c r="L32">
        <v>1348</v>
      </c>
      <c r="N32">
        <v>39568864</v>
      </c>
      <c r="O32" t="s">
        <v>26</v>
      </c>
      <c r="P32" t="s">
        <v>26</v>
      </c>
      <c r="Q32">
        <v>1000</v>
      </c>
      <c r="X32">
        <v>5.2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G32">
        <v>5.2</v>
      </c>
      <c r="AH32">
        <v>2</v>
      </c>
      <c r="AI32">
        <v>939976143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ROW(Source!A32)</f>
        <v>32</v>
      </c>
      <c r="B33">
        <v>939976147</v>
      </c>
      <c r="C33">
        <v>939971579</v>
      </c>
      <c r="D33">
        <v>37772686</v>
      </c>
      <c r="E33">
        <v>1</v>
      </c>
      <c r="F33">
        <v>1</v>
      </c>
      <c r="G33">
        <v>1</v>
      </c>
      <c r="H33">
        <v>1</v>
      </c>
      <c r="I33" t="s">
        <v>394</v>
      </c>
      <c r="K33" t="s">
        <v>395</v>
      </c>
      <c r="L33">
        <v>1369</v>
      </c>
      <c r="N33">
        <v>1013</v>
      </c>
      <c r="O33" t="s">
        <v>365</v>
      </c>
      <c r="P33" t="s">
        <v>365</v>
      </c>
      <c r="Q33">
        <v>1</v>
      </c>
      <c r="X33">
        <v>111.2</v>
      </c>
      <c r="Y33">
        <v>0</v>
      </c>
      <c r="Z33">
        <v>0</v>
      </c>
      <c r="AA33">
        <v>0</v>
      </c>
      <c r="AB33">
        <v>8.5299999999999994</v>
      </c>
      <c r="AC33">
        <v>0</v>
      </c>
      <c r="AD33">
        <v>1</v>
      </c>
      <c r="AE33">
        <v>1</v>
      </c>
      <c r="AG33">
        <v>111.2</v>
      </c>
      <c r="AH33">
        <v>2</v>
      </c>
      <c r="AI33">
        <v>939976147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ROW(Source!A32)</f>
        <v>32</v>
      </c>
      <c r="B34">
        <v>939976148</v>
      </c>
      <c r="C34">
        <v>939971579</v>
      </c>
      <c r="D34">
        <v>121548</v>
      </c>
      <c r="E34">
        <v>1</v>
      </c>
      <c r="F34">
        <v>1</v>
      </c>
      <c r="G34">
        <v>1</v>
      </c>
      <c r="H34">
        <v>1</v>
      </c>
      <c r="I34" t="s">
        <v>9</v>
      </c>
      <c r="K34" t="s">
        <v>366</v>
      </c>
      <c r="L34">
        <v>608254</v>
      </c>
      <c r="N34">
        <v>1013</v>
      </c>
      <c r="O34" t="s">
        <v>367</v>
      </c>
      <c r="P34" t="s">
        <v>367</v>
      </c>
      <c r="Q34">
        <v>1</v>
      </c>
      <c r="X34">
        <v>21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2</v>
      </c>
      <c r="AG34">
        <v>21</v>
      </c>
      <c r="AH34">
        <v>2</v>
      </c>
      <c r="AI34">
        <v>939976148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ROW(Source!A32)</f>
        <v>32</v>
      </c>
      <c r="B35">
        <v>939976149</v>
      </c>
      <c r="C35">
        <v>939971579</v>
      </c>
      <c r="D35">
        <v>338036985</v>
      </c>
      <c r="E35">
        <v>1</v>
      </c>
      <c r="F35">
        <v>1</v>
      </c>
      <c r="G35">
        <v>1</v>
      </c>
      <c r="H35">
        <v>2</v>
      </c>
      <c r="I35" t="s">
        <v>396</v>
      </c>
      <c r="J35" t="s">
        <v>397</v>
      </c>
      <c r="K35" t="s">
        <v>398</v>
      </c>
      <c r="L35">
        <v>1368</v>
      </c>
      <c r="N35">
        <v>91022270</v>
      </c>
      <c r="O35" t="s">
        <v>371</v>
      </c>
      <c r="P35" t="s">
        <v>371</v>
      </c>
      <c r="Q35">
        <v>1</v>
      </c>
      <c r="X35">
        <v>1.8</v>
      </c>
      <c r="Y35">
        <v>0</v>
      </c>
      <c r="Z35">
        <v>31.26</v>
      </c>
      <c r="AA35">
        <v>13.5</v>
      </c>
      <c r="AB35">
        <v>0</v>
      </c>
      <c r="AC35">
        <v>0</v>
      </c>
      <c r="AD35">
        <v>1</v>
      </c>
      <c r="AE35">
        <v>0</v>
      </c>
      <c r="AG35">
        <v>1.8</v>
      </c>
      <c r="AH35">
        <v>2</v>
      </c>
      <c r="AI35">
        <v>939976149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ROW(Source!A32)</f>
        <v>32</v>
      </c>
      <c r="B36">
        <v>939976150</v>
      </c>
      <c r="C36">
        <v>939971579</v>
      </c>
      <c r="D36">
        <v>338037139</v>
      </c>
      <c r="E36">
        <v>1</v>
      </c>
      <c r="F36">
        <v>1</v>
      </c>
      <c r="G36">
        <v>1</v>
      </c>
      <c r="H36">
        <v>2</v>
      </c>
      <c r="I36" t="s">
        <v>399</v>
      </c>
      <c r="J36" t="s">
        <v>400</v>
      </c>
      <c r="K36" t="s">
        <v>401</v>
      </c>
      <c r="L36">
        <v>1368</v>
      </c>
      <c r="N36">
        <v>91022270</v>
      </c>
      <c r="O36" t="s">
        <v>371</v>
      </c>
      <c r="P36" t="s">
        <v>371</v>
      </c>
      <c r="Q36">
        <v>1</v>
      </c>
      <c r="X36">
        <v>19.2</v>
      </c>
      <c r="Y36">
        <v>0</v>
      </c>
      <c r="Z36">
        <v>46.56</v>
      </c>
      <c r="AA36">
        <v>10.06</v>
      </c>
      <c r="AB36">
        <v>0</v>
      </c>
      <c r="AC36">
        <v>0</v>
      </c>
      <c r="AD36">
        <v>1</v>
      </c>
      <c r="AE36">
        <v>0</v>
      </c>
      <c r="AG36">
        <v>19.2</v>
      </c>
      <c r="AH36">
        <v>2</v>
      </c>
      <c r="AI36">
        <v>939976150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ROW(Source!A32)</f>
        <v>32</v>
      </c>
      <c r="B37">
        <v>939976151</v>
      </c>
      <c r="C37">
        <v>939971579</v>
      </c>
      <c r="D37">
        <v>338038962</v>
      </c>
      <c r="E37">
        <v>1</v>
      </c>
      <c r="F37">
        <v>1</v>
      </c>
      <c r="G37">
        <v>1</v>
      </c>
      <c r="H37">
        <v>2</v>
      </c>
      <c r="I37" t="s">
        <v>402</v>
      </c>
      <c r="J37" t="s">
        <v>403</v>
      </c>
      <c r="K37" t="s">
        <v>404</v>
      </c>
      <c r="L37">
        <v>1368</v>
      </c>
      <c r="N37">
        <v>91022270</v>
      </c>
      <c r="O37" t="s">
        <v>371</v>
      </c>
      <c r="P37" t="s">
        <v>371</v>
      </c>
      <c r="Q37">
        <v>1</v>
      </c>
      <c r="X37">
        <v>38.4</v>
      </c>
      <c r="Y37">
        <v>0</v>
      </c>
      <c r="Z37">
        <v>1.53</v>
      </c>
      <c r="AA37">
        <v>0</v>
      </c>
      <c r="AB37">
        <v>0</v>
      </c>
      <c r="AC37">
        <v>0</v>
      </c>
      <c r="AD37">
        <v>1</v>
      </c>
      <c r="AE37">
        <v>0</v>
      </c>
      <c r="AG37">
        <v>38.4</v>
      </c>
      <c r="AH37">
        <v>2</v>
      </c>
      <c r="AI37">
        <v>939976151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ROW(Source!A32)</f>
        <v>32</v>
      </c>
      <c r="B38">
        <v>939976152</v>
      </c>
      <c r="C38">
        <v>939971579</v>
      </c>
      <c r="D38">
        <v>338028778</v>
      </c>
      <c r="E38">
        <v>1</v>
      </c>
      <c r="F38">
        <v>1</v>
      </c>
      <c r="G38">
        <v>1</v>
      </c>
      <c r="H38">
        <v>3</v>
      </c>
      <c r="I38" t="s">
        <v>126</v>
      </c>
      <c r="J38" t="s">
        <v>127</v>
      </c>
      <c r="K38" t="s">
        <v>77</v>
      </c>
      <c r="L38">
        <v>1348</v>
      </c>
      <c r="N38">
        <v>39568864</v>
      </c>
      <c r="O38" t="s">
        <v>26</v>
      </c>
      <c r="P38" t="s">
        <v>26</v>
      </c>
      <c r="Q38">
        <v>1000</v>
      </c>
      <c r="X38">
        <v>6.6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G38">
        <v>6.6</v>
      </c>
      <c r="AH38">
        <v>2</v>
      </c>
      <c r="AI38">
        <v>939976152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ROW(Source!A33)</f>
        <v>33</v>
      </c>
      <c r="B39">
        <v>939976147</v>
      </c>
      <c r="C39">
        <v>939971579</v>
      </c>
      <c r="D39">
        <v>37772686</v>
      </c>
      <c r="E39">
        <v>1</v>
      </c>
      <c r="F39">
        <v>1</v>
      </c>
      <c r="G39">
        <v>1</v>
      </c>
      <c r="H39">
        <v>1</v>
      </c>
      <c r="I39" t="s">
        <v>394</v>
      </c>
      <c r="K39" t="s">
        <v>395</v>
      </c>
      <c r="L39">
        <v>1369</v>
      </c>
      <c r="N39">
        <v>1013</v>
      </c>
      <c r="O39" t="s">
        <v>365</v>
      </c>
      <c r="P39" t="s">
        <v>365</v>
      </c>
      <c r="Q39">
        <v>1</v>
      </c>
      <c r="X39">
        <v>111.2</v>
      </c>
      <c r="Y39">
        <v>0</v>
      </c>
      <c r="Z39">
        <v>0</v>
      </c>
      <c r="AA39">
        <v>0</v>
      </c>
      <c r="AB39">
        <v>8.5299999999999994</v>
      </c>
      <c r="AC39">
        <v>0</v>
      </c>
      <c r="AD39">
        <v>1</v>
      </c>
      <c r="AE39">
        <v>1</v>
      </c>
      <c r="AG39">
        <v>111.2</v>
      </c>
      <c r="AH39">
        <v>2</v>
      </c>
      <c r="AI39">
        <v>939976147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ROW(Source!A33)</f>
        <v>33</v>
      </c>
      <c r="B40">
        <v>939976148</v>
      </c>
      <c r="C40">
        <v>939971579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9</v>
      </c>
      <c r="K40" t="s">
        <v>366</v>
      </c>
      <c r="L40">
        <v>608254</v>
      </c>
      <c r="N40">
        <v>1013</v>
      </c>
      <c r="O40" t="s">
        <v>367</v>
      </c>
      <c r="P40" t="s">
        <v>367</v>
      </c>
      <c r="Q40">
        <v>1</v>
      </c>
      <c r="X40">
        <v>21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G40">
        <v>21</v>
      </c>
      <c r="AH40">
        <v>2</v>
      </c>
      <c r="AI40">
        <v>939976148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ROW(Source!A33)</f>
        <v>33</v>
      </c>
      <c r="B41">
        <v>939976149</v>
      </c>
      <c r="C41">
        <v>939971579</v>
      </c>
      <c r="D41">
        <v>338036985</v>
      </c>
      <c r="E41">
        <v>1</v>
      </c>
      <c r="F41">
        <v>1</v>
      </c>
      <c r="G41">
        <v>1</v>
      </c>
      <c r="H41">
        <v>2</v>
      </c>
      <c r="I41" t="s">
        <v>396</v>
      </c>
      <c r="J41" t="s">
        <v>397</v>
      </c>
      <c r="K41" t="s">
        <v>398</v>
      </c>
      <c r="L41">
        <v>1368</v>
      </c>
      <c r="N41">
        <v>91022270</v>
      </c>
      <c r="O41" t="s">
        <v>371</v>
      </c>
      <c r="P41" t="s">
        <v>371</v>
      </c>
      <c r="Q41">
        <v>1</v>
      </c>
      <c r="X41">
        <v>1.8</v>
      </c>
      <c r="Y41">
        <v>0</v>
      </c>
      <c r="Z41">
        <v>31.26</v>
      </c>
      <c r="AA41">
        <v>13.5</v>
      </c>
      <c r="AB41">
        <v>0</v>
      </c>
      <c r="AC41">
        <v>0</v>
      </c>
      <c r="AD41">
        <v>1</v>
      </c>
      <c r="AE41">
        <v>0</v>
      </c>
      <c r="AG41">
        <v>1.8</v>
      </c>
      <c r="AH41">
        <v>2</v>
      </c>
      <c r="AI41">
        <v>939976149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ROW(Source!A33)</f>
        <v>33</v>
      </c>
      <c r="B42">
        <v>939976150</v>
      </c>
      <c r="C42">
        <v>939971579</v>
      </c>
      <c r="D42">
        <v>338037139</v>
      </c>
      <c r="E42">
        <v>1</v>
      </c>
      <c r="F42">
        <v>1</v>
      </c>
      <c r="G42">
        <v>1</v>
      </c>
      <c r="H42">
        <v>2</v>
      </c>
      <c r="I42" t="s">
        <v>399</v>
      </c>
      <c r="J42" t="s">
        <v>400</v>
      </c>
      <c r="K42" t="s">
        <v>401</v>
      </c>
      <c r="L42">
        <v>1368</v>
      </c>
      <c r="N42">
        <v>91022270</v>
      </c>
      <c r="O42" t="s">
        <v>371</v>
      </c>
      <c r="P42" t="s">
        <v>371</v>
      </c>
      <c r="Q42">
        <v>1</v>
      </c>
      <c r="X42">
        <v>19.2</v>
      </c>
      <c r="Y42">
        <v>0</v>
      </c>
      <c r="Z42">
        <v>46.56</v>
      </c>
      <c r="AA42">
        <v>10.06</v>
      </c>
      <c r="AB42">
        <v>0</v>
      </c>
      <c r="AC42">
        <v>0</v>
      </c>
      <c r="AD42">
        <v>1</v>
      </c>
      <c r="AE42">
        <v>0</v>
      </c>
      <c r="AG42">
        <v>19.2</v>
      </c>
      <c r="AH42">
        <v>2</v>
      </c>
      <c r="AI42">
        <v>939976150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ROW(Source!A33)</f>
        <v>33</v>
      </c>
      <c r="B43">
        <v>939976151</v>
      </c>
      <c r="C43">
        <v>939971579</v>
      </c>
      <c r="D43">
        <v>338038962</v>
      </c>
      <c r="E43">
        <v>1</v>
      </c>
      <c r="F43">
        <v>1</v>
      </c>
      <c r="G43">
        <v>1</v>
      </c>
      <c r="H43">
        <v>2</v>
      </c>
      <c r="I43" t="s">
        <v>402</v>
      </c>
      <c r="J43" t="s">
        <v>403</v>
      </c>
      <c r="K43" t="s">
        <v>404</v>
      </c>
      <c r="L43">
        <v>1368</v>
      </c>
      <c r="N43">
        <v>91022270</v>
      </c>
      <c r="O43" t="s">
        <v>371</v>
      </c>
      <c r="P43" t="s">
        <v>371</v>
      </c>
      <c r="Q43">
        <v>1</v>
      </c>
      <c r="X43">
        <v>38.4</v>
      </c>
      <c r="Y43">
        <v>0</v>
      </c>
      <c r="Z43">
        <v>1.53</v>
      </c>
      <c r="AA43">
        <v>0</v>
      </c>
      <c r="AB43">
        <v>0</v>
      </c>
      <c r="AC43">
        <v>0</v>
      </c>
      <c r="AD43">
        <v>1</v>
      </c>
      <c r="AE43">
        <v>0</v>
      </c>
      <c r="AG43">
        <v>38.4</v>
      </c>
      <c r="AH43">
        <v>2</v>
      </c>
      <c r="AI43">
        <v>939976151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ROW(Source!A33)</f>
        <v>33</v>
      </c>
      <c r="B44">
        <v>939976152</v>
      </c>
      <c r="C44">
        <v>939971579</v>
      </c>
      <c r="D44">
        <v>338028778</v>
      </c>
      <c r="E44">
        <v>1</v>
      </c>
      <c r="F44">
        <v>1</v>
      </c>
      <c r="G44">
        <v>1</v>
      </c>
      <c r="H44">
        <v>3</v>
      </c>
      <c r="I44" t="s">
        <v>126</v>
      </c>
      <c r="J44" t="s">
        <v>127</v>
      </c>
      <c r="K44" t="s">
        <v>77</v>
      </c>
      <c r="L44">
        <v>1348</v>
      </c>
      <c r="N44">
        <v>39568864</v>
      </c>
      <c r="O44" t="s">
        <v>26</v>
      </c>
      <c r="P44" t="s">
        <v>26</v>
      </c>
      <c r="Q44">
        <v>1000</v>
      </c>
      <c r="X44">
        <v>6.6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G44">
        <v>6.6</v>
      </c>
      <c r="AH44">
        <v>2</v>
      </c>
      <c r="AI44">
        <v>939976152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ROW(Source!A36)</f>
        <v>36</v>
      </c>
      <c r="B45">
        <v>939976155</v>
      </c>
      <c r="C45">
        <v>939971596</v>
      </c>
      <c r="D45">
        <v>37772686</v>
      </c>
      <c r="E45">
        <v>1</v>
      </c>
      <c r="F45">
        <v>1</v>
      </c>
      <c r="G45">
        <v>1</v>
      </c>
      <c r="H45">
        <v>1</v>
      </c>
      <c r="I45" t="s">
        <v>394</v>
      </c>
      <c r="K45" t="s">
        <v>395</v>
      </c>
      <c r="L45">
        <v>1369</v>
      </c>
      <c r="N45">
        <v>1013</v>
      </c>
      <c r="O45" t="s">
        <v>365</v>
      </c>
      <c r="P45" t="s">
        <v>365</v>
      </c>
      <c r="Q45">
        <v>1</v>
      </c>
      <c r="X45">
        <v>92.12</v>
      </c>
      <c r="Y45">
        <v>0</v>
      </c>
      <c r="Z45">
        <v>0</v>
      </c>
      <c r="AA45">
        <v>0</v>
      </c>
      <c r="AB45">
        <v>8.5299999999999994</v>
      </c>
      <c r="AC45">
        <v>0</v>
      </c>
      <c r="AD45">
        <v>1</v>
      </c>
      <c r="AE45">
        <v>1</v>
      </c>
      <c r="AG45">
        <v>92.12</v>
      </c>
      <c r="AH45">
        <v>2</v>
      </c>
      <c r="AI45">
        <v>939976155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ROW(Source!A36)</f>
        <v>36</v>
      </c>
      <c r="B46">
        <v>939976156</v>
      </c>
      <c r="C46">
        <v>939971596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9</v>
      </c>
      <c r="K46" t="s">
        <v>366</v>
      </c>
      <c r="L46">
        <v>608254</v>
      </c>
      <c r="N46">
        <v>1013</v>
      </c>
      <c r="O46" t="s">
        <v>367</v>
      </c>
      <c r="P46" t="s">
        <v>367</v>
      </c>
      <c r="Q46">
        <v>1</v>
      </c>
      <c r="X46">
        <v>1.28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G46">
        <v>1.28</v>
      </c>
      <c r="AH46">
        <v>2</v>
      </c>
      <c r="AI46">
        <v>939976156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ROW(Source!A36)</f>
        <v>36</v>
      </c>
      <c r="B47">
        <v>939976157</v>
      </c>
      <c r="C47">
        <v>939971596</v>
      </c>
      <c r="D47">
        <v>338037139</v>
      </c>
      <c r="E47">
        <v>1</v>
      </c>
      <c r="F47">
        <v>1</v>
      </c>
      <c r="G47">
        <v>1</v>
      </c>
      <c r="H47">
        <v>2</v>
      </c>
      <c r="I47" t="s">
        <v>399</v>
      </c>
      <c r="J47" t="s">
        <v>400</v>
      </c>
      <c r="K47" t="s">
        <v>401</v>
      </c>
      <c r="L47">
        <v>1368</v>
      </c>
      <c r="N47">
        <v>91022270</v>
      </c>
      <c r="O47" t="s">
        <v>371</v>
      </c>
      <c r="P47" t="s">
        <v>371</v>
      </c>
      <c r="Q47">
        <v>1</v>
      </c>
      <c r="X47">
        <v>1.28</v>
      </c>
      <c r="Y47">
        <v>0</v>
      </c>
      <c r="Z47">
        <v>46.56</v>
      </c>
      <c r="AA47">
        <v>10.06</v>
      </c>
      <c r="AB47">
        <v>0</v>
      </c>
      <c r="AC47">
        <v>0</v>
      </c>
      <c r="AD47">
        <v>1</v>
      </c>
      <c r="AE47">
        <v>0</v>
      </c>
      <c r="AG47">
        <v>1.28</v>
      </c>
      <c r="AH47">
        <v>2</v>
      </c>
      <c r="AI47">
        <v>939976157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ROW(Source!A36)</f>
        <v>36</v>
      </c>
      <c r="B48">
        <v>939976158</v>
      </c>
      <c r="C48">
        <v>939971596</v>
      </c>
      <c r="D48">
        <v>338038962</v>
      </c>
      <c r="E48">
        <v>1</v>
      </c>
      <c r="F48">
        <v>1</v>
      </c>
      <c r="G48">
        <v>1</v>
      </c>
      <c r="H48">
        <v>2</v>
      </c>
      <c r="I48" t="s">
        <v>402</v>
      </c>
      <c r="J48" t="s">
        <v>403</v>
      </c>
      <c r="K48" t="s">
        <v>404</v>
      </c>
      <c r="L48">
        <v>1368</v>
      </c>
      <c r="N48">
        <v>91022270</v>
      </c>
      <c r="O48" t="s">
        <v>371</v>
      </c>
      <c r="P48" t="s">
        <v>371</v>
      </c>
      <c r="Q48">
        <v>1</v>
      </c>
      <c r="X48">
        <v>2.56</v>
      </c>
      <c r="Y48">
        <v>0</v>
      </c>
      <c r="Z48">
        <v>1.53</v>
      </c>
      <c r="AA48">
        <v>0</v>
      </c>
      <c r="AB48">
        <v>0</v>
      </c>
      <c r="AC48">
        <v>0</v>
      </c>
      <c r="AD48">
        <v>1</v>
      </c>
      <c r="AE48">
        <v>0</v>
      </c>
      <c r="AG48">
        <v>2.56</v>
      </c>
      <c r="AH48">
        <v>2</v>
      </c>
      <c r="AI48">
        <v>939976158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ROW(Source!A37)</f>
        <v>37</v>
      </c>
      <c r="B49">
        <v>939976155</v>
      </c>
      <c r="C49">
        <v>939971596</v>
      </c>
      <c r="D49">
        <v>37772686</v>
      </c>
      <c r="E49">
        <v>1</v>
      </c>
      <c r="F49">
        <v>1</v>
      </c>
      <c r="G49">
        <v>1</v>
      </c>
      <c r="H49">
        <v>1</v>
      </c>
      <c r="I49" t="s">
        <v>394</v>
      </c>
      <c r="K49" t="s">
        <v>395</v>
      </c>
      <c r="L49">
        <v>1369</v>
      </c>
      <c r="N49">
        <v>1013</v>
      </c>
      <c r="O49" t="s">
        <v>365</v>
      </c>
      <c r="P49" t="s">
        <v>365</v>
      </c>
      <c r="Q49">
        <v>1</v>
      </c>
      <c r="X49">
        <v>92.12</v>
      </c>
      <c r="Y49">
        <v>0</v>
      </c>
      <c r="Z49">
        <v>0</v>
      </c>
      <c r="AA49">
        <v>0</v>
      </c>
      <c r="AB49">
        <v>8.5299999999999994</v>
      </c>
      <c r="AC49">
        <v>0</v>
      </c>
      <c r="AD49">
        <v>1</v>
      </c>
      <c r="AE49">
        <v>1</v>
      </c>
      <c r="AG49">
        <v>92.12</v>
      </c>
      <c r="AH49">
        <v>2</v>
      </c>
      <c r="AI49">
        <v>939976155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ROW(Source!A37)</f>
        <v>37</v>
      </c>
      <c r="B50">
        <v>939976156</v>
      </c>
      <c r="C50">
        <v>939971596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9</v>
      </c>
      <c r="K50" t="s">
        <v>366</v>
      </c>
      <c r="L50">
        <v>608254</v>
      </c>
      <c r="N50">
        <v>1013</v>
      </c>
      <c r="O50" t="s">
        <v>367</v>
      </c>
      <c r="P50" t="s">
        <v>367</v>
      </c>
      <c r="Q50">
        <v>1</v>
      </c>
      <c r="X50">
        <v>1.28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G50">
        <v>1.28</v>
      </c>
      <c r="AH50">
        <v>2</v>
      </c>
      <c r="AI50">
        <v>939976156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ROW(Source!A37)</f>
        <v>37</v>
      </c>
      <c r="B51">
        <v>939976157</v>
      </c>
      <c r="C51">
        <v>939971596</v>
      </c>
      <c r="D51">
        <v>338037139</v>
      </c>
      <c r="E51">
        <v>1</v>
      </c>
      <c r="F51">
        <v>1</v>
      </c>
      <c r="G51">
        <v>1</v>
      </c>
      <c r="H51">
        <v>2</v>
      </c>
      <c r="I51" t="s">
        <v>399</v>
      </c>
      <c r="J51" t="s">
        <v>400</v>
      </c>
      <c r="K51" t="s">
        <v>401</v>
      </c>
      <c r="L51">
        <v>1368</v>
      </c>
      <c r="N51">
        <v>91022270</v>
      </c>
      <c r="O51" t="s">
        <v>371</v>
      </c>
      <c r="P51" t="s">
        <v>371</v>
      </c>
      <c r="Q51">
        <v>1</v>
      </c>
      <c r="X51">
        <v>1.28</v>
      </c>
      <c r="Y51">
        <v>0</v>
      </c>
      <c r="Z51">
        <v>46.56</v>
      </c>
      <c r="AA51">
        <v>10.06</v>
      </c>
      <c r="AB51">
        <v>0</v>
      </c>
      <c r="AC51">
        <v>0</v>
      </c>
      <c r="AD51">
        <v>1</v>
      </c>
      <c r="AE51">
        <v>0</v>
      </c>
      <c r="AG51">
        <v>1.28</v>
      </c>
      <c r="AH51">
        <v>2</v>
      </c>
      <c r="AI51">
        <v>939976157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ROW(Source!A37)</f>
        <v>37</v>
      </c>
      <c r="B52">
        <v>939976158</v>
      </c>
      <c r="C52">
        <v>939971596</v>
      </c>
      <c r="D52">
        <v>338038962</v>
      </c>
      <c r="E52">
        <v>1</v>
      </c>
      <c r="F52">
        <v>1</v>
      </c>
      <c r="G52">
        <v>1</v>
      </c>
      <c r="H52">
        <v>2</v>
      </c>
      <c r="I52" t="s">
        <v>402</v>
      </c>
      <c r="J52" t="s">
        <v>403</v>
      </c>
      <c r="K52" t="s">
        <v>404</v>
      </c>
      <c r="L52">
        <v>1368</v>
      </c>
      <c r="N52">
        <v>91022270</v>
      </c>
      <c r="O52" t="s">
        <v>371</v>
      </c>
      <c r="P52" t="s">
        <v>371</v>
      </c>
      <c r="Q52">
        <v>1</v>
      </c>
      <c r="X52">
        <v>2.56</v>
      </c>
      <c r="Y52">
        <v>0</v>
      </c>
      <c r="Z52">
        <v>1.53</v>
      </c>
      <c r="AA52">
        <v>0</v>
      </c>
      <c r="AB52">
        <v>0</v>
      </c>
      <c r="AC52">
        <v>0</v>
      </c>
      <c r="AD52">
        <v>1</v>
      </c>
      <c r="AE52">
        <v>0</v>
      </c>
      <c r="AG52">
        <v>2.56</v>
      </c>
      <c r="AH52">
        <v>2</v>
      </c>
      <c r="AI52">
        <v>939976158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ROW(Source!A38)</f>
        <v>38</v>
      </c>
      <c r="B53">
        <v>939976159</v>
      </c>
      <c r="C53">
        <v>939971615</v>
      </c>
      <c r="D53">
        <v>37772340</v>
      </c>
      <c r="E53">
        <v>1</v>
      </c>
      <c r="F53">
        <v>1</v>
      </c>
      <c r="G53">
        <v>1</v>
      </c>
      <c r="H53">
        <v>1</v>
      </c>
      <c r="I53" t="s">
        <v>405</v>
      </c>
      <c r="K53" t="s">
        <v>406</v>
      </c>
      <c r="L53">
        <v>1369</v>
      </c>
      <c r="N53">
        <v>1013</v>
      </c>
      <c r="O53" t="s">
        <v>365</v>
      </c>
      <c r="P53" t="s">
        <v>365</v>
      </c>
      <c r="Q53">
        <v>1</v>
      </c>
      <c r="X53">
        <v>40.65</v>
      </c>
      <c r="Y53">
        <v>0</v>
      </c>
      <c r="Z53">
        <v>0</v>
      </c>
      <c r="AA53">
        <v>0</v>
      </c>
      <c r="AB53">
        <v>7.8</v>
      </c>
      <c r="AC53">
        <v>0</v>
      </c>
      <c r="AD53">
        <v>1</v>
      </c>
      <c r="AE53">
        <v>1</v>
      </c>
      <c r="AF53" t="s">
        <v>141</v>
      </c>
      <c r="AG53">
        <v>46.747500000000002</v>
      </c>
      <c r="AH53">
        <v>2</v>
      </c>
      <c r="AI53">
        <v>939976159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ROW(Source!A38)</f>
        <v>38</v>
      </c>
      <c r="B54">
        <v>939976160</v>
      </c>
      <c r="C54">
        <v>939971615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9</v>
      </c>
      <c r="K54" t="s">
        <v>366</v>
      </c>
      <c r="L54">
        <v>608254</v>
      </c>
      <c r="N54">
        <v>1013</v>
      </c>
      <c r="O54" t="s">
        <v>367</v>
      </c>
      <c r="P54" t="s">
        <v>367</v>
      </c>
      <c r="Q54">
        <v>1</v>
      </c>
      <c r="X54">
        <v>1.27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140</v>
      </c>
      <c r="AG54">
        <v>1.5874999999999999</v>
      </c>
      <c r="AH54">
        <v>2</v>
      </c>
      <c r="AI54">
        <v>939976160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ROW(Source!A38)</f>
        <v>38</v>
      </c>
      <c r="B55">
        <v>939976161</v>
      </c>
      <c r="C55">
        <v>939971615</v>
      </c>
      <c r="D55">
        <v>338036985</v>
      </c>
      <c r="E55">
        <v>1</v>
      </c>
      <c r="F55">
        <v>1</v>
      </c>
      <c r="G55">
        <v>1</v>
      </c>
      <c r="H55">
        <v>2</v>
      </c>
      <c r="I55" t="s">
        <v>396</v>
      </c>
      <c r="J55" t="s">
        <v>397</v>
      </c>
      <c r="K55" t="s">
        <v>398</v>
      </c>
      <c r="L55">
        <v>1368</v>
      </c>
      <c r="N55">
        <v>91022270</v>
      </c>
      <c r="O55" t="s">
        <v>371</v>
      </c>
      <c r="P55" t="s">
        <v>371</v>
      </c>
      <c r="Q55">
        <v>1</v>
      </c>
      <c r="X55">
        <v>1.27</v>
      </c>
      <c r="Y55">
        <v>0</v>
      </c>
      <c r="Z55">
        <v>31.26</v>
      </c>
      <c r="AA55">
        <v>13.5</v>
      </c>
      <c r="AB55">
        <v>0</v>
      </c>
      <c r="AC55">
        <v>0</v>
      </c>
      <c r="AD55">
        <v>1</v>
      </c>
      <c r="AE55">
        <v>0</v>
      </c>
      <c r="AF55" t="s">
        <v>140</v>
      </c>
      <c r="AG55">
        <v>1.5874999999999999</v>
      </c>
      <c r="AH55">
        <v>2</v>
      </c>
      <c r="AI55">
        <v>939976161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ROW(Source!A38)</f>
        <v>38</v>
      </c>
      <c r="B56">
        <v>939976162</v>
      </c>
      <c r="C56">
        <v>939971615</v>
      </c>
      <c r="D56">
        <v>338037581</v>
      </c>
      <c r="E56">
        <v>1</v>
      </c>
      <c r="F56">
        <v>1</v>
      </c>
      <c r="G56">
        <v>1</v>
      </c>
      <c r="H56">
        <v>2</v>
      </c>
      <c r="I56" t="s">
        <v>407</v>
      </c>
      <c r="J56" t="s">
        <v>408</v>
      </c>
      <c r="K56" t="s">
        <v>409</v>
      </c>
      <c r="L56">
        <v>1368</v>
      </c>
      <c r="N56">
        <v>91022270</v>
      </c>
      <c r="O56" t="s">
        <v>371</v>
      </c>
      <c r="P56" t="s">
        <v>371</v>
      </c>
      <c r="Q56">
        <v>1</v>
      </c>
      <c r="X56">
        <v>4.7</v>
      </c>
      <c r="Y56">
        <v>0</v>
      </c>
      <c r="Z56">
        <v>0.5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140</v>
      </c>
      <c r="AG56">
        <v>5.875</v>
      </c>
      <c r="AH56">
        <v>2</v>
      </c>
      <c r="AI56">
        <v>939976162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ROW(Source!A38)</f>
        <v>38</v>
      </c>
      <c r="B57">
        <v>939976163</v>
      </c>
      <c r="C57">
        <v>939971615</v>
      </c>
      <c r="D57">
        <v>338009488</v>
      </c>
      <c r="E57">
        <v>1</v>
      </c>
      <c r="F57">
        <v>1</v>
      </c>
      <c r="G57">
        <v>1</v>
      </c>
      <c r="H57">
        <v>3</v>
      </c>
      <c r="I57" t="s">
        <v>145</v>
      </c>
      <c r="J57" t="s">
        <v>146</v>
      </c>
      <c r="K57" t="s">
        <v>82</v>
      </c>
      <c r="L57">
        <v>1339</v>
      </c>
      <c r="N57">
        <v>1007</v>
      </c>
      <c r="O57" t="s">
        <v>20</v>
      </c>
      <c r="P57" t="s">
        <v>20</v>
      </c>
      <c r="Q57">
        <v>1</v>
      </c>
      <c r="X57">
        <v>2.04</v>
      </c>
      <c r="Y57">
        <v>600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G57">
        <v>2.04</v>
      </c>
      <c r="AH57">
        <v>2</v>
      </c>
      <c r="AI57">
        <v>939976163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ROW(Source!A38)</f>
        <v>38</v>
      </c>
      <c r="B58">
        <v>939976164</v>
      </c>
      <c r="C58">
        <v>939971615</v>
      </c>
      <c r="D58">
        <v>338014469</v>
      </c>
      <c r="E58">
        <v>1</v>
      </c>
      <c r="F58">
        <v>1</v>
      </c>
      <c r="G58">
        <v>1</v>
      </c>
      <c r="H58">
        <v>3</v>
      </c>
      <c r="I58" t="s">
        <v>33</v>
      </c>
      <c r="J58" t="s">
        <v>393</v>
      </c>
      <c r="K58" t="s">
        <v>34</v>
      </c>
      <c r="L58">
        <v>1339</v>
      </c>
      <c r="N58">
        <v>1007</v>
      </c>
      <c r="O58" t="s">
        <v>20</v>
      </c>
      <c r="P58" t="s">
        <v>20</v>
      </c>
      <c r="Q58">
        <v>1</v>
      </c>
      <c r="X58">
        <v>3.5</v>
      </c>
      <c r="Y58">
        <v>2.44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G58">
        <v>3.5</v>
      </c>
      <c r="AH58">
        <v>2</v>
      </c>
      <c r="AI58">
        <v>939976164</v>
      </c>
      <c r="AJ58">
        <v>59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ROW(Source!A39)</f>
        <v>39</v>
      </c>
      <c r="B59">
        <v>939976159</v>
      </c>
      <c r="C59">
        <v>939971615</v>
      </c>
      <c r="D59">
        <v>37772340</v>
      </c>
      <c r="E59">
        <v>1</v>
      </c>
      <c r="F59">
        <v>1</v>
      </c>
      <c r="G59">
        <v>1</v>
      </c>
      <c r="H59">
        <v>1</v>
      </c>
      <c r="I59" t="s">
        <v>405</v>
      </c>
      <c r="K59" t="s">
        <v>406</v>
      </c>
      <c r="L59">
        <v>1369</v>
      </c>
      <c r="N59">
        <v>1013</v>
      </c>
      <c r="O59" t="s">
        <v>365</v>
      </c>
      <c r="P59" t="s">
        <v>365</v>
      </c>
      <c r="Q59">
        <v>1</v>
      </c>
      <c r="X59">
        <v>40.65</v>
      </c>
      <c r="Y59">
        <v>0</v>
      </c>
      <c r="Z59">
        <v>0</v>
      </c>
      <c r="AA59">
        <v>0</v>
      </c>
      <c r="AB59">
        <v>7.8</v>
      </c>
      <c r="AC59">
        <v>0</v>
      </c>
      <c r="AD59">
        <v>1</v>
      </c>
      <c r="AE59">
        <v>1</v>
      </c>
      <c r="AF59" t="s">
        <v>141</v>
      </c>
      <c r="AG59">
        <v>46.747500000000002</v>
      </c>
      <c r="AH59">
        <v>2</v>
      </c>
      <c r="AI59">
        <v>939976159</v>
      </c>
      <c r="AJ59">
        <v>60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ROW(Source!A39)</f>
        <v>39</v>
      </c>
      <c r="B60">
        <v>939976160</v>
      </c>
      <c r="C60">
        <v>939971615</v>
      </c>
      <c r="D60">
        <v>121548</v>
      </c>
      <c r="E60">
        <v>1</v>
      </c>
      <c r="F60">
        <v>1</v>
      </c>
      <c r="G60">
        <v>1</v>
      </c>
      <c r="H60">
        <v>1</v>
      </c>
      <c r="I60" t="s">
        <v>9</v>
      </c>
      <c r="K60" t="s">
        <v>366</v>
      </c>
      <c r="L60">
        <v>608254</v>
      </c>
      <c r="N60">
        <v>1013</v>
      </c>
      <c r="O60" t="s">
        <v>367</v>
      </c>
      <c r="P60" t="s">
        <v>367</v>
      </c>
      <c r="Q60">
        <v>1</v>
      </c>
      <c r="X60">
        <v>1.27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2</v>
      </c>
      <c r="AF60" t="s">
        <v>140</v>
      </c>
      <c r="AG60">
        <v>1.5874999999999999</v>
      </c>
      <c r="AH60">
        <v>2</v>
      </c>
      <c r="AI60">
        <v>939976160</v>
      </c>
      <c r="AJ60">
        <v>61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ROW(Source!A39)</f>
        <v>39</v>
      </c>
      <c r="B61">
        <v>939976161</v>
      </c>
      <c r="C61">
        <v>939971615</v>
      </c>
      <c r="D61">
        <v>338036985</v>
      </c>
      <c r="E61">
        <v>1</v>
      </c>
      <c r="F61">
        <v>1</v>
      </c>
      <c r="G61">
        <v>1</v>
      </c>
      <c r="H61">
        <v>2</v>
      </c>
      <c r="I61" t="s">
        <v>396</v>
      </c>
      <c r="J61" t="s">
        <v>397</v>
      </c>
      <c r="K61" t="s">
        <v>398</v>
      </c>
      <c r="L61">
        <v>1368</v>
      </c>
      <c r="N61">
        <v>91022270</v>
      </c>
      <c r="O61" t="s">
        <v>371</v>
      </c>
      <c r="P61" t="s">
        <v>371</v>
      </c>
      <c r="Q61">
        <v>1</v>
      </c>
      <c r="X61">
        <v>1.27</v>
      </c>
      <c r="Y61">
        <v>0</v>
      </c>
      <c r="Z61">
        <v>31.26</v>
      </c>
      <c r="AA61">
        <v>13.5</v>
      </c>
      <c r="AB61">
        <v>0</v>
      </c>
      <c r="AC61">
        <v>0</v>
      </c>
      <c r="AD61">
        <v>1</v>
      </c>
      <c r="AE61">
        <v>0</v>
      </c>
      <c r="AF61" t="s">
        <v>140</v>
      </c>
      <c r="AG61">
        <v>1.5874999999999999</v>
      </c>
      <c r="AH61">
        <v>2</v>
      </c>
      <c r="AI61">
        <v>939976161</v>
      </c>
      <c r="AJ61">
        <v>62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ROW(Source!A39)</f>
        <v>39</v>
      </c>
      <c r="B62">
        <v>939976162</v>
      </c>
      <c r="C62">
        <v>939971615</v>
      </c>
      <c r="D62">
        <v>338037581</v>
      </c>
      <c r="E62">
        <v>1</v>
      </c>
      <c r="F62">
        <v>1</v>
      </c>
      <c r="G62">
        <v>1</v>
      </c>
      <c r="H62">
        <v>2</v>
      </c>
      <c r="I62" t="s">
        <v>407</v>
      </c>
      <c r="J62" t="s">
        <v>408</v>
      </c>
      <c r="K62" t="s">
        <v>409</v>
      </c>
      <c r="L62">
        <v>1368</v>
      </c>
      <c r="N62">
        <v>91022270</v>
      </c>
      <c r="O62" t="s">
        <v>371</v>
      </c>
      <c r="P62" t="s">
        <v>371</v>
      </c>
      <c r="Q62">
        <v>1</v>
      </c>
      <c r="X62">
        <v>4.7</v>
      </c>
      <c r="Y62">
        <v>0</v>
      </c>
      <c r="Z62">
        <v>0.5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140</v>
      </c>
      <c r="AG62">
        <v>5.875</v>
      </c>
      <c r="AH62">
        <v>2</v>
      </c>
      <c r="AI62">
        <v>939976162</v>
      </c>
      <c r="AJ62">
        <v>63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ROW(Source!A39)</f>
        <v>39</v>
      </c>
      <c r="B63">
        <v>939976163</v>
      </c>
      <c r="C63">
        <v>939971615</v>
      </c>
      <c r="D63">
        <v>338009488</v>
      </c>
      <c r="E63">
        <v>1</v>
      </c>
      <c r="F63">
        <v>1</v>
      </c>
      <c r="G63">
        <v>1</v>
      </c>
      <c r="H63">
        <v>3</v>
      </c>
      <c r="I63" t="s">
        <v>145</v>
      </c>
      <c r="J63" t="s">
        <v>146</v>
      </c>
      <c r="K63" t="s">
        <v>82</v>
      </c>
      <c r="L63">
        <v>1339</v>
      </c>
      <c r="N63">
        <v>1007</v>
      </c>
      <c r="O63" t="s">
        <v>20</v>
      </c>
      <c r="P63" t="s">
        <v>20</v>
      </c>
      <c r="Q63">
        <v>1</v>
      </c>
      <c r="X63">
        <v>2.04</v>
      </c>
      <c r="Y63">
        <v>600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G63">
        <v>2.04</v>
      </c>
      <c r="AH63">
        <v>2</v>
      </c>
      <c r="AI63">
        <v>939976163</v>
      </c>
      <c r="AJ63">
        <v>64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ROW(Source!A39)</f>
        <v>39</v>
      </c>
      <c r="B64">
        <v>939976164</v>
      </c>
      <c r="C64">
        <v>939971615</v>
      </c>
      <c r="D64">
        <v>338014469</v>
      </c>
      <c r="E64">
        <v>1</v>
      </c>
      <c r="F64">
        <v>1</v>
      </c>
      <c r="G64">
        <v>1</v>
      </c>
      <c r="H64">
        <v>3</v>
      </c>
      <c r="I64" t="s">
        <v>33</v>
      </c>
      <c r="J64" t="s">
        <v>393</v>
      </c>
      <c r="K64" t="s">
        <v>34</v>
      </c>
      <c r="L64">
        <v>1339</v>
      </c>
      <c r="N64">
        <v>1007</v>
      </c>
      <c r="O64" t="s">
        <v>20</v>
      </c>
      <c r="P64" t="s">
        <v>20</v>
      </c>
      <c r="Q64">
        <v>1</v>
      </c>
      <c r="X64">
        <v>3.5</v>
      </c>
      <c r="Y64">
        <v>2.44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G64">
        <v>3.5</v>
      </c>
      <c r="AH64">
        <v>2</v>
      </c>
      <c r="AI64">
        <v>939976164</v>
      </c>
      <c r="AJ64">
        <v>66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ROW(Source!A44)</f>
        <v>44</v>
      </c>
      <c r="B65">
        <v>939976173</v>
      </c>
      <c r="C65">
        <v>939976165</v>
      </c>
      <c r="D65">
        <v>37778912</v>
      </c>
      <c r="E65">
        <v>1</v>
      </c>
      <c r="F65">
        <v>1</v>
      </c>
      <c r="G65">
        <v>1</v>
      </c>
      <c r="H65">
        <v>1</v>
      </c>
      <c r="I65" t="s">
        <v>363</v>
      </c>
      <c r="K65" t="s">
        <v>364</v>
      </c>
      <c r="L65">
        <v>1369</v>
      </c>
      <c r="N65">
        <v>1013</v>
      </c>
      <c r="O65" t="s">
        <v>365</v>
      </c>
      <c r="P65" t="s">
        <v>365</v>
      </c>
      <c r="Q65">
        <v>1</v>
      </c>
      <c r="X65">
        <v>3.69</v>
      </c>
      <c r="Y65">
        <v>0</v>
      </c>
      <c r="Z65">
        <v>0</v>
      </c>
      <c r="AA65">
        <v>0</v>
      </c>
      <c r="AB65">
        <v>9.18</v>
      </c>
      <c r="AC65">
        <v>0</v>
      </c>
      <c r="AD65">
        <v>1</v>
      </c>
      <c r="AE65">
        <v>1</v>
      </c>
      <c r="AF65" t="s">
        <v>141</v>
      </c>
      <c r="AG65">
        <v>4.2435</v>
      </c>
      <c r="AH65">
        <v>2</v>
      </c>
      <c r="AI65">
        <v>939976173</v>
      </c>
      <c r="AJ65">
        <v>67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ROW(Source!A44)</f>
        <v>44</v>
      </c>
      <c r="B66">
        <v>939976174</v>
      </c>
      <c r="C66">
        <v>939976165</v>
      </c>
      <c r="D66">
        <v>121548</v>
      </c>
      <c r="E66">
        <v>1</v>
      </c>
      <c r="F66">
        <v>1</v>
      </c>
      <c r="G66">
        <v>1</v>
      </c>
      <c r="H66">
        <v>1</v>
      </c>
      <c r="I66" t="s">
        <v>9</v>
      </c>
      <c r="K66" t="s">
        <v>366</v>
      </c>
      <c r="L66">
        <v>608254</v>
      </c>
      <c r="N66">
        <v>1013</v>
      </c>
      <c r="O66" t="s">
        <v>367</v>
      </c>
      <c r="P66" t="s">
        <v>367</v>
      </c>
      <c r="Q66">
        <v>1</v>
      </c>
      <c r="X66">
        <v>0.01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140</v>
      </c>
      <c r="AG66">
        <v>1.2500000000000001E-2</v>
      </c>
      <c r="AH66">
        <v>2</v>
      </c>
      <c r="AI66">
        <v>939976174</v>
      </c>
      <c r="AJ66">
        <v>68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ROW(Source!A44)</f>
        <v>44</v>
      </c>
      <c r="B67">
        <v>939976175</v>
      </c>
      <c r="C67">
        <v>939976165</v>
      </c>
      <c r="D67">
        <v>338036983</v>
      </c>
      <c r="E67">
        <v>1</v>
      </c>
      <c r="F67">
        <v>1</v>
      </c>
      <c r="G67">
        <v>1</v>
      </c>
      <c r="H67">
        <v>2</v>
      </c>
      <c r="I67" t="s">
        <v>410</v>
      </c>
      <c r="J67" t="s">
        <v>411</v>
      </c>
      <c r="K67" t="s">
        <v>412</v>
      </c>
      <c r="L67">
        <v>1368</v>
      </c>
      <c r="N67">
        <v>91022270</v>
      </c>
      <c r="O67" t="s">
        <v>371</v>
      </c>
      <c r="P67" t="s">
        <v>371</v>
      </c>
      <c r="Q67">
        <v>1</v>
      </c>
      <c r="X67">
        <v>0.01</v>
      </c>
      <c r="Y67">
        <v>0</v>
      </c>
      <c r="Z67">
        <v>27.66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140</v>
      </c>
      <c r="AG67">
        <v>1.2500000000000001E-2</v>
      </c>
      <c r="AH67">
        <v>2</v>
      </c>
      <c r="AI67">
        <v>939976175</v>
      </c>
      <c r="AJ67">
        <v>69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ROW(Source!A44)</f>
        <v>44</v>
      </c>
      <c r="B68">
        <v>939976176</v>
      </c>
      <c r="C68">
        <v>939976165</v>
      </c>
      <c r="D68">
        <v>338039082</v>
      </c>
      <c r="E68">
        <v>1</v>
      </c>
      <c r="F68">
        <v>1</v>
      </c>
      <c r="G68">
        <v>1</v>
      </c>
      <c r="H68">
        <v>2</v>
      </c>
      <c r="I68" t="s">
        <v>413</v>
      </c>
      <c r="J68" t="s">
        <v>414</v>
      </c>
      <c r="K68" t="s">
        <v>415</v>
      </c>
      <c r="L68">
        <v>1368</v>
      </c>
      <c r="N68">
        <v>91022270</v>
      </c>
      <c r="O68" t="s">
        <v>371</v>
      </c>
      <c r="P68" t="s">
        <v>371</v>
      </c>
      <c r="Q68">
        <v>1</v>
      </c>
      <c r="X68">
        <v>2.82</v>
      </c>
      <c r="Y68">
        <v>0</v>
      </c>
      <c r="Z68">
        <v>6.82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140</v>
      </c>
      <c r="AG68">
        <v>3.5249999999999999</v>
      </c>
      <c r="AH68">
        <v>2</v>
      </c>
      <c r="AI68">
        <v>939976176</v>
      </c>
      <c r="AJ68">
        <v>70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ROW(Source!A44)</f>
        <v>44</v>
      </c>
      <c r="B69">
        <v>939976177</v>
      </c>
      <c r="C69">
        <v>939976165</v>
      </c>
      <c r="D69">
        <v>338039342</v>
      </c>
      <c r="E69">
        <v>1</v>
      </c>
      <c r="F69">
        <v>1</v>
      </c>
      <c r="G69">
        <v>1</v>
      </c>
      <c r="H69">
        <v>2</v>
      </c>
      <c r="I69" t="s">
        <v>381</v>
      </c>
      <c r="J69" t="s">
        <v>382</v>
      </c>
      <c r="K69" t="s">
        <v>383</v>
      </c>
      <c r="L69">
        <v>1368</v>
      </c>
      <c r="N69">
        <v>91022270</v>
      </c>
      <c r="O69" t="s">
        <v>371</v>
      </c>
      <c r="P69" t="s">
        <v>371</v>
      </c>
      <c r="Q69">
        <v>1</v>
      </c>
      <c r="X69">
        <v>0.04</v>
      </c>
      <c r="Y69">
        <v>0</v>
      </c>
      <c r="Z69">
        <v>87.17</v>
      </c>
      <c r="AA69">
        <v>11.6</v>
      </c>
      <c r="AB69">
        <v>0</v>
      </c>
      <c r="AC69">
        <v>0</v>
      </c>
      <c r="AD69">
        <v>1</v>
      </c>
      <c r="AE69">
        <v>0</v>
      </c>
      <c r="AF69" t="s">
        <v>140</v>
      </c>
      <c r="AG69">
        <v>0.05</v>
      </c>
      <c r="AH69">
        <v>2</v>
      </c>
      <c r="AI69">
        <v>939976177</v>
      </c>
      <c r="AJ69">
        <v>71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ROW(Source!A44)</f>
        <v>44</v>
      </c>
      <c r="B70">
        <v>939976178</v>
      </c>
      <c r="C70">
        <v>939976165</v>
      </c>
      <c r="D70">
        <v>337972165</v>
      </c>
      <c r="E70">
        <v>1</v>
      </c>
      <c r="F70">
        <v>1</v>
      </c>
      <c r="G70">
        <v>1</v>
      </c>
      <c r="H70">
        <v>3</v>
      </c>
      <c r="I70" t="s">
        <v>21</v>
      </c>
      <c r="J70" t="s">
        <v>416</v>
      </c>
      <c r="K70" t="s">
        <v>22</v>
      </c>
      <c r="L70">
        <v>1346</v>
      </c>
      <c r="N70">
        <v>39568864</v>
      </c>
      <c r="O70" t="s">
        <v>23</v>
      </c>
      <c r="P70" t="s">
        <v>23</v>
      </c>
      <c r="Q70">
        <v>1</v>
      </c>
      <c r="X70">
        <v>1</v>
      </c>
      <c r="Y70">
        <v>1.81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G70">
        <v>1</v>
      </c>
      <c r="AH70">
        <v>2</v>
      </c>
      <c r="AI70">
        <v>939976178</v>
      </c>
      <c r="AJ70">
        <v>72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ROW(Source!A44)</f>
        <v>44</v>
      </c>
      <c r="B71">
        <v>939976179</v>
      </c>
      <c r="C71">
        <v>939976165</v>
      </c>
      <c r="D71">
        <v>337973713</v>
      </c>
      <c r="E71">
        <v>1</v>
      </c>
      <c r="F71">
        <v>1</v>
      </c>
      <c r="G71">
        <v>1</v>
      </c>
      <c r="H71">
        <v>3</v>
      </c>
      <c r="I71" t="s">
        <v>450</v>
      </c>
      <c r="J71" t="s">
        <v>451</v>
      </c>
      <c r="K71" t="s">
        <v>452</v>
      </c>
      <c r="L71">
        <v>1346</v>
      </c>
      <c r="N71">
        <v>39568864</v>
      </c>
      <c r="O71" t="s">
        <v>23</v>
      </c>
      <c r="P71" t="s">
        <v>23</v>
      </c>
      <c r="Q71">
        <v>1</v>
      </c>
      <c r="X71">
        <v>13.8</v>
      </c>
      <c r="Y71">
        <v>15.26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G71">
        <v>13.8</v>
      </c>
      <c r="AH71">
        <v>3</v>
      </c>
      <c r="AI71">
        <v>-1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ROW(Source!A44)</f>
        <v>44</v>
      </c>
      <c r="B72">
        <v>939976180</v>
      </c>
      <c r="C72">
        <v>939976165</v>
      </c>
      <c r="D72">
        <v>338014469</v>
      </c>
      <c r="E72">
        <v>1</v>
      </c>
      <c r="F72">
        <v>1</v>
      </c>
      <c r="G72">
        <v>1</v>
      </c>
      <c r="H72">
        <v>3</v>
      </c>
      <c r="I72" t="s">
        <v>33</v>
      </c>
      <c r="J72" t="s">
        <v>393</v>
      </c>
      <c r="K72" t="s">
        <v>34</v>
      </c>
      <c r="L72">
        <v>1339</v>
      </c>
      <c r="N72">
        <v>1007</v>
      </c>
      <c r="O72" t="s">
        <v>20</v>
      </c>
      <c r="P72" t="s">
        <v>20</v>
      </c>
      <c r="Q72">
        <v>1</v>
      </c>
      <c r="X72">
        <v>0.01</v>
      </c>
      <c r="Y72">
        <v>2.44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G72">
        <v>0.01</v>
      </c>
      <c r="AH72">
        <v>2</v>
      </c>
      <c r="AI72">
        <v>939976180</v>
      </c>
      <c r="AJ72">
        <v>73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ROW(Source!A45)</f>
        <v>45</v>
      </c>
      <c r="B73">
        <v>939976173</v>
      </c>
      <c r="C73">
        <v>939976165</v>
      </c>
      <c r="D73">
        <v>37778912</v>
      </c>
      <c r="E73">
        <v>1</v>
      </c>
      <c r="F73">
        <v>1</v>
      </c>
      <c r="G73">
        <v>1</v>
      </c>
      <c r="H73">
        <v>1</v>
      </c>
      <c r="I73" t="s">
        <v>363</v>
      </c>
      <c r="K73" t="s">
        <v>364</v>
      </c>
      <c r="L73">
        <v>1369</v>
      </c>
      <c r="N73">
        <v>1013</v>
      </c>
      <c r="O73" t="s">
        <v>365</v>
      </c>
      <c r="P73" t="s">
        <v>365</v>
      </c>
      <c r="Q73">
        <v>1</v>
      </c>
      <c r="X73">
        <v>3.69</v>
      </c>
      <c r="Y73">
        <v>0</v>
      </c>
      <c r="Z73">
        <v>0</v>
      </c>
      <c r="AA73">
        <v>0</v>
      </c>
      <c r="AB73">
        <v>9.18</v>
      </c>
      <c r="AC73">
        <v>0</v>
      </c>
      <c r="AD73">
        <v>1</v>
      </c>
      <c r="AE73">
        <v>1</v>
      </c>
      <c r="AF73" t="s">
        <v>141</v>
      </c>
      <c r="AG73">
        <v>4.2435</v>
      </c>
      <c r="AH73">
        <v>2</v>
      </c>
      <c r="AI73">
        <v>939976173</v>
      </c>
      <c r="AJ73">
        <v>74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ROW(Source!A45)</f>
        <v>45</v>
      </c>
      <c r="B74">
        <v>939976174</v>
      </c>
      <c r="C74">
        <v>939976165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9</v>
      </c>
      <c r="K74" t="s">
        <v>366</v>
      </c>
      <c r="L74">
        <v>608254</v>
      </c>
      <c r="N74">
        <v>1013</v>
      </c>
      <c r="O74" t="s">
        <v>367</v>
      </c>
      <c r="P74" t="s">
        <v>367</v>
      </c>
      <c r="Q74">
        <v>1</v>
      </c>
      <c r="X74">
        <v>0.01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2</v>
      </c>
      <c r="AF74" t="s">
        <v>140</v>
      </c>
      <c r="AG74">
        <v>1.2500000000000001E-2</v>
      </c>
      <c r="AH74">
        <v>2</v>
      </c>
      <c r="AI74">
        <v>939976174</v>
      </c>
      <c r="AJ74">
        <v>75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ROW(Source!A45)</f>
        <v>45</v>
      </c>
      <c r="B75">
        <v>939976175</v>
      </c>
      <c r="C75">
        <v>939976165</v>
      </c>
      <c r="D75">
        <v>338036983</v>
      </c>
      <c r="E75">
        <v>1</v>
      </c>
      <c r="F75">
        <v>1</v>
      </c>
      <c r="G75">
        <v>1</v>
      </c>
      <c r="H75">
        <v>2</v>
      </c>
      <c r="I75" t="s">
        <v>410</v>
      </c>
      <c r="J75" t="s">
        <v>411</v>
      </c>
      <c r="K75" t="s">
        <v>412</v>
      </c>
      <c r="L75">
        <v>1368</v>
      </c>
      <c r="N75">
        <v>91022270</v>
      </c>
      <c r="O75" t="s">
        <v>371</v>
      </c>
      <c r="P75" t="s">
        <v>371</v>
      </c>
      <c r="Q75">
        <v>1</v>
      </c>
      <c r="X75">
        <v>0.01</v>
      </c>
      <c r="Y75">
        <v>0</v>
      </c>
      <c r="Z75">
        <v>27.66</v>
      </c>
      <c r="AA75">
        <v>11.6</v>
      </c>
      <c r="AB75">
        <v>0</v>
      </c>
      <c r="AC75">
        <v>0</v>
      </c>
      <c r="AD75">
        <v>1</v>
      </c>
      <c r="AE75">
        <v>0</v>
      </c>
      <c r="AF75" t="s">
        <v>140</v>
      </c>
      <c r="AG75">
        <v>1.2500000000000001E-2</v>
      </c>
      <c r="AH75">
        <v>2</v>
      </c>
      <c r="AI75">
        <v>939976175</v>
      </c>
      <c r="AJ75">
        <v>76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ROW(Source!A45)</f>
        <v>45</v>
      </c>
      <c r="B76">
        <v>939976176</v>
      </c>
      <c r="C76">
        <v>939976165</v>
      </c>
      <c r="D76">
        <v>338039082</v>
      </c>
      <c r="E76">
        <v>1</v>
      </c>
      <c r="F76">
        <v>1</v>
      </c>
      <c r="G76">
        <v>1</v>
      </c>
      <c r="H76">
        <v>2</v>
      </c>
      <c r="I76" t="s">
        <v>413</v>
      </c>
      <c r="J76" t="s">
        <v>414</v>
      </c>
      <c r="K76" t="s">
        <v>415</v>
      </c>
      <c r="L76">
        <v>1368</v>
      </c>
      <c r="N76">
        <v>91022270</v>
      </c>
      <c r="O76" t="s">
        <v>371</v>
      </c>
      <c r="P76" t="s">
        <v>371</v>
      </c>
      <c r="Q76">
        <v>1</v>
      </c>
      <c r="X76">
        <v>2.82</v>
      </c>
      <c r="Y76">
        <v>0</v>
      </c>
      <c r="Z76">
        <v>6.82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140</v>
      </c>
      <c r="AG76">
        <v>3.5249999999999999</v>
      </c>
      <c r="AH76">
        <v>2</v>
      </c>
      <c r="AI76">
        <v>939976176</v>
      </c>
      <c r="AJ76">
        <v>77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ROW(Source!A45)</f>
        <v>45</v>
      </c>
      <c r="B77">
        <v>939976177</v>
      </c>
      <c r="C77">
        <v>939976165</v>
      </c>
      <c r="D77">
        <v>338039342</v>
      </c>
      <c r="E77">
        <v>1</v>
      </c>
      <c r="F77">
        <v>1</v>
      </c>
      <c r="G77">
        <v>1</v>
      </c>
      <c r="H77">
        <v>2</v>
      </c>
      <c r="I77" t="s">
        <v>381</v>
      </c>
      <c r="J77" t="s">
        <v>382</v>
      </c>
      <c r="K77" t="s">
        <v>383</v>
      </c>
      <c r="L77">
        <v>1368</v>
      </c>
      <c r="N77">
        <v>91022270</v>
      </c>
      <c r="O77" t="s">
        <v>371</v>
      </c>
      <c r="P77" t="s">
        <v>371</v>
      </c>
      <c r="Q77">
        <v>1</v>
      </c>
      <c r="X77">
        <v>0.04</v>
      </c>
      <c r="Y77">
        <v>0</v>
      </c>
      <c r="Z77">
        <v>87.17</v>
      </c>
      <c r="AA77">
        <v>11.6</v>
      </c>
      <c r="AB77">
        <v>0</v>
      </c>
      <c r="AC77">
        <v>0</v>
      </c>
      <c r="AD77">
        <v>1</v>
      </c>
      <c r="AE77">
        <v>0</v>
      </c>
      <c r="AF77" t="s">
        <v>140</v>
      </c>
      <c r="AG77">
        <v>0.05</v>
      </c>
      <c r="AH77">
        <v>2</v>
      </c>
      <c r="AI77">
        <v>939976177</v>
      </c>
      <c r="AJ77">
        <v>78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ROW(Source!A45)</f>
        <v>45</v>
      </c>
      <c r="B78">
        <v>939976178</v>
      </c>
      <c r="C78">
        <v>939976165</v>
      </c>
      <c r="D78">
        <v>337972165</v>
      </c>
      <c r="E78">
        <v>1</v>
      </c>
      <c r="F78">
        <v>1</v>
      </c>
      <c r="G78">
        <v>1</v>
      </c>
      <c r="H78">
        <v>3</v>
      </c>
      <c r="I78" t="s">
        <v>21</v>
      </c>
      <c r="J78" t="s">
        <v>416</v>
      </c>
      <c r="K78" t="s">
        <v>22</v>
      </c>
      <c r="L78">
        <v>1346</v>
      </c>
      <c r="N78">
        <v>39568864</v>
      </c>
      <c r="O78" t="s">
        <v>23</v>
      </c>
      <c r="P78" t="s">
        <v>23</v>
      </c>
      <c r="Q78">
        <v>1</v>
      </c>
      <c r="X78">
        <v>1</v>
      </c>
      <c r="Y78">
        <v>1.81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G78">
        <v>1</v>
      </c>
      <c r="AH78">
        <v>2</v>
      </c>
      <c r="AI78">
        <v>939976178</v>
      </c>
      <c r="AJ78">
        <v>79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ROW(Source!A45)</f>
        <v>45</v>
      </c>
      <c r="B79">
        <v>939976179</v>
      </c>
      <c r="C79">
        <v>939976165</v>
      </c>
      <c r="D79">
        <v>337973713</v>
      </c>
      <c r="E79">
        <v>1</v>
      </c>
      <c r="F79">
        <v>1</v>
      </c>
      <c r="G79">
        <v>1</v>
      </c>
      <c r="H79">
        <v>3</v>
      </c>
      <c r="I79" t="s">
        <v>450</v>
      </c>
      <c r="J79" t="s">
        <v>451</v>
      </c>
      <c r="K79" t="s">
        <v>452</v>
      </c>
      <c r="L79">
        <v>1346</v>
      </c>
      <c r="N79">
        <v>39568864</v>
      </c>
      <c r="O79" t="s">
        <v>23</v>
      </c>
      <c r="P79" t="s">
        <v>23</v>
      </c>
      <c r="Q79">
        <v>1</v>
      </c>
      <c r="X79">
        <v>13.8</v>
      </c>
      <c r="Y79">
        <v>15.26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G79">
        <v>13.8</v>
      </c>
      <c r="AH79">
        <v>3</v>
      </c>
      <c r="AI79">
        <v>-1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ROW(Source!A45)</f>
        <v>45</v>
      </c>
      <c r="B80">
        <v>939976180</v>
      </c>
      <c r="C80">
        <v>939976165</v>
      </c>
      <c r="D80">
        <v>338014469</v>
      </c>
      <c r="E80">
        <v>1</v>
      </c>
      <c r="F80">
        <v>1</v>
      </c>
      <c r="G80">
        <v>1</v>
      </c>
      <c r="H80">
        <v>3</v>
      </c>
      <c r="I80" t="s">
        <v>33</v>
      </c>
      <c r="J80" t="s">
        <v>393</v>
      </c>
      <c r="K80" t="s">
        <v>34</v>
      </c>
      <c r="L80">
        <v>1339</v>
      </c>
      <c r="N80">
        <v>1007</v>
      </c>
      <c r="O80" t="s">
        <v>20</v>
      </c>
      <c r="P80" t="s">
        <v>20</v>
      </c>
      <c r="Q80">
        <v>1</v>
      </c>
      <c r="X80">
        <v>0.01</v>
      </c>
      <c r="Y80">
        <v>2.44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G80">
        <v>0.01</v>
      </c>
      <c r="AH80">
        <v>2</v>
      </c>
      <c r="AI80">
        <v>939976180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ROW(Source!A46)</f>
        <v>46</v>
      </c>
      <c r="B81">
        <v>939976297</v>
      </c>
      <c r="C81">
        <v>939976290</v>
      </c>
      <c r="D81">
        <v>37808510</v>
      </c>
      <c r="E81">
        <v>1</v>
      </c>
      <c r="F81">
        <v>1</v>
      </c>
      <c r="G81">
        <v>1</v>
      </c>
      <c r="H81">
        <v>1</v>
      </c>
      <c r="I81" t="s">
        <v>417</v>
      </c>
      <c r="K81" t="s">
        <v>418</v>
      </c>
      <c r="L81">
        <v>1369</v>
      </c>
      <c r="N81">
        <v>1013</v>
      </c>
      <c r="O81" t="s">
        <v>365</v>
      </c>
      <c r="P81" t="s">
        <v>365</v>
      </c>
      <c r="Q81">
        <v>1</v>
      </c>
      <c r="X81">
        <v>0.39</v>
      </c>
      <c r="Y81">
        <v>0</v>
      </c>
      <c r="Z81">
        <v>0</v>
      </c>
      <c r="AA81">
        <v>0</v>
      </c>
      <c r="AB81">
        <v>11.09</v>
      </c>
      <c r="AC81">
        <v>0</v>
      </c>
      <c r="AD81">
        <v>1</v>
      </c>
      <c r="AE81">
        <v>1</v>
      </c>
      <c r="AF81" t="s">
        <v>141</v>
      </c>
      <c r="AG81">
        <v>0.44850000000000001</v>
      </c>
      <c r="AH81">
        <v>2</v>
      </c>
      <c r="AI81">
        <v>939976297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ROW(Source!A46)</f>
        <v>46</v>
      </c>
      <c r="B82">
        <v>939976298</v>
      </c>
      <c r="C82">
        <v>939976290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9</v>
      </c>
      <c r="K82" t="s">
        <v>366</v>
      </c>
      <c r="L82">
        <v>608254</v>
      </c>
      <c r="N82">
        <v>1013</v>
      </c>
      <c r="O82" t="s">
        <v>367</v>
      </c>
      <c r="P82" t="s">
        <v>367</v>
      </c>
      <c r="Q82">
        <v>1</v>
      </c>
      <c r="X82">
        <v>0.16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 t="s">
        <v>140</v>
      </c>
      <c r="AG82">
        <v>0.2</v>
      </c>
      <c r="AH82">
        <v>2</v>
      </c>
      <c r="AI82">
        <v>939976298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ROW(Source!A46)</f>
        <v>46</v>
      </c>
      <c r="B83">
        <v>939976299</v>
      </c>
      <c r="C83">
        <v>939976290</v>
      </c>
      <c r="D83">
        <v>338038976</v>
      </c>
      <c r="E83">
        <v>1</v>
      </c>
      <c r="F83">
        <v>1</v>
      </c>
      <c r="G83">
        <v>1</v>
      </c>
      <c r="H83">
        <v>2</v>
      </c>
      <c r="I83" t="s">
        <v>419</v>
      </c>
      <c r="J83" t="s">
        <v>420</v>
      </c>
      <c r="K83" t="s">
        <v>421</v>
      </c>
      <c r="L83">
        <v>1368</v>
      </c>
      <c r="N83">
        <v>91022270</v>
      </c>
      <c r="O83" t="s">
        <v>371</v>
      </c>
      <c r="P83" t="s">
        <v>371</v>
      </c>
      <c r="Q83">
        <v>1</v>
      </c>
      <c r="X83">
        <v>0.16</v>
      </c>
      <c r="Y83">
        <v>0</v>
      </c>
      <c r="Z83">
        <v>29.16</v>
      </c>
      <c r="AA83">
        <v>10.06</v>
      </c>
      <c r="AB83">
        <v>0</v>
      </c>
      <c r="AC83">
        <v>0</v>
      </c>
      <c r="AD83">
        <v>1</v>
      </c>
      <c r="AE83">
        <v>0</v>
      </c>
      <c r="AF83" t="s">
        <v>140</v>
      </c>
      <c r="AG83">
        <v>0.2</v>
      </c>
      <c r="AH83">
        <v>2</v>
      </c>
      <c r="AI83">
        <v>939976299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ROW(Source!A46)</f>
        <v>46</v>
      </c>
      <c r="B84">
        <v>939976300</v>
      </c>
      <c r="C84">
        <v>939976290</v>
      </c>
      <c r="D84">
        <v>337979340</v>
      </c>
      <c r="E84">
        <v>1</v>
      </c>
      <c r="F84">
        <v>1</v>
      </c>
      <c r="G84">
        <v>1</v>
      </c>
      <c r="H84">
        <v>3</v>
      </c>
      <c r="I84" t="s">
        <v>422</v>
      </c>
      <c r="J84" t="s">
        <v>423</v>
      </c>
      <c r="K84" t="s">
        <v>424</v>
      </c>
      <c r="L84">
        <v>195242642</v>
      </c>
      <c r="N84">
        <v>1010</v>
      </c>
      <c r="O84" t="s">
        <v>425</v>
      </c>
      <c r="P84" t="s">
        <v>425</v>
      </c>
      <c r="Q84">
        <v>1</v>
      </c>
      <c r="X84">
        <v>1.4E-2</v>
      </c>
      <c r="Y84">
        <v>739.2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G84">
        <v>1.4E-2</v>
      </c>
      <c r="AH84">
        <v>2</v>
      </c>
      <c r="AI84">
        <v>939976300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ROW(Source!A47)</f>
        <v>47</v>
      </c>
      <c r="B85">
        <v>939976297</v>
      </c>
      <c r="C85">
        <v>939976290</v>
      </c>
      <c r="D85">
        <v>37808510</v>
      </c>
      <c r="E85">
        <v>1</v>
      </c>
      <c r="F85">
        <v>1</v>
      </c>
      <c r="G85">
        <v>1</v>
      </c>
      <c r="H85">
        <v>1</v>
      </c>
      <c r="I85" t="s">
        <v>417</v>
      </c>
      <c r="K85" t="s">
        <v>418</v>
      </c>
      <c r="L85">
        <v>1369</v>
      </c>
      <c r="N85">
        <v>1013</v>
      </c>
      <c r="O85" t="s">
        <v>365</v>
      </c>
      <c r="P85" t="s">
        <v>365</v>
      </c>
      <c r="Q85">
        <v>1</v>
      </c>
      <c r="X85">
        <v>0.39</v>
      </c>
      <c r="Y85">
        <v>0</v>
      </c>
      <c r="Z85">
        <v>0</v>
      </c>
      <c r="AA85">
        <v>0</v>
      </c>
      <c r="AB85">
        <v>11.09</v>
      </c>
      <c r="AC85">
        <v>0</v>
      </c>
      <c r="AD85">
        <v>1</v>
      </c>
      <c r="AE85">
        <v>1</v>
      </c>
      <c r="AF85" t="s">
        <v>141</v>
      </c>
      <c r="AG85">
        <v>0.44850000000000001</v>
      </c>
      <c r="AH85">
        <v>2</v>
      </c>
      <c r="AI85">
        <v>939976297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ROW(Source!A47)</f>
        <v>47</v>
      </c>
      <c r="B86">
        <v>939976298</v>
      </c>
      <c r="C86">
        <v>939976290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9</v>
      </c>
      <c r="K86" t="s">
        <v>366</v>
      </c>
      <c r="L86">
        <v>608254</v>
      </c>
      <c r="N86">
        <v>1013</v>
      </c>
      <c r="O86" t="s">
        <v>367</v>
      </c>
      <c r="P86" t="s">
        <v>367</v>
      </c>
      <c r="Q86">
        <v>1</v>
      </c>
      <c r="X86">
        <v>0.16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2</v>
      </c>
      <c r="AF86" t="s">
        <v>140</v>
      </c>
      <c r="AG86">
        <v>0.2</v>
      </c>
      <c r="AH86">
        <v>2</v>
      </c>
      <c r="AI86">
        <v>939976298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ROW(Source!A47)</f>
        <v>47</v>
      </c>
      <c r="B87">
        <v>939976299</v>
      </c>
      <c r="C87">
        <v>939976290</v>
      </c>
      <c r="D87">
        <v>338038976</v>
      </c>
      <c r="E87">
        <v>1</v>
      </c>
      <c r="F87">
        <v>1</v>
      </c>
      <c r="G87">
        <v>1</v>
      </c>
      <c r="H87">
        <v>2</v>
      </c>
      <c r="I87" t="s">
        <v>419</v>
      </c>
      <c r="J87" t="s">
        <v>420</v>
      </c>
      <c r="K87" t="s">
        <v>421</v>
      </c>
      <c r="L87">
        <v>1368</v>
      </c>
      <c r="N87">
        <v>91022270</v>
      </c>
      <c r="O87" t="s">
        <v>371</v>
      </c>
      <c r="P87" t="s">
        <v>371</v>
      </c>
      <c r="Q87">
        <v>1</v>
      </c>
      <c r="X87">
        <v>0.16</v>
      </c>
      <c r="Y87">
        <v>0</v>
      </c>
      <c r="Z87">
        <v>29.16</v>
      </c>
      <c r="AA87">
        <v>10.06</v>
      </c>
      <c r="AB87">
        <v>0</v>
      </c>
      <c r="AC87">
        <v>0</v>
      </c>
      <c r="AD87">
        <v>1</v>
      </c>
      <c r="AE87">
        <v>0</v>
      </c>
      <c r="AF87" t="s">
        <v>140</v>
      </c>
      <c r="AG87">
        <v>0.2</v>
      </c>
      <c r="AH87">
        <v>2</v>
      </c>
      <c r="AI87">
        <v>939976299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ROW(Source!A47)</f>
        <v>47</v>
      </c>
      <c r="B88">
        <v>939976300</v>
      </c>
      <c r="C88">
        <v>939976290</v>
      </c>
      <c r="D88">
        <v>337979340</v>
      </c>
      <c r="E88">
        <v>1</v>
      </c>
      <c r="F88">
        <v>1</v>
      </c>
      <c r="G88">
        <v>1</v>
      </c>
      <c r="H88">
        <v>3</v>
      </c>
      <c r="I88" t="s">
        <v>422</v>
      </c>
      <c r="J88" t="s">
        <v>423</v>
      </c>
      <c r="K88" t="s">
        <v>424</v>
      </c>
      <c r="L88">
        <v>195242642</v>
      </c>
      <c r="N88">
        <v>1010</v>
      </c>
      <c r="O88" t="s">
        <v>425</v>
      </c>
      <c r="P88" t="s">
        <v>425</v>
      </c>
      <c r="Q88">
        <v>1</v>
      </c>
      <c r="X88">
        <v>1.4E-2</v>
      </c>
      <c r="Y88">
        <v>739.2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G88">
        <v>1.4E-2</v>
      </c>
      <c r="AH88">
        <v>2</v>
      </c>
      <c r="AI88">
        <v>939976300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ROW(Source!A48)</f>
        <v>48</v>
      </c>
      <c r="B89">
        <v>939976311</v>
      </c>
      <c r="C89">
        <v>939976301</v>
      </c>
      <c r="D89">
        <v>37776094</v>
      </c>
      <c r="E89">
        <v>1</v>
      </c>
      <c r="F89">
        <v>1</v>
      </c>
      <c r="G89">
        <v>1</v>
      </c>
      <c r="H89">
        <v>1</v>
      </c>
      <c r="I89" t="s">
        <v>426</v>
      </c>
      <c r="K89" t="s">
        <v>427</v>
      </c>
      <c r="L89">
        <v>1369</v>
      </c>
      <c r="N89">
        <v>1013</v>
      </c>
      <c r="O89" t="s">
        <v>365</v>
      </c>
      <c r="P89" t="s">
        <v>365</v>
      </c>
      <c r="Q89">
        <v>1</v>
      </c>
      <c r="X89">
        <v>81.31</v>
      </c>
      <c r="Y89">
        <v>0</v>
      </c>
      <c r="Z89">
        <v>0</v>
      </c>
      <c r="AA89">
        <v>0</v>
      </c>
      <c r="AB89">
        <v>8.31</v>
      </c>
      <c r="AC89">
        <v>0</v>
      </c>
      <c r="AD89">
        <v>1</v>
      </c>
      <c r="AE89">
        <v>1</v>
      </c>
      <c r="AG89">
        <v>81.31</v>
      </c>
      <c r="AH89">
        <v>2</v>
      </c>
      <c r="AI89">
        <v>939976311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ROW(Source!A48)</f>
        <v>48</v>
      </c>
      <c r="B90">
        <v>939976312</v>
      </c>
      <c r="C90">
        <v>939976301</v>
      </c>
      <c r="D90">
        <v>121548</v>
      </c>
      <c r="E90">
        <v>1</v>
      </c>
      <c r="F90">
        <v>1</v>
      </c>
      <c r="G90">
        <v>1</v>
      </c>
      <c r="H90">
        <v>1</v>
      </c>
      <c r="I90" t="s">
        <v>9</v>
      </c>
      <c r="K90" t="s">
        <v>366</v>
      </c>
      <c r="L90">
        <v>608254</v>
      </c>
      <c r="N90">
        <v>1013</v>
      </c>
      <c r="O90" t="s">
        <v>367</v>
      </c>
      <c r="P90" t="s">
        <v>367</v>
      </c>
      <c r="Q90">
        <v>1</v>
      </c>
      <c r="X90">
        <v>2.93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2</v>
      </c>
      <c r="AG90">
        <v>2.93</v>
      </c>
      <c r="AH90">
        <v>2</v>
      </c>
      <c r="AI90">
        <v>939976312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ROW(Source!A48)</f>
        <v>48</v>
      </c>
      <c r="B91">
        <v>939976313</v>
      </c>
      <c r="C91">
        <v>939976301</v>
      </c>
      <c r="D91">
        <v>338036908</v>
      </c>
      <c r="E91">
        <v>1</v>
      </c>
      <c r="F91">
        <v>1</v>
      </c>
      <c r="G91">
        <v>1</v>
      </c>
      <c r="H91">
        <v>2</v>
      </c>
      <c r="I91" t="s">
        <v>428</v>
      </c>
      <c r="J91" t="s">
        <v>429</v>
      </c>
      <c r="K91" t="s">
        <v>430</v>
      </c>
      <c r="L91">
        <v>1368</v>
      </c>
      <c r="N91">
        <v>91022270</v>
      </c>
      <c r="O91" t="s">
        <v>371</v>
      </c>
      <c r="P91" t="s">
        <v>371</v>
      </c>
      <c r="Q91">
        <v>1</v>
      </c>
      <c r="X91">
        <v>0.36</v>
      </c>
      <c r="Y91">
        <v>0</v>
      </c>
      <c r="Z91">
        <v>99.89</v>
      </c>
      <c r="AA91">
        <v>10.06</v>
      </c>
      <c r="AB91">
        <v>0</v>
      </c>
      <c r="AC91">
        <v>0</v>
      </c>
      <c r="AD91">
        <v>1</v>
      </c>
      <c r="AE91">
        <v>0</v>
      </c>
      <c r="AG91">
        <v>0.36</v>
      </c>
      <c r="AH91">
        <v>2</v>
      </c>
      <c r="AI91">
        <v>939976313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ROW(Source!A48)</f>
        <v>48</v>
      </c>
      <c r="B92">
        <v>939976314</v>
      </c>
      <c r="C92">
        <v>939976301</v>
      </c>
      <c r="D92">
        <v>338036985</v>
      </c>
      <c r="E92">
        <v>1</v>
      </c>
      <c r="F92">
        <v>1</v>
      </c>
      <c r="G92">
        <v>1</v>
      </c>
      <c r="H92">
        <v>2</v>
      </c>
      <c r="I92" t="s">
        <v>396</v>
      </c>
      <c r="J92" t="s">
        <v>397</v>
      </c>
      <c r="K92" t="s">
        <v>398</v>
      </c>
      <c r="L92">
        <v>1368</v>
      </c>
      <c r="N92">
        <v>91022270</v>
      </c>
      <c r="O92" t="s">
        <v>371</v>
      </c>
      <c r="P92" t="s">
        <v>371</v>
      </c>
      <c r="Q92">
        <v>1</v>
      </c>
      <c r="X92">
        <v>2.57</v>
      </c>
      <c r="Y92">
        <v>0</v>
      </c>
      <c r="Z92">
        <v>31.26</v>
      </c>
      <c r="AA92">
        <v>13.5</v>
      </c>
      <c r="AB92">
        <v>0</v>
      </c>
      <c r="AC92">
        <v>0</v>
      </c>
      <c r="AD92">
        <v>1</v>
      </c>
      <c r="AE92">
        <v>0</v>
      </c>
      <c r="AG92">
        <v>2.57</v>
      </c>
      <c r="AH92">
        <v>2</v>
      </c>
      <c r="AI92">
        <v>939976314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ROW(Source!A48)</f>
        <v>48</v>
      </c>
      <c r="B93">
        <v>939976315</v>
      </c>
      <c r="C93">
        <v>939976301</v>
      </c>
      <c r="D93">
        <v>338039342</v>
      </c>
      <c r="E93">
        <v>1</v>
      </c>
      <c r="F93">
        <v>1</v>
      </c>
      <c r="G93">
        <v>1</v>
      </c>
      <c r="H93">
        <v>2</v>
      </c>
      <c r="I93" t="s">
        <v>381</v>
      </c>
      <c r="J93" t="s">
        <v>382</v>
      </c>
      <c r="K93" t="s">
        <v>383</v>
      </c>
      <c r="L93">
        <v>1368</v>
      </c>
      <c r="N93">
        <v>91022270</v>
      </c>
      <c r="O93" t="s">
        <v>371</v>
      </c>
      <c r="P93" t="s">
        <v>371</v>
      </c>
      <c r="Q93">
        <v>1</v>
      </c>
      <c r="X93">
        <v>0.84</v>
      </c>
      <c r="Y93">
        <v>0</v>
      </c>
      <c r="Z93">
        <v>87.17</v>
      </c>
      <c r="AA93">
        <v>11.6</v>
      </c>
      <c r="AB93">
        <v>0</v>
      </c>
      <c r="AC93">
        <v>0</v>
      </c>
      <c r="AD93">
        <v>1</v>
      </c>
      <c r="AE93">
        <v>0</v>
      </c>
      <c r="AG93">
        <v>0.84</v>
      </c>
      <c r="AH93">
        <v>2</v>
      </c>
      <c r="AI93">
        <v>939976315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ROW(Source!A48)</f>
        <v>48</v>
      </c>
      <c r="B94">
        <v>939976316</v>
      </c>
      <c r="C94">
        <v>939976301</v>
      </c>
      <c r="D94">
        <v>337972377</v>
      </c>
      <c r="E94">
        <v>1</v>
      </c>
      <c r="F94">
        <v>1</v>
      </c>
      <c r="G94">
        <v>1</v>
      </c>
      <c r="H94">
        <v>3</v>
      </c>
      <c r="I94" t="s">
        <v>18</v>
      </c>
      <c r="J94" t="s">
        <v>431</v>
      </c>
      <c r="K94" t="s">
        <v>19</v>
      </c>
      <c r="L94">
        <v>1339</v>
      </c>
      <c r="N94">
        <v>1007</v>
      </c>
      <c r="O94" t="s">
        <v>20</v>
      </c>
      <c r="P94" t="s">
        <v>20</v>
      </c>
      <c r="Q94">
        <v>1</v>
      </c>
      <c r="X94">
        <v>3.06</v>
      </c>
      <c r="Y94">
        <v>34.92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G94">
        <v>3.06</v>
      </c>
      <c r="AH94">
        <v>2</v>
      </c>
      <c r="AI94">
        <v>939976316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ROW(Source!A48)</f>
        <v>48</v>
      </c>
      <c r="B95">
        <v>939976317</v>
      </c>
      <c r="C95">
        <v>939976301</v>
      </c>
      <c r="D95">
        <v>338009588</v>
      </c>
      <c r="E95">
        <v>1</v>
      </c>
      <c r="F95">
        <v>1</v>
      </c>
      <c r="G95">
        <v>1</v>
      </c>
      <c r="H95">
        <v>3</v>
      </c>
      <c r="I95" t="s">
        <v>31</v>
      </c>
      <c r="J95" t="s">
        <v>169</v>
      </c>
      <c r="K95" t="s">
        <v>32</v>
      </c>
      <c r="L95">
        <v>1339</v>
      </c>
      <c r="N95">
        <v>1007</v>
      </c>
      <c r="O95" t="s">
        <v>20</v>
      </c>
      <c r="P95" t="s">
        <v>20</v>
      </c>
      <c r="Q95">
        <v>1</v>
      </c>
      <c r="X95">
        <v>1.3</v>
      </c>
      <c r="Y95">
        <v>600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G95">
        <v>1.3</v>
      </c>
      <c r="AH95">
        <v>2</v>
      </c>
      <c r="AI95">
        <v>939976317</v>
      </c>
      <c r="AJ95">
        <v>97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ROW(Source!A48)</f>
        <v>48</v>
      </c>
      <c r="B96">
        <v>939976318</v>
      </c>
      <c r="C96">
        <v>939976301</v>
      </c>
      <c r="D96">
        <v>338010244</v>
      </c>
      <c r="E96">
        <v>1</v>
      </c>
      <c r="F96">
        <v>1</v>
      </c>
      <c r="G96">
        <v>1</v>
      </c>
      <c r="H96">
        <v>3</v>
      </c>
      <c r="I96" t="s">
        <v>165</v>
      </c>
      <c r="J96" t="s">
        <v>167</v>
      </c>
      <c r="K96" t="s">
        <v>166</v>
      </c>
      <c r="L96">
        <v>369160830</v>
      </c>
      <c r="N96">
        <v>1005</v>
      </c>
      <c r="O96" t="s">
        <v>17</v>
      </c>
      <c r="P96" t="s">
        <v>17</v>
      </c>
      <c r="Q96">
        <v>1</v>
      </c>
      <c r="X96">
        <v>102</v>
      </c>
      <c r="Y96">
        <v>70.099999999999994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G96">
        <v>102</v>
      </c>
      <c r="AH96">
        <v>2</v>
      </c>
      <c r="AI96">
        <v>939976318</v>
      </c>
      <c r="AJ96">
        <v>98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ROW(Source!A48)</f>
        <v>48</v>
      </c>
      <c r="B97">
        <v>939976319</v>
      </c>
      <c r="C97">
        <v>939976301</v>
      </c>
      <c r="D97">
        <v>338014469</v>
      </c>
      <c r="E97">
        <v>1</v>
      </c>
      <c r="F97">
        <v>1</v>
      </c>
      <c r="G97">
        <v>1</v>
      </c>
      <c r="H97">
        <v>3</v>
      </c>
      <c r="I97" t="s">
        <v>33</v>
      </c>
      <c r="J97" t="s">
        <v>393</v>
      </c>
      <c r="K97" t="s">
        <v>34</v>
      </c>
      <c r="L97">
        <v>1339</v>
      </c>
      <c r="N97">
        <v>1007</v>
      </c>
      <c r="O97" t="s">
        <v>20</v>
      </c>
      <c r="P97" t="s">
        <v>20</v>
      </c>
      <c r="Q97">
        <v>1</v>
      </c>
      <c r="X97">
        <v>3.85</v>
      </c>
      <c r="Y97">
        <v>2.44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G97">
        <v>3.85</v>
      </c>
      <c r="AH97">
        <v>2</v>
      </c>
      <c r="AI97">
        <v>939976319</v>
      </c>
      <c r="AJ97">
        <v>100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ROW(Source!A49)</f>
        <v>49</v>
      </c>
      <c r="B98">
        <v>939976311</v>
      </c>
      <c r="C98">
        <v>939976301</v>
      </c>
      <c r="D98">
        <v>37776094</v>
      </c>
      <c r="E98">
        <v>1</v>
      </c>
      <c r="F98">
        <v>1</v>
      </c>
      <c r="G98">
        <v>1</v>
      </c>
      <c r="H98">
        <v>1</v>
      </c>
      <c r="I98" t="s">
        <v>426</v>
      </c>
      <c r="K98" t="s">
        <v>427</v>
      </c>
      <c r="L98">
        <v>1369</v>
      </c>
      <c r="N98">
        <v>1013</v>
      </c>
      <c r="O98" t="s">
        <v>365</v>
      </c>
      <c r="P98" t="s">
        <v>365</v>
      </c>
      <c r="Q98">
        <v>1</v>
      </c>
      <c r="X98">
        <v>81.31</v>
      </c>
      <c r="Y98">
        <v>0</v>
      </c>
      <c r="Z98">
        <v>0</v>
      </c>
      <c r="AA98">
        <v>0</v>
      </c>
      <c r="AB98">
        <v>8.31</v>
      </c>
      <c r="AC98">
        <v>0</v>
      </c>
      <c r="AD98">
        <v>1</v>
      </c>
      <c r="AE98">
        <v>1</v>
      </c>
      <c r="AG98">
        <v>81.31</v>
      </c>
      <c r="AH98">
        <v>2</v>
      </c>
      <c r="AI98">
        <v>939976311</v>
      </c>
      <c r="AJ98">
        <v>101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ROW(Source!A49)</f>
        <v>49</v>
      </c>
      <c r="B99">
        <v>939976312</v>
      </c>
      <c r="C99">
        <v>939976301</v>
      </c>
      <c r="D99">
        <v>121548</v>
      </c>
      <c r="E99">
        <v>1</v>
      </c>
      <c r="F99">
        <v>1</v>
      </c>
      <c r="G99">
        <v>1</v>
      </c>
      <c r="H99">
        <v>1</v>
      </c>
      <c r="I99" t="s">
        <v>9</v>
      </c>
      <c r="K99" t="s">
        <v>366</v>
      </c>
      <c r="L99">
        <v>608254</v>
      </c>
      <c r="N99">
        <v>1013</v>
      </c>
      <c r="O99" t="s">
        <v>367</v>
      </c>
      <c r="P99" t="s">
        <v>367</v>
      </c>
      <c r="Q99">
        <v>1</v>
      </c>
      <c r="X99">
        <v>2.93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2</v>
      </c>
      <c r="AG99">
        <v>2.93</v>
      </c>
      <c r="AH99">
        <v>2</v>
      </c>
      <c r="AI99">
        <v>939976312</v>
      </c>
      <c r="AJ99">
        <v>102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ROW(Source!A49)</f>
        <v>49</v>
      </c>
      <c r="B100">
        <v>939976313</v>
      </c>
      <c r="C100">
        <v>939976301</v>
      </c>
      <c r="D100">
        <v>338036908</v>
      </c>
      <c r="E100">
        <v>1</v>
      </c>
      <c r="F100">
        <v>1</v>
      </c>
      <c r="G100">
        <v>1</v>
      </c>
      <c r="H100">
        <v>2</v>
      </c>
      <c r="I100" t="s">
        <v>428</v>
      </c>
      <c r="J100" t="s">
        <v>429</v>
      </c>
      <c r="K100" t="s">
        <v>430</v>
      </c>
      <c r="L100">
        <v>1368</v>
      </c>
      <c r="N100">
        <v>91022270</v>
      </c>
      <c r="O100" t="s">
        <v>371</v>
      </c>
      <c r="P100" t="s">
        <v>371</v>
      </c>
      <c r="Q100">
        <v>1</v>
      </c>
      <c r="X100">
        <v>0.36</v>
      </c>
      <c r="Y100">
        <v>0</v>
      </c>
      <c r="Z100">
        <v>99.89</v>
      </c>
      <c r="AA100">
        <v>10.06</v>
      </c>
      <c r="AB100">
        <v>0</v>
      </c>
      <c r="AC100">
        <v>0</v>
      </c>
      <c r="AD100">
        <v>1</v>
      </c>
      <c r="AE100">
        <v>0</v>
      </c>
      <c r="AG100">
        <v>0.36</v>
      </c>
      <c r="AH100">
        <v>2</v>
      </c>
      <c r="AI100">
        <v>939976313</v>
      </c>
      <c r="AJ100">
        <v>103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ROW(Source!A49)</f>
        <v>49</v>
      </c>
      <c r="B101">
        <v>939976314</v>
      </c>
      <c r="C101">
        <v>939976301</v>
      </c>
      <c r="D101">
        <v>338036985</v>
      </c>
      <c r="E101">
        <v>1</v>
      </c>
      <c r="F101">
        <v>1</v>
      </c>
      <c r="G101">
        <v>1</v>
      </c>
      <c r="H101">
        <v>2</v>
      </c>
      <c r="I101" t="s">
        <v>396</v>
      </c>
      <c r="J101" t="s">
        <v>397</v>
      </c>
      <c r="K101" t="s">
        <v>398</v>
      </c>
      <c r="L101">
        <v>1368</v>
      </c>
      <c r="N101">
        <v>91022270</v>
      </c>
      <c r="O101" t="s">
        <v>371</v>
      </c>
      <c r="P101" t="s">
        <v>371</v>
      </c>
      <c r="Q101">
        <v>1</v>
      </c>
      <c r="X101">
        <v>2.57</v>
      </c>
      <c r="Y101">
        <v>0</v>
      </c>
      <c r="Z101">
        <v>31.26</v>
      </c>
      <c r="AA101">
        <v>13.5</v>
      </c>
      <c r="AB101">
        <v>0</v>
      </c>
      <c r="AC101">
        <v>0</v>
      </c>
      <c r="AD101">
        <v>1</v>
      </c>
      <c r="AE101">
        <v>0</v>
      </c>
      <c r="AG101">
        <v>2.57</v>
      </c>
      <c r="AH101">
        <v>2</v>
      </c>
      <c r="AI101">
        <v>939976314</v>
      </c>
      <c r="AJ101">
        <v>104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ROW(Source!A49)</f>
        <v>49</v>
      </c>
      <c r="B102">
        <v>939976315</v>
      </c>
      <c r="C102">
        <v>939976301</v>
      </c>
      <c r="D102">
        <v>338039342</v>
      </c>
      <c r="E102">
        <v>1</v>
      </c>
      <c r="F102">
        <v>1</v>
      </c>
      <c r="G102">
        <v>1</v>
      </c>
      <c r="H102">
        <v>2</v>
      </c>
      <c r="I102" t="s">
        <v>381</v>
      </c>
      <c r="J102" t="s">
        <v>382</v>
      </c>
      <c r="K102" t="s">
        <v>383</v>
      </c>
      <c r="L102">
        <v>1368</v>
      </c>
      <c r="N102">
        <v>91022270</v>
      </c>
      <c r="O102" t="s">
        <v>371</v>
      </c>
      <c r="P102" t="s">
        <v>371</v>
      </c>
      <c r="Q102">
        <v>1</v>
      </c>
      <c r="X102">
        <v>0.84</v>
      </c>
      <c r="Y102">
        <v>0</v>
      </c>
      <c r="Z102">
        <v>87.17</v>
      </c>
      <c r="AA102">
        <v>11.6</v>
      </c>
      <c r="AB102">
        <v>0</v>
      </c>
      <c r="AC102">
        <v>0</v>
      </c>
      <c r="AD102">
        <v>1</v>
      </c>
      <c r="AE102">
        <v>0</v>
      </c>
      <c r="AG102">
        <v>0.84</v>
      </c>
      <c r="AH102">
        <v>2</v>
      </c>
      <c r="AI102">
        <v>939976315</v>
      </c>
      <c r="AJ102">
        <v>105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ROW(Source!A49)</f>
        <v>49</v>
      </c>
      <c r="B103">
        <v>939976316</v>
      </c>
      <c r="C103">
        <v>939976301</v>
      </c>
      <c r="D103">
        <v>337972377</v>
      </c>
      <c r="E103">
        <v>1</v>
      </c>
      <c r="F103">
        <v>1</v>
      </c>
      <c r="G103">
        <v>1</v>
      </c>
      <c r="H103">
        <v>3</v>
      </c>
      <c r="I103" t="s">
        <v>18</v>
      </c>
      <c r="J103" t="s">
        <v>431</v>
      </c>
      <c r="K103" t="s">
        <v>19</v>
      </c>
      <c r="L103">
        <v>1339</v>
      </c>
      <c r="N103">
        <v>1007</v>
      </c>
      <c r="O103" t="s">
        <v>20</v>
      </c>
      <c r="P103" t="s">
        <v>20</v>
      </c>
      <c r="Q103">
        <v>1</v>
      </c>
      <c r="X103">
        <v>3.06</v>
      </c>
      <c r="Y103">
        <v>34.92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G103">
        <v>3.06</v>
      </c>
      <c r="AH103">
        <v>2</v>
      </c>
      <c r="AI103">
        <v>939976316</v>
      </c>
      <c r="AJ103">
        <v>106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ROW(Source!A49)</f>
        <v>49</v>
      </c>
      <c r="B104">
        <v>939976317</v>
      </c>
      <c r="C104">
        <v>939976301</v>
      </c>
      <c r="D104">
        <v>338009588</v>
      </c>
      <c r="E104">
        <v>1</v>
      </c>
      <c r="F104">
        <v>1</v>
      </c>
      <c r="G104">
        <v>1</v>
      </c>
      <c r="H104">
        <v>3</v>
      </c>
      <c r="I104" t="s">
        <v>31</v>
      </c>
      <c r="J104" t="s">
        <v>169</v>
      </c>
      <c r="K104" t="s">
        <v>32</v>
      </c>
      <c r="L104">
        <v>1339</v>
      </c>
      <c r="N104">
        <v>1007</v>
      </c>
      <c r="O104" t="s">
        <v>20</v>
      </c>
      <c r="P104" t="s">
        <v>20</v>
      </c>
      <c r="Q104">
        <v>1</v>
      </c>
      <c r="X104">
        <v>1.3</v>
      </c>
      <c r="Y104">
        <v>600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G104">
        <v>1.3</v>
      </c>
      <c r="AH104">
        <v>2</v>
      </c>
      <c r="AI104">
        <v>939976317</v>
      </c>
      <c r="AJ104">
        <v>109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ROW(Source!A49)</f>
        <v>49</v>
      </c>
      <c r="B105">
        <v>939976318</v>
      </c>
      <c r="C105">
        <v>939976301</v>
      </c>
      <c r="D105">
        <v>338010244</v>
      </c>
      <c r="E105">
        <v>1</v>
      </c>
      <c r="F105">
        <v>1</v>
      </c>
      <c r="G105">
        <v>1</v>
      </c>
      <c r="H105">
        <v>3</v>
      </c>
      <c r="I105" t="s">
        <v>165</v>
      </c>
      <c r="J105" t="s">
        <v>167</v>
      </c>
      <c r="K105" t="s">
        <v>166</v>
      </c>
      <c r="L105">
        <v>369160830</v>
      </c>
      <c r="N105">
        <v>1005</v>
      </c>
      <c r="O105" t="s">
        <v>17</v>
      </c>
      <c r="P105" t="s">
        <v>17</v>
      </c>
      <c r="Q105">
        <v>1</v>
      </c>
      <c r="X105">
        <v>102</v>
      </c>
      <c r="Y105">
        <v>70.099999999999994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G105">
        <v>102</v>
      </c>
      <c r="AH105">
        <v>2</v>
      </c>
      <c r="AI105">
        <v>939976318</v>
      </c>
      <c r="AJ105">
        <v>110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ROW(Source!A49)</f>
        <v>49</v>
      </c>
      <c r="B106">
        <v>939976319</v>
      </c>
      <c r="C106">
        <v>939976301</v>
      </c>
      <c r="D106">
        <v>338014469</v>
      </c>
      <c r="E106">
        <v>1</v>
      </c>
      <c r="F106">
        <v>1</v>
      </c>
      <c r="G106">
        <v>1</v>
      </c>
      <c r="H106">
        <v>3</v>
      </c>
      <c r="I106" t="s">
        <v>33</v>
      </c>
      <c r="J106" t="s">
        <v>393</v>
      </c>
      <c r="K106" t="s">
        <v>34</v>
      </c>
      <c r="L106">
        <v>1339</v>
      </c>
      <c r="N106">
        <v>1007</v>
      </c>
      <c r="O106" t="s">
        <v>20</v>
      </c>
      <c r="P106" t="s">
        <v>20</v>
      </c>
      <c r="Q106">
        <v>1</v>
      </c>
      <c r="X106">
        <v>3.85</v>
      </c>
      <c r="Y106">
        <v>2.44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G106">
        <v>3.85</v>
      </c>
      <c r="AH106">
        <v>2</v>
      </c>
      <c r="AI106">
        <v>939976319</v>
      </c>
      <c r="AJ106">
        <v>112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ROW(Source!A60)</f>
        <v>60</v>
      </c>
      <c r="B107">
        <v>966166298</v>
      </c>
      <c r="C107">
        <v>966165077</v>
      </c>
      <c r="D107">
        <v>37776124</v>
      </c>
      <c r="E107">
        <v>1</v>
      </c>
      <c r="F107">
        <v>1</v>
      </c>
      <c r="G107">
        <v>1</v>
      </c>
      <c r="H107">
        <v>1</v>
      </c>
      <c r="I107" t="s">
        <v>432</v>
      </c>
      <c r="K107" t="s">
        <v>433</v>
      </c>
      <c r="L107">
        <v>1369</v>
      </c>
      <c r="N107">
        <v>1013</v>
      </c>
      <c r="O107" t="s">
        <v>365</v>
      </c>
      <c r="P107" t="s">
        <v>365</v>
      </c>
      <c r="Q107">
        <v>1</v>
      </c>
      <c r="X107">
        <v>119.78</v>
      </c>
      <c r="Y107">
        <v>0</v>
      </c>
      <c r="Z107">
        <v>0</v>
      </c>
      <c r="AA107">
        <v>0</v>
      </c>
      <c r="AB107">
        <v>8.74</v>
      </c>
      <c r="AC107">
        <v>0</v>
      </c>
      <c r="AD107">
        <v>1</v>
      </c>
      <c r="AE107">
        <v>1</v>
      </c>
      <c r="AG107">
        <v>119.78</v>
      </c>
      <c r="AH107">
        <v>2</v>
      </c>
      <c r="AI107">
        <v>966166298</v>
      </c>
      <c r="AJ107">
        <v>113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ROW(Source!A60)</f>
        <v>60</v>
      </c>
      <c r="B108">
        <v>966166299</v>
      </c>
      <c r="C108">
        <v>966165077</v>
      </c>
      <c r="D108">
        <v>121548</v>
      </c>
      <c r="E108">
        <v>1</v>
      </c>
      <c r="F108">
        <v>1</v>
      </c>
      <c r="G108">
        <v>1</v>
      </c>
      <c r="H108">
        <v>1</v>
      </c>
      <c r="I108" t="s">
        <v>9</v>
      </c>
      <c r="K108" t="s">
        <v>366</v>
      </c>
      <c r="L108">
        <v>608254</v>
      </c>
      <c r="N108">
        <v>1013</v>
      </c>
      <c r="O108" t="s">
        <v>367</v>
      </c>
      <c r="P108" t="s">
        <v>367</v>
      </c>
      <c r="Q108">
        <v>1</v>
      </c>
      <c r="X108">
        <v>2.66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2</v>
      </c>
      <c r="AG108">
        <v>2.66</v>
      </c>
      <c r="AH108">
        <v>2</v>
      </c>
      <c r="AI108">
        <v>966166299</v>
      </c>
      <c r="AJ108">
        <v>114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ROW(Source!A60)</f>
        <v>60</v>
      </c>
      <c r="B109">
        <v>966166300</v>
      </c>
      <c r="C109">
        <v>966165077</v>
      </c>
      <c r="D109">
        <v>338036908</v>
      </c>
      <c r="E109">
        <v>1</v>
      </c>
      <c r="F109">
        <v>1</v>
      </c>
      <c r="G109">
        <v>1</v>
      </c>
      <c r="H109">
        <v>2</v>
      </c>
      <c r="I109" t="s">
        <v>428</v>
      </c>
      <c r="J109" t="s">
        <v>429</v>
      </c>
      <c r="K109" t="s">
        <v>430</v>
      </c>
      <c r="L109">
        <v>1368</v>
      </c>
      <c r="N109">
        <v>91022270</v>
      </c>
      <c r="O109" t="s">
        <v>371</v>
      </c>
      <c r="P109" t="s">
        <v>371</v>
      </c>
      <c r="Q109">
        <v>1</v>
      </c>
      <c r="X109">
        <v>0.36</v>
      </c>
      <c r="Y109">
        <v>0</v>
      </c>
      <c r="Z109">
        <v>99.89</v>
      </c>
      <c r="AA109">
        <v>10.06</v>
      </c>
      <c r="AB109">
        <v>0</v>
      </c>
      <c r="AC109">
        <v>0</v>
      </c>
      <c r="AD109">
        <v>1</v>
      </c>
      <c r="AE109">
        <v>0</v>
      </c>
      <c r="AG109">
        <v>0.36</v>
      </c>
      <c r="AH109">
        <v>2</v>
      </c>
      <c r="AI109">
        <v>966166300</v>
      </c>
      <c r="AJ109">
        <v>115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ROW(Source!A60)</f>
        <v>60</v>
      </c>
      <c r="B110">
        <v>966166301</v>
      </c>
      <c r="C110">
        <v>966165077</v>
      </c>
      <c r="D110">
        <v>338036985</v>
      </c>
      <c r="E110">
        <v>1</v>
      </c>
      <c r="F110">
        <v>1</v>
      </c>
      <c r="G110">
        <v>1</v>
      </c>
      <c r="H110">
        <v>2</v>
      </c>
      <c r="I110" t="s">
        <v>396</v>
      </c>
      <c r="J110" t="s">
        <v>397</v>
      </c>
      <c r="K110" t="s">
        <v>398</v>
      </c>
      <c r="L110">
        <v>1368</v>
      </c>
      <c r="N110">
        <v>91022270</v>
      </c>
      <c r="O110" t="s">
        <v>371</v>
      </c>
      <c r="P110" t="s">
        <v>371</v>
      </c>
      <c r="Q110">
        <v>1</v>
      </c>
      <c r="X110">
        <v>2.2999999999999998</v>
      </c>
      <c r="Y110">
        <v>0</v>
      </c>
      <c r="Z110">
        <v>31.26</v>
      </c>
      <c r="AA110">
        <v>13.5</v>
      </c>
      <c r="AB110">
        <v>0</v>
      </c>
      <c r="AC110">
        <v>0</v>
      </c>
      <c r="AD110">
        <v>1</v>
      </c>
      <c r="AE110">
        <v>0</v>
      </c>
      <c r="AG110">
        <v>2.2999999999999998</v>
      </c>
      <c r="AH110">
        <v>2</v>
      </c>
      <c r="AI110">
        <v>966166301</v>
      </c>
      <c r="AJ110">
        <v>116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ROW(Source!A60)</f>
        <v>60</v>
      </c>
      <c r="B111">
        <v>966166302</v>
      </c>
      <c r="C111">
        <v>966165077</v>
      </c>
      <c r="D111">
        <v>338039342</v>
      </c>
      <c r="E111">
        <v>1</v>
      </c>
      <c r="F111">
        <v>1</v>
      </c>
      <c r="G111">
        <v>1</v>
      </c>
      <c r="H111">
        <v>2</v>
      </c>
      <c r="I111" t="s">
        <v>381</v>
      </c>
      <c r="J111" t="s">
        <v>382</v>
      </c>
      <c r="K111" t="s">
        <v>383</v>
      </c>
      <c r="L111">
        <v>1368</v>
      </c>
      <c r="N111">
        <v>91022270</v>
      </c>
      <c r="O111" t="s">
        <v>371</v>
      </c>
      <c r="P111" t="s">
        <v>371</v>
      </c>
      <c r="Q111">
        <v>1</v>
      </c>
      <c r="X111">
        <v>0.28000000000000003</v>
      </c>
      <c r="Y111">
        <v>0</v>
      </c>
      <c r="Z111">
        <v>87.17</v>
      </c>
      <c r="AA111">
        <v>11.6</v>
      </c>
      <c r="AB111">
        <v>0</v>
      </c>
      <c r="AC111">
        <v>0</v>
      </c>
      <c r="AD111">
        <v>1</v>
      </c>
      <c r="AE111">
        <v>0</v>
      </c>
      <c r="AG111">
        <v>0.28000000000000003</v>
      </c>
      <c r="AH111">
        <v>2</v>
      </c>
      <c r="AI111">
        <v>966166302</v>
      </c>
      <c r="AJ111">
        <v>117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ROW(Source!A60)</f>
        <v>60</v>
      </c>
      <c r="B112">
        <v>966166303</v>
      </c>
      <c r="C112">
        <v>966165077</v>
      </c>
      <c r="D112">
        <v>337974428</v>
      </c>
      <c r="E112">
        <v>1</v>
      </c>
      <c r="F112">
        <v>1</v>
      </c>
      <c r="G112">
        <v>1</v>
      </c>
      <c r="H112">
        <v>3</v>
      </c>
      <c r="I112" t="s">
        <v>15</v>
      </c>
      <c r="J112" t="s">
        <v>434</v>
      </c>
      <c r="K112" t="s">
        <v>16</v>
      </c>
      <c r="L112">
        <v>369160830</v>
      </c>
      <c r="N112">
        <v>1005</v>
      </c>
      <c r="O112" t="s">
        <v>17</v>
      </c>
      <c r="P112" t="s">
        <v>17</v>
      </c>
      <c r="Q112">
        <v>1</v>
      </c>
      <c r="X112">
        <v>102</v>
      </c>
      <c r="Y112">
        <v>67.8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G112">
        <v>102</v>
      </c>
      <c r="AH112">
        <v>2</v>
      </c>
      <c r="AI112">
        <v>966166303</v>
      </c>
      <c r="AJ112">
        <v>118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ROW(Source!A60)</f>
        <v>60</v>
      </c>
      <c r="B113">
        <v>966166304</v>
      </c>
      <c r="C113">
        <v>966165077</v>
      </c>
      <c r="D113">
        <v>337972377</v>
      </c>
      <c r="E113">
        <v>1</v>
      </c>
      <c r="F113">
        <v>1</v>
      </c>
      <c r="G113">
        <v>1</v>
      </c>
      <c r="H113">
        <v>3</v>
      </c>
      <c r="I113" t="s">
        <v>18</v>
      </c>
      <c r="J113" t="s">
        <v>431</v>
      </c>
      <c r="K113" t="s">
        <v>19</v>
      </c>
      <c r="L113">
        <v>1339</v>
      </c>
      <c r="N113">
        <v>1007</v>
      </c>
      <c r="O113" t="s">
        <v>20</v>
      </c>
      <c r="P113" t="s">
        <v>20</v>
      </c>
      <c r="Q113">
        <v>1</v>
      </c>
      <c r="X113">
        <v>3.06</v>
      </c>
      <c r="Y113">
        <v>34.92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G113">
        <v>3.06</v>
      </c>
      <c r="AH113">
        <v>2</v>
      </c>
      <c r="AI113">
        <v>966166304</v>
      </c>
      <c r="AJ113">
        <v>119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ROW(Source!A60)</f>
        <v>60</v>
      </c>
      <c r="B114">
        <v>966166305</v>
      </c>
      <c r="C114">
        <v>966165077</v>
      </c>
      <c r="D114">
        <v>338009588</v>
      </c>
      <c r="E114">
        <v>1</v>
      </c>
      <c r="F114">
        <v>1</v>
      </c>
      <c r="G114">
        <v>1</v>
      </c>
      <c r="H114">
        <v>3</v>
      </c>
      <c r="I114" t="s">
        <v>31</v>
      </c>
      <c r="J114" t="s">
        <v>169</v>
      </c>
      <c r="K114" t="s">
        <v>32</v>
      </c>
      <c r="L114">
        <v>1339</v>
      </c>
      <c r="N114">
        <v>1007</v>
      </c>
      <c r="O114" t="s">
        <v>20</v>
      </c>
      <c r="P114" t="s">
        <v>20</v>
      </c>
      <c r="Q114">
        <v>1</v>
      </c>
      <c r="X114">
        <v>1.3</v>
      </c>
      <c r="Y114">
        <v>600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G114">
        <v>1.3</v>
      </c>
      <c r="AH114">
        <v>2</v>
      </c>
      <c r="AI114">
        <v>966166305</v>
      </c>
      <c r="AJ114">
        <v>120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ROW(Source!A60)</f>
        <v>60</v>
      </c>
      <c r="B115">
        <v>966166306</v>
      </c>
      <c r="C115">
        <v>966165077</v>
      </c>
      <c r="D115">
        <v>338014469</v>
      </c>
      <c r="E115">
        <v>1</v>
      </c>
      <c r="F115">
        <v>1</v>
      </c>
      <c r="G115">
        <v>1</v>
      </c>
      <c r="H115">
        <v>3</v>
      </c>
      <c r="I115" t="s">
        <v>33</v>
      </c>
      <c r="J115" t="s">
        <v>393</v>
      </c>
      <c r="K115" t="s">
        <v>34</v>
      </c>
      <c r="L115">
        <v>1339</v>
      </c>
      <c r="N115">
        <v>1007</v>
      </c>
      <c r="O115" t="s">
        <v>20</v>
      </c>
      <c r="P115" t="s">
        <v>20</v>
      </c>
      <c r="Q115">
        <v>1</v>
      </c>
      <c r="X115">
        <v>3.85</v>
      </c>
      <c r="Y115">
        <v>2.44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G115">
        <v>3.85</v>
      </c>
      <c r="AH115">
        <v>2</v>
      </c>
      <c r="AI115">
        <v>966166306</v>
      </c>
      <c r="AJ115">
        <v>121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ROW(Source!A61)</f>
        <v>61</v>
      </c>
      <c r="B116">
        <v>966166298</v>
      </c>
      <c r="C116">
        <v>966165077</v>
      </c>
      <c r="D116">
        <v>37776124</v>
      </c>
      <c r="E116">
        <v>1</v>
      </c>
      <c r="F116">
        <v>1</v>
      </c>
      <c r="G116">
        <v>1</v>
      </c>
      <c r="H116">
        <v>1</v>
      </c>
      <c r="I116" t="s">
        <v>432</v>
      </c>
      <c r="K116" t="s">
        <v>433</v>
      </c>
      <c r="L116">
        <v>1369</v>
      </c>
      <c r="N116">
        <v>1013</v>
      </c>
      <c r="O116" t="s">
        <v>365</v>
      </c>
      <c r="P116" t="s">
        <v>365</v>
      </c>
      <c r="Q116">
        <v>1</v>
      </c>
      <c r="X116">
        <v>119.78</v>
      </c>
      <c r="Y116">
        <v>0</v>
      </c>
      <c r="Z116">
        <v>0</v>
      </c>
      <c r="AA116">
        <v>0</v>
      </c>
      <c r="AB116">
        <v>8.74</v>
      </c>
      <c r="AC116">
        <v>0</v>
      </c>
      <c r="AD116">
        <v>1</v>
      </c>
      <c r="AE116">
        <v>1</v>
      </c>
      <c r="AG116">
        <v>119.78</v>
      </c>
      <c r="AH116">
        <v>2</v>
      </c>
      <c r="AI116">
        <v>966166298</v>
      </c>
      <c r="AJ116">
        <v>122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ROW(Source!A61)</f>
        <v>61</v>
      </c>
      <c r="B117">
        <v>966166299</v>
      </c>
      <c r="C117">
        <v>966165077</v>
      </c>
      <c r="D117">
        <v>121548</v>
      </c>
      <c r="E117">
        <v>1</v>
      </c>
      <c r="F117">
        <v>1</v>
      </c>
      <c r="G117">
        <v>1</v>
      </c>
      <c r="H117">
        <v>1</v>
      </c>
      <c r="I117" t="s">
        <v>9</v>
      </c>
      <c r="K117" t="s">
        <v>366</v>
      </c>
      <c r="L117">
        <v>608254</v>
      </c>
      <c r="N117">
        <v>1013</v>
      </c>
      <c r="O117" t="s">
        <v>367</v>
      </c>
      <c r="P117" t="s">
        <v>367</v>
      </c>
      <c r="Q117">
        <v>1</v>
      </c>
      <c r="X117">
        <v>2.66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2</v>
      </c>
      <c r="AG117">
        <v>2.66</v>
      </c>
      <c r="AH117">
        <v>2</v>
      </c>
      <c r="AI117">
        <v>966166299</v>
      </c>
      <c r="AJ117">
        <v>123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ROW(Source!A61)</f>
        <v>61</v>
      </c>
      <c r="B118">
        <v>966166300</v>
      </c>
      <c r="C118">
        <v>966165077</v>
      </c>
      <c r="D118">
        <v>338036908</v>
      </c>
      <c r="E118">
        <v>1</v>
      </c>
      <c r="F118">
        <v>1</v>
      </c>
      <c r="G118">
        <v>1</v>
      </c>
      <c r="H118">
        <v>2</v>
      </c>
      <c r="I118" t="s">
        <v>428</v>
      </c>
      <c r="J118" t="s">
        <v>429</v>
      </c>
      <c r="K118" t="s">
        <v>430</v>
      </c>
      <c r="L118">
        <v>1368</v>
      </c>
      <c r="N118">
        <v>91022270</v>
      </c>
      <c r="O118" t="s">
        <v>371</v>
      </c>
      <c r="P118" t="s">
        <v>371</v>
      </c>
      <c r="Q118">
        <v>1</v>
      </c>
      <c r="X118">
        <v>0.36</v>
      </c>
      <c r="Y118">
        <v>0</v>
      </c>
      <c r="Z118">
        <v>99.89</v>
      </c>
      <c r="AA118">
        <v>10.06</v>
      </c>
      <c r="AB118">
        <v>0</v>
      </c>
      <c r="AC118">
        <v>0</v>
      </c>
      <c r="AD118">
        <v>1</v>
      </c>
      <c r="AE118">
        <v>0</v>
      </c>
      <c r="AG118">
        <v>0.36</v>
      </c>
      <c r="AH118">
        <v>2</v>
      </c>
      <c r="AI118">
        <v>966166300</v>
      </c>
      <c r="AJ118">
        <v>124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ROW(Source!A61)</f>
        <v>61</v>
      </c>
      <c r="B119">
        <v>966166301</v>
      </c>
      <c r="C119">
        <v>966165077</v>
      </c>
      <c r="D119">
        <v>338036985</v>
      </c>
      <c r="E119">
        <v>1</v>
      </c>
      <c r="F119">
        <v>1</v>
      </c>
      <c r="G119">
        <v>1</v>
      </c>
      <c r="H119">
        <v>2</v>
      </c>
      <c r="I119" t="s">
        <v>396</v>
      </c>
      <c r="J119" t="s">
        <v>397</v>
      </c>
      <c r="K119" t="s">
        <v>398</v>
      </c>
      <c r="L119">
        <v>1368</v>
      </c>
      <c r="N119">
        <v>91022270</v>
      </c>
      <c r="O119" t="s">
        <v>371</v>
      </c>
      <c r="P119" t="s">
        <v>371</v>
      </c>
      <c r="Q119">
        <v>1</v>
      </c>
      <c r="X119">
        <v>2.2999999999999998</v>
      </c>
      <c r="Y119">
        <v>0</v>
      </c>
      <c r="Z119">
        <v>31.26</v>
      </c>
      <c r="AA119">
        <v>13.5</v>
      </c>
      <c r="AB119">
        <v>0</v>
      </c>
      <c r="AC119">
        <v>0</v>
      </c>
      <c r="AD119">
        <v>1</v>
      </c>
      <c r="AE119">
        <v>0</v>
      </c>
      <c r="AG119">
        <v>2.2999999999999998</v>
      </c>
      <c r="AH119">
        <v>2</v>
      </c>
      <c r="AI119">
        <v>966166301</v>
      </c>
      <c r="AJ119">
        <v>125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ROW(Source!A61)</f>
        <v>61</v>
      </c>
      <c r="B120">
        <v>966166302</v>
      </c>
      <c r="C120">
        <v>966165077</v>
      </c>
      <c r="D120">
        <v>338039342</v>
      </c>
      <c r="E120">
        <v>1</v>
      </c>
      <c r="F120">
        <v>1</v>
      </c>
      <c r="G120">
        <v>1</v>
      </c>
      <c r="H120">
        <v>2</v>
      </c>
      <c r="I120" t="s">
        <v>381</v>
      </c>
      <c r="J120" t="s">
        <v>382</v>
      </c>
      <c r="K120" t="s">
        <v>383</v>
      </c>
      <c r="L120">
        <v>1368</v>
      </c>
      <c r="N120">
        <v>91022270</v>
      </c>
      <c r="O120" t="s">
        <v>371</v>
      </c>
      <c r="P120" t="s">
        <v>371</v>
      </c>
      <c r="Q120">
        <v>1</v>
      </c>
      <c r="X120">
        <v>0.28000000000000003</v>
      </c>
      <c r="Y120">
        <v>0</v>
      </c>
      <c r="Z120">
        <v>87.17</v>
      </c>
      <c r="AA120">
        <v>11.6</v>
      </c>
      <c r="AB120">
        <v>0</v>
      </c>
      <c r="AC120">
        <v>0</v>
      </c>
      <c r="AD120">
        <v>1</v>
      </c>
      <c r="AE120">
        <v>0</v>
      </c>
      <c r="AG120">
        <v>0.28000000000000003</v>
      </c>
      <c r="AH120">
        <v>2</v>
      </c>
      <c r="AI120">
        <v>966166302</v>
      </c>
      <c r="AJ120">
        <v>126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ROW(Source!A61)</f>
        <v>61</v>
      </c>
      <c r="B121">
        <v>966166303</v>
      </c>
      <c r="C121">
        <v>966165077</v>
      </c>
      <c r="D121">
        <v>337974428</v>
      </c>
      <c r="E121">
        <v>1</v>
      </c>
      <c r="F121">
        <v>1</v>
      </c>
      <c r="G121">
        <v>1</v>
      </c>
      <c r="H121">
        <v>3</v>
      </c>
      <c r="I121" t="s">
        <v>15</v>
      </c>
      <c r="J121" t="s">
        <v>434</v>
      </c>
      <c r="K121" t="s">
        <v>16</v>
      </c>
      <c r="L121">
        <v>369160830</v>
      </c>
      <c r="N121">
        <v>1005</v>
      </c>
      <c r="O121" t="s">
        <v>17</v>
      </c>
      <c r="P121" t="s">
        <v>17</v>
      </c>
      <c r="Q121">
        <v>1</v>
      </c>
      <c r="X121">
        <v>102</v>
      </c>
      <c r="Y121">
        <v>67.8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G121">
        <v>102</v>
      </c>
      <c r="AH121">
        <v>2</v>
      </c>
      <c r="AI121">
        <v>966166303</v>
      </c>
      <c r="AJ121">
        <v>127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ROW(Source!A61)</f>
        <v>61</v>
      </c>
      <c r="B122">
        <v>966166304</v>
      </c>
      <c r="C122">
        <v>966165077</v>
      </c>
      <c r="D122">
        <v>337972377</v>
      </c>
      <c r="E122">
        <v>1</v>
      </c>
      <c r="F122">
        <v>1</v>
      </c>
      <c r="G122">
        <v>1</v>
      </c>
      <c r="H122">
        <v>3</v>
      </c>
      <c r="I122" t="s">
        <v>18</v>
      </c>
      <c r="J122" t="s">
        <v>431</v>
      </c>
      <c r="K122" t="s">
        <v>19</v>
      </c>
      <c r="L122">
        <v>1339</v>
      </c>
      <c r="N122">
        <v>1007</v>
      </c>
      <c r="O122" t="s">
        <v>20</v>
      </c>
      <c r="P122" t="s">
        <v>20</v>
      </c>
      <c r="Q122">
        <v>1</v>
      </c>
      <c r="X122">
        <v>3.06</v>
      </c>
      <c r="Y122">
        <v>34.92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G122">
        <v>3.06</v>
      </c>
      <c r="AH122">
        <v>2</v>
      </c>
      <c r="AI122">
        <v>966166304</v>
      </c>
      <c r="AJ122">
        <v>128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ROW(Source!A61)</f>
        <v>61</v>
      </c>
      <c r="B123">
        <v>966166305</v>
      </c>
      <c r="C123">
        <v>966165077</v>
      </c>
      <c r="D123">
        <v>338009588</v>
      </c>
      <c r="E123">
        <v>1</v>
      </c>
      <c r="F123">
        <v>1</v>
      </c>
      <c r="G123">
        <v>1</v>
      </c>
      <c r="H123">
        <v>3</v>
      </c>
      <c r="I123" t="s">
        <v>31</v>
      </c>
      <c r="J123" t="s">
        <v>169</v>
      </c>
      <c r="K123" t="s">
        <v>32</v>
      </c>
      <c r="L123">
        <v>1339</v>
      </c>
      <c r="N123">
        <v>1007</v>
      </c>
      <c r="O123" t="s">
        <v>20</v>
      </c>
      <c r="P123" t="s">
        <v>20</v>
      </c>
      <c r="Q123">
        <v>1</v>
      </c>
      <c r="X123">
        <v>1.3</v>
      </c>
      <c r="Y123">
        <v>600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G123">
        <v>1.3</v>
      </c>
      <c r="AH123">
        <v>2</v>
      </c>
      <c r="AI123">
        <v>966166305</v>
      </c>
      <c r="AJ123">
        <v>129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ROW(Source!A61)</f>
        <v>61</v>
      </c>
      <c r="B124">
        <v>966166306</v>
      </c>
      <c r="C124">
        <v>966165077</v>
      </c>
      <c r="D124">
        <v>338014469</v>
      </c>
      <c r="E124">
        <v>1</v>
      </c>
      <c r="F124">
        <v>1</v>
      </c>
      <c r="G124">
        <v>1</v>
      </c>
      <c r="H124">
        <v>3</v>
      </c>
      <c r="I124" t="s">
        <v>33</v>
      </c>
      <c r="J124" t="s">
        <v>393</v>
      </c>
      <c r="K124" t="s">
        <v>34</v>
      </c>
      <c r="L124">
        <v>1339</v>
      </c>
      <c r="N124">
        <v>1007</v>
      </c>
      <c r="O124" t="s">
        <v>20</v>
      </c>
      <c r="P124" t="s">
        <v>20</v>
      </c>
      <c r="Q124">
        <v>1</v>
      </c>
      <c r="X124">
        <v>3.85</v>
      </c>
      <c r="Y124">
        <v>2.44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G124">
        <v>3.85</v>
      </c>
      <c r="AH124">
        <v>2</v>
      </c>
      <c r="AI124">
        <v>966166306</v>
      </c>
      <c r="AJ124">
        <v>130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ROW(Source!A62)</f>
        <v>62</v>
      </c>
      <c r="B125">
        <v>940001667</v>
      </c>
      <c r="C125">
        <v>940001666</v>
      </c>
      <c r="D125">
        <v>37775796</v>
      </c>
      <c r="E125">
        <v>1</v>
      </c>
      <c r="F125">
        <v>1</v>
      </c>
      <c r="G125">
        <v>1</v>
      </c>
      <c r="H125">
        <v>1</v>
      </c>
      <c r="I125" t="s">
        <v>435</v>
      </c>
      <c r="K125" t="s">
        <v>436</v>
      </c>
      <c r="L125">
        <v>1369</v>
      </c>
      <c r="N125">
        <v>1013</v>
      </c>
      <c r="O125" t="s">
        <v>365</v>
      </c>
      <c r="P125" t="s">
        <v>365</v>
      </c>
      <c r="Q125">
        <v>1</v>
      </c>
      <c r="X125">
        <v>12.8</v>
      </c>
      <c r="Y125">
        <v>0</v>
      </c>
      <c r="Z125">
        <v>0</v>
      </c>
      <c r="AA125">
        <v>0</v>
      </c>
      <c r="AB125">
        <v>9.2899999999999991</v>
      </c>
      <c r="AC125">
        <v>0</v>
      </c>
      <c r="AD125">
        <v>1</v>
      </c>
      <c r="AE125">
        <v>1</v>
      </c>
      <c r="AF125" t="s">
        <v>141</v>
      </c>
      <c r="AG125">
        <v>14.72</v>
      </c>
      <c r="AH125">
        <v>2</v>
      </c>
      <c r="AI125">
        <v>940001667</v>
      </c>
      <c r="AJ125">
        <v>131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ROW(Source!A62)</f>
        <v>62</v>
      </c>
      <c r="B126">
        <v>940001668</v>
      </c>
      <c r="C126">
        <v>940001666</v>
      </c>
      <c r="D126">
        <v>338038929</v>
      </c>
      <c r="E126">
        <v>1</v>
      </c>
      <c r="F126">
        <v>1</v>
      </c>
      <c r="G126">
        <v>1</v>
      </c>
      <c r="H126">
        <v>2</v>
      </c>
      <c r="I126" t="s">
        <v>437</v>
      </c>
      <c r="J126" t="s">
        <v>438</v>
      </c>
      <c r="K126" t="s">
        <v>439</v>
      </c>
      <c r="L126">
        <v>1368</v>
      </c>
      <c r="N126">
        <v>91022270</v>
      </c>
      <c r="O126" t="s">
        <v>371</v>
      </c>
      <c r="P126" t="s">
        <v>371</v>
      </c>
      <c r="Q126">
        <v>1</v>
      </c>
      <c r="X126">
        <v>9.3000000000000007</v>
      </c>
      <c r="Y126">
        <v>0</v>
      </c>
      <c r="Z126">
        <v>1.95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140</v>
      </c>
      <c r="AG126">
        <v>11.625</v>
      </c>
      <c r="AH126">
        <v>2</v>
      </c>
      <c r="AI126">
        <v>940001668</v>
      </c>
      <c r="AJ126">
        <v>132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ROW(Source!A62)</f>
        <v>62</v>
      </c>
      <c r="B127">
        <v>940001669</v>
      </c>
      <c r="C127">
        <v>940001666</v>
      </c>
      <c r="D127">
        <v>338039342</v>
      </c>
      <c r="E127">
        <v>1</v>
      </c>
      <c r="F127">
        <v>1</v>
      </c>
      <c r="G127">
        <v>1</v>
      </c>
      <c r="H127">
        <v>2</v>
      </c>
      <c r="I127" t="s">
        <v>381</v>
      </c>
      <c r="J127" t="s">
        <v>382</v>
      </c>
      <c r="K127" t="s">
        <v>383</v>
      </c>
      <c r="L127">
        <v>1368</v>
      </c>
      <c r="N127">
        <v>91022270</v>
      </c>
      <c r="O127" t="s">
        <v>371</v>
      </c>
      <c r="P127" t="s">
        <v>371</v>
      </c>
      <c r="Q127">
        <v>1</v>
      </c>
      <c r="X127">
        <v>0.05</v>
      </c>
      <c r="Y127">
        <v>0</v>
      </c>
      <c r="Z127">
        <v>87.17</v>
      </c>
      <c r="AA127">
        <v>11.6</v>
      </c>
      <c r="AB127">
        <v>0</v>
      </c>
      <c r="AC127">
        <v>0</v>
      </c>
      <c r="AD127">
        <v>1</v>
      </c>
      <c r="AE127">
        <v>0</v>
      </c>
      <c r="AF127" t="s">
        <v>140</v>
      </c>
      <c r="AG127">
        <v>6.25E-2</v>
      </c>
      <c r="AH127">
        <v>2</v>
      </c>
      <c r="AI127">
        <v>940001669</v>
      </c>
      <c r="AJ127">
        <v>133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ROW(Source!A62)</f>
        <v>62</v>
      </c>
      <c r="B128">
        <v>940001670</v>
      </c>
      <c r="C128">
        <v>940001666</v>
      </c>
      <c r="D128">
        <v>337979104</v>
      </c>
      <c r="E128">
        <v>1</v>
      </c>
      <c r="F128">
        <v>1</v>
      </c>
      <c r="G128">
        <v>1</v>
      </c>
      <c r="H128">
        <v>3</v>
      </c>
      <c r="I128" t="s">
        <v>24</v>
      </c>
      <c r="J128" t="s">
        <v>440</v>
      </c>
      <c r="K128" t="s">
        <v>25</v>
      </c>
      <c r="L128">
        <v>1348</v>
      </c>
      <c r="N128">
        <v>39568864</v>
      </c>
      <c r="O128" t="s">
        <v>26</v>
      </c>
      <c r="P128" t="s">
        <v>26</v>
      </c>
      <c r="Q128">
        <v>1000</v>
      </c>
      <c r="X128">
        <v>7.5000000000000002E-4</v>
      </c>
      <c r="Y128">
        <v>12429.99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G128">
        <v>7.5000000000000002E-4</v>
      </c>
      <c r="AH128">
        <v>2</v>
      </c>
      <c r="AI128">
        <v>940001670</v>
      </c>
      <c r="AJ128">
        <v>134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ROW(Source!A62)</f>
        <v>62</v>
      </c>
      <c r="B129">
        <v>940001671</v>
      </c>
      <c r="C129">
        <v>940001666</v>
      </c>
      <c r="D129">
        <v>337993510</v>
      </c>
      <c r="E129">
        <v>1</v>
      </c>
      <c r="F129">
        <v>1</v>
      </c>
      <c r="G129">
        <v>1</v>
      </c>
      <c r="H129">
        <v>3</v>
      </c>
      <c r="I129" t="s">
        <v>27</v>
      </c>
      <c r="J129" t="s">
        <v>441</v>
      </c>
      <c r="K129" t="s">
        <v>28</v>
      </c>
      <c r="L129">
        <v>1348</v>
      </c>
      <c r="N129">
        <v>39568864</v>
      </c>
      <c r="O129" t="s">
        <v>26</v>
      </c>
      <c r="P129" t="s">
        <v>26</v>
      </c>
      <c r="Q129">
        <v>1000</v>
      </c>
      <c r="X129">
        <v>4.0000000000000001E-3</v>
      </c>
      <c r="Y129">
        <v>6820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G129">
        <v>4.0000000000000001E-3</v>
      </c>
      <c r="AH129">
        <v>2</v>
      </c>
      <c r="AI129">
        <v>940001671</v>
      </c>
      <c r="AJ129">
        <v>135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ROW(Source!A62)</f>
        <v>62</v>
      </c>
      <c r="B130">
        <v>940001672</v>
      </c>
      <c r="C130">
        <v>940001666</v>
      </c>
      <c r="D130">
        <v>337992350</v>
      </c>
      <c r="E130">
        <v>1</v>
      </c>
      <c r="F130">
        <v>1</v>
      </c>
      <c r="G130">
        <v>1</v>
      </c>
      <c r="H130">
        <v>3</v>
      </c>
      <c r="I130" t="s">
        <v>192</v>
      </c>
      <c r="J130" t="s">
        <v>194</v>
      </c>
      <c r="K130" t="s">
        <v>193</v>
      </c>
      <c r="L130">
        <v>1348</v>
      </c>
      <c r="N130">
        <v>39568864</v>
      </c>
      <c r="O130" t="s">
        <v>26</v>
      </c>
      <c r="P130" t="s">
        <v>26</v>
      </c>
      <c r="Q130">
        <v>1000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G130">
        <v>0</v>
      </c>
      <c r="AH130">
        <v>2</v>
      </c>
      <c r="AI130">
        <v>940001672</v>
      </c>
      <c r="AJ130">
        <v>136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ROW(Source!A63)</f>
        <v>63</v>
      </c>
      <c r="B131">
        <v>940001667</v>
      </c>
      <c r="C131">
        <v>940001666</v>
      </c>
      <c r="D131">
        <v>37775796</v>
      </c>
      <c r="E131">
        <v>1</v>
      </c>
      <c r="F131">
        <v>1</v>
      </c>
      <c r="G131">
        <v>1</v>
      </c>
      <c r="H131">
        <v>1</v>
      </c>
      <c r="I131" t="s">
        <v>435</v>
      </c>
      <c r="K131" t="s">
        <v>436</v>
      </c>
      <c r="L131">
        <v>1369</v>
      </c>
      <c r="N131">
        <v>1013</v>
      </c>
      <c r="O131" t="s">
        <v>365</v>
      </c>
      <c r="P131" t="s">
        <v>365</v>
      </c>
      <c r="Q131">
        <v>1</v>
      </c>
      <c r="X131">
        <v>12.8</v>
      </c>
      <c r="Y131">
        <v>0</v>
      </c>
      <c r="Z131">
        <v>0</v>
      </c>
      <c r="AA131">
        <v>0</v>
      </c>
      <c r="AB131">
        <v>9.2899999999999991</v>
      </c>
      <c r="AC131">
        <v>0</v>
      </c>
      <c r="AD131">
        <v>1</v>
      </c>
      <c r="AE131">
        <v>1</v>
      </c>
      <c r="AF131" t="s">
        <v>141</v>
      </c>
      <c r="AG131">
        <v>14.72</v>
      </c>
      <c r="AH131">
        <v>2</v>
      </c>
      <c r="AI131">
        <v>940001667</v>
      </c>
      <c r="AJ131">
        <v>137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ROW(Source!A63)</f>
        <v>63</v>
      </c>
      <c r="B132">
        <v>940001668</v>
      </c>
      <c r="C132">
        <v>940001666</v>
      </c>
      <c r="D132">
        <v>338038929</v>
      </c>
      <c r="E132">
        <v>1</v>
      </c>
      <c r="F132">
        <v>1</v>
      </c>
      <c r="G132">
        <v>1</v>
      </c>
      <c r="H132">
        <v>2</v>
      </c>
      <c r="I132" t="s">
        <v>437</v>
      </c>
      <c r="J132" t="s">
        <v>438</v>
      </c>
      <c r="K132" t="s">
        <v>439</v>
      </c>
      <c r="L132">
        <v>1368</v>
      </c>
      <c r="N132">
        <v>91022270</v>
      </c>
      <c r="O132" t="s">
        <v>371</v>
      </c>
      <c r="P132" t="s">
        <v>371</v>
      </c>
      <c r="Q132">
        <v>1</v>
      </c>
      <c r="X132">
        <v>9.3000000000000007</v>
      </c>
      <c r="Y132">
        <v>0</v>
      </c>
      <c r="Z132">
        <v>1.95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140</v>
      </c>
      <c r="AG132">
        <v>11.625</v>
      </c>
      <c r="AH132">
        <v>2</v>
      </c>
      <c r="AI132">
        <v>940001668</v>
      </c>
      <c r="AJ132">
        <v>138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ROW(Source!A63)</f>
        <v>63</v>
      </c>
      <c r="B133">
        <v>940001669</v>
      </c>
      <c r="C133">
        <v>940001666</v>
      </c>
      <c r="D133">
        <v>338039342</v>
      </c>
      <c r="E133">
        <v>1</v>
      </c>
      <c r="F133">
        <v>1</v>
      </c>
      <c r="G133">
        <v>1</v>
      </c>
      <c r="H133">
        <v>2</v>
      </c>
      <c r="I133" t="s">
        <v>381</v>
      </c>
      <c r="J133" t="s">
        <v>382</v>
      </c>
      <c r="K133" t="s">
        <v>383</v>
      </c>
      <c r="L133">
        <v>1368</v>
      </c>
      <c r="N133">
        <v>91022270</v>
      </c>
      <c r="O133" t="s">
        <v>371</v>
      </c>
      <c r="P133" t="s">
        <v>371</v>
      </c>
      <c r="Q133">
        <v>1</v>
      </c>
      <c r="X133">
        <v>0.05</v>
      </c>
      <c r="Y133">
        <v>0</v>
      </c>
      <c r="Z133">
        <v>87.17</v>
      </c>
      <c r="AA133">
        <v>11.6</v>
      </c>
      <c r="AB133">
        <v>0</v>
      </c>
      <c r="AC133">
        <v>0</v>
      </c>
      <c r="AD133">
        <v>1</v>
      </c>
      <c r="AE133">
        <v>0</v>
      </c>
      <c r="AF133" t="s">
        <v>140</v>
      </c>
      <c r="AG133">
        <v>6.25E-2</v>
      </c>
      <c r="AH133">
        <v>2</v>
      </c>
      <c r="AI133">
        <v>940001669</v>
      </c>
      <c r="AJ133">
        <v>139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ROW(Source!A63)</f>
        <v>63</v>
      </c>
      <c r="B134">
        <v>940001670</v>
      </c>
      <c r="C134">
        <v>940001666</v>
      </c>
      <c r="D134">
        <v>337979104</v>
      </c>
      <c r="E134">
        <v>1</v>
      </c>
      <c r="F134">
        <v>1</v>
      </c>
      <c r="G134">
        <v>1</v>
      </c>
      <c r="H134">
        <v>3</v>
      </c>
      <c r="I134" t="s">
        <v>24</v>
      </c>
      <c r="J134" t="s">
        <v>440</v>
      </c>
      <c r="K134" t="s">
        <v>25</v>
      </c>
      <c r="L134">
        <v>1348</v>
      </c>
      <c r="N134">
        <v>39568864</v>
      </c>
      <c r="O134" t="s">
        <v>26</v>
      </c>
      <c r="P134" t="s">
        <v>26</v>
      </c>
      <c r="Q134">
        <v>1000</v>
      </c>
      <c r="X134">
        <v>7.5000000000000002E-4</v>
      </c>
      <c r="Y134">
        <v>12429.99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G134">
        <v>7.5000000000000002E-4</v>
      </c>
      <c r="AH134">
        <v>2</v>
      </c>
      <c r="AI134">
        <v>940001670</v>
      </c>
      <c r="AJ134">
        <v>140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ROW(Source!A63)</f>
        <v>63</v>
      </c>
      <c r="B135">
        <v>940001671</v>
      </c>
      <c r="C135">
        <v>940001666</v>
      </c>
      <c r="D135">
        <v>337993510</v>
      </c>
      <c r="E135">
        <v>1</v>
      </c>
      <c r="F135">
        <v>1</v>
      </c>
      <c r="G135">
        <v>1</v>
      </c>
      <c r="H135">
        <v>3</v>
      </c>
      <c r="I135" t="s">
        <v>27</v>
      </c>
      <c r="J135" t="s">
        <v>441</v>
      </c>
      <c r="K135" t="s">
        <v>28</v>
      </c>
      <c r="L135">
        <v>1348</v>
      </c>
      <c r="N135">
        <v>39568864</v>
      </c>
      <c r="O135" t="s">
        <v>26</v>
      </c>
      <c r="P135" t="s">
        <v>26</v>
      </c>
      <c r="Q135">
        <v>1000</v>
      </c>
      <c r="X135">
        <v>4.0000000000000001E-3</v>
      </c>
      <c r="Y135">
        <v>6820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G135">
        <v>4.0000000000000001E-3</v>
      </c>
      <c r="AH135">
        <v>2</v>
      </c>
      <c r="AI135">
        <v>940001671</v>
      </c>
      <c r="AJ135">
        <v>141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ROW(Source!A63)</f>
        <v>63</v>
      </c>
      <c r="B136">
        <v>940001672</v>
      </c>
      <c r="C136">
        <v>940001666</v>
      </c>
      <c r="D136">
        <v>337992350</v>
      </c>
      <c r="E136">
        <v>1</v>
      </c>
      <c r="F136">
        <v>1</v>
      </c>
      <c r="G136">
        <v>1</v>
      </c>
      <c r="H136">
        <v>3</v>
      </c>
      <c r="I136" t="s">
        <v>192</v>
      </c>
      <c r="J136" t="s">
        <v>194</v>
      </c>
      <c r="K136" t="s">
        <v>193</v>
      </c>
      <c r="L136">
        <v>1348</v>
      </c>
      <c r="N136">
        <v>39568864</v>
      </c>
      <c r="O136" t="s">
        <v>26</v>
      </c>
      <c r="P136" t="s">
        <v>26</v>
      </c>
      <c r="Q136">
        <v>1000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G136">
        <v>0</v>
      </c>
      <c r="AH136">
        <v>2</v>
      </c>
      <c r="AI136">
        <v>940001672</v>
      </c>
      <c r="AJ136">
        <v>142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ROW(Source!A68)</f>
        <v>68</v>
      </c>
      <c r="B137">
        <v>940014175</v>
      </c>
      <c r="C137">
        <v>940014126</v>
      </c>
      <c r="D137">
        <v>37777120</v>
      </c>
      <c r="E137">
        <v>1</v>
      </c>
      <c r="F137">
        <v>1</v>
      </c>
      <c r="G137">
        <v>1</v>
      </c>
      <c r="H137">
        <v>1</v>
      </c>
      <c r="I137" t="s">
        <v>442</v>
      </c>
      <c r="K137" t="s">
        <v>443</v>
      </c>
      <c r="L137">
        <v>1369</v>
      </c>
      <c r="N137">
        <v>1013</v>
      </c>
      <c r="O137" t="s">
        <v>365</v>
      </c>
      <c r="P137" t="s">
        <v>365</v>
      </c>
      <c r="Q137">
        <v>1</v>
      </c>
      <c r="X137">
        <v>0.57769999999999999</v>
      </c>
      <c r="Y137">
        <v>0</v>
      </c>
      <c r="Z137">
        <v>0</v>
      </c>
      <c r="AA137">
        <v>0</v>
      </c>
      <c r="AB137">
        <v>7.19</v>
      </c>
      <c r="AC137">
        <v>0</v>
      </c>
      <c r="AD137">
        <v>1</v>
      </c>
      <c r="AE137">
        <v>1</v>
      </c>
      <c r="AG137">
        <v>0.57769999999999999</v>
      </c>
      <c r="AH137">
        <v>2</v>
      </c>
      <c r="AI137">
        <v>940014175</v>
      </c>
      <c r="AJ137">
        <v>143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ROW(Source!A68)</f>
        <v>68</v>
      </c>
      <c r="B138">
        <v>940014176</v>
      </c>
      <c r="C138">
        <v>940014126</v>
      </c>
      <c r="D138">
        <v>338039353</v>
      </c>
      <c r="E138">
        <v>1</v>
      </c>
      <c r="F138">
        <v>1</v>
      </c>
      <c r="G138">
        <v>1</v>
      </c>
      <c r="H138">
        <v>2</v>
      </c>
      <c r="I138" t="s">
        <v>444</v>
      </c>
      <c r="J138" t="s">
        <v>445</v>
      </c>
      <c r="K138" t="s">
        <v>446</v>
      </c>
      <c r="L138">
        <v>1368</v>
      </c>
      <c r="N138">
        <v>91022270</v>
      </c>
      <c r="O138" t="s">
        <v>371</v>
      </c>
      <c r="P138" t="s">
        <v>371</v>
      </c>
      <c r="Q138">
        <v>1</v>
      </c>
      <c r="X138">
        <v>0.28999999999999998</v>
      </c>
      <c r="Y138">
        <v>0</v>
      </c>
      <c r="Z138">
        <v>111</v>
      </c>
      <c r="AA138">
        <v>11.6</v>
      </c>
      <c r="AB138">
        <v>0</v>
      </c>
      <c r="AC138">
        <v>0</v>
      </c>
      <c r="AD138">
        <v>1</v>
      </c>
      <c r="AE138">
        <v>0</v>
      </c>
      <c r="AG138">
        <v>0.28999999999999998</v>
      </c>
      <c r="AH138">
        <v>2</v>
      </c>
      <c r="AI138">
        <v>940014176</v>
      </c>
      <c r="AJ138">
        <v>144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ROW(Source!A69)</f>
        <v>69</v>
      </c>
      <c r="B139">
        <v>940014175</v>
      </c>
      <c r="C139">
        <v>940014126</v>
      </c>
      <c r="D139">
        <v>37777120</v>
      </c>
      <c r="E139">
        <v>1</v>
      </c>
      <c r="F139">
        <v>1</v>
      </c>
      <c r="G139">
        <v>1</v>
      </c>
      <c r="H139">
        <v>1</v>
      </c>
      <c r="I139" t="s">
        <v>442</v>
      </c>
      <c r="K139" t="s">
        <v>443</v>
      </c>
      <c r="L139">
        <v>1369</v>
      </c>
      <c r="N139">
        <v>1013</v>
      </c>
      <c r="O139" t="s">
        <v>365</v>
      </c>
      <c r="P139" t="s">
        <v>365</v>
      </c>
      <c r="Q139">
        <v>1</v>
      </c>
      <c r="X139">
        <v>0.57769999999999999</v>
      </c>
      <c r="Y139">
        <v>0</v>
      </c>
      <c r="Z139">
        <v>0</v>
      </c>
      <c r="AA139">
        <v>0</v>
      </c>
      <c r="AB139">
        <v>7.19</v>
      </c>
      <c r="AC139">
        <v>0</v>
      </c>
      <c r="AD139">
        <v>1</v>
      </c>
      <c r="AE139">
        <v>1</v>
      </c>
      <c r="AG139">
        <v>0.57769999999999999</v>
      </c>
      <c r="AH139">
        <v>2</v>
      </c>
      <c r="AI139">
        <v>940014175</v>
      </c>
      <c r="AJ139">
        <v>145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ROW(Source!A69)</f>
        <v>69</v>
      </c>
      <c r="B140">
        <v>940014176</v>
      </c>
      <c r="C140">
        <v>940014126</v>
      </c>
      <c r="D140">
        <v>338039353</v>
      </c>
      <c r="E140">
        <v>1</v>
      </c>
      <c r="F140">
        <v>1</v>
      </c>
      <c r="G140">
        <v>1</v>
      </c>
      <c r="H140">
        <v>2</v>
      </c>
      <c r="I140" t="s">
        <v>444</v>
      </c>
      <c r="J140" t="s">
        <v>445</v>
      </c>
      <c r="K140" t="s">
        <v>446</v>
      </c>
      <c r="L140">
        <v>1368</v>
      </c>
      <c r="N140">
        <v>91022270</v>
      </c>
      <c r="O140" t="s">
        <v>371</v>
      </c>
      <c r="P140" t="s">
        <v>371</v>
      </c>
      <c r="Q140">
        <v>1</v>
      </c>
      <c r="X140">
        <v>0.28999999999999998</v>
      </c>
      <c r="Y140">
        <v>0</v>
      </c>
      <c r="Z140">
        <v>111</v>
      </c>
      <c r="AA140">
        <v>11.6</v>
      </c>
      <c r="AB140">
        <v>0</v>
      </c>
      <c r="AC140">
        <v>0</v>
      </c>
      <c r="AD140">
        <v>1</v>
      </c>
      <c r="AE140">
        <v>0</v>
      </c>
      <c r="AG140">
        <v>0.28999999999999998</v>
      </c>
      <c r="AH140">
        <v>2</v>
      </c>
      <c r="AI140">
        <v>940014176</v>
      </c>
      <c r="AJ140">
        <v>146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ROW(Source!A70)</f>
        <v>70</v>
      </c>
      <c r="B141">
        <v>940019089</v>
      </c>
      <c r="C141">
        <v>940017250</v>
      </c>
      <c r="D141">
        <v>338039345</v>
      </c>
      <c r="E141">
        <v>1</v>
      </c>
      <c r="F141">
        <v>1</v>
      </c>
      <c r="G141">
        <v>1</v>
      </c>
      <c r="H141">
        <v>2</v>
      </c>
      <c r="I141" t="s">
        <v>447</v>
      </c>
      <c r="J141" t="s">
        <v>448</v>
      </c>
      <c r="K141" t="s">
        <v>449</v>
      </c>
      <c r="L141">
        <v>1368</v>
      </c>
      <c r="N141">
        <v>91022270</v>
      </c>
      <c r="O141" t="s">
        <v>371</v>
      </c>
      <c r="P141" t="s">
        <v>371</v>
      </c>
      <c r="Q141">
        <v>1</v>
      </c>
      <c r="X141">
        <v>0.1447</v>
      </c>
      <c r="Y141">
        <v>0</v>
      </c>
      <c r="Z141">
        <v>117.92</v>
      </c>
      <c r="AA141">
        <v>13.5</v>
      </c>
      <c r="AB141">
        <v>0</v>
      </c>
      <c r="AC141">
        <v>0</v>
      </c>
      <c r="AD141">
        <v>1</v>
      </c>
      <c r="AE141">
        <v>0</v>
      </c>
      <c r="AG141">
        <v>0.1447</v>
      </c>
      <c r="AH141">
        <v>2</v>
      </c>
      <c r="AI141">
        <v>940019089</v>
      </c>
      <c r="AJ141">
        <v>147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ROW(Source!A71)</f>
        <v>71</v>
      </c>
      <c r="B142">
        <v>940019089</v>
      </c>
      <c r="C142">
        <v>940017250</v>
      </c>
      <c r="D142">
        <v>338039345</v>
      </c>
      <c r="E142">
        <v>1</v>
      </c>
      <c r="F142">
        <v>1</v>
      </c>
      <c r="G142">
        <v>1</v>
      </c>
      <c r="H142">
        <v>2</v>
      </c>
      <c r="I142" t="s">
        <v>447</v>
      </c>
      <c r="J142" t="s">
        <v>448</v>
      </c>
      <c r="K142" t="s">
        <v>449</v>
      </c>
      <c r="L142">
        <v>1368</v>
      </c>
      <c r="N142">
        <v>91022270</v>
      </c>
      <c r="O142" t="s">
        <v>371</v>
      </c>
      <c r="P142" t="s">
        <v>371</v>
      </c>
      <c r="Q142">
        <v>1</v>
      </c>
      <c r="X142">
        <v>0.1447</v>
      </c>
      <c r="Y142">
        <v>0</v>
      </c>
      <c r="Z142">
        <v>117.92</v>
      </c>
      <c r="AA142">
        <v>13.5</v>
      </c>
      <c r="AB142">
        <v>0</v>
      </c>
      <c r="AC142">
        <v>0</v>
      </c>
      <c r="AD142">
        <v>1</v>
      </c>
      <c r="AE142">
        <v>0</v>
      </c>
      <c r="AG142">
        <v>0.1447</v>
      </c>
      <c r="AH142">
        <v>2</v>
      </c>
      <c r="AI142">
        <v>940019089</v>
      </c>
      <c r="AJ142">
        <v>148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</sheetData>
  <printOptions gridLines="1"/>
  <pageMargins left="0.75" right="0.75" top="1" bottom="1" header="0.5" footer="0.5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8"/>
  <sheetViews>
    <sheetView zoomScaleNormal="100" workbookViewId="0"/>
  </sheetViews>
  <sheetFormatPr defaultRowHeight="12.75" x14ac:dyDescent="0.2"/>
  <cols>
    <col min="1" max="1025" width="11.42578125"/>
  </cols>
  <sheetData>
    <row r="1" spans="1:23" x14ac:dyDescent="0.2">
      <c r="A1" t="s">
        <v>453</v>
      </c>
      <c r="B1" t="s">
        <v>454</v>
      </c>
      <c r="C1" t="s">
        <v>455</v>
      </c>
      <c r="D1" t="s">
        <v>456</v>
      </c>
      <c r="E1" t="s">
        <v>457</v>
      </c>
      <c r="F1" t="s">
        <v>458</v>
      </c>
      <c r="G1" t="s">
        <v>459</v>
      </c>
      <c r="H1" t="s">
        <v>460</v>
      </c>
      <c r="I1" t="s">
        <v>461</v>
      </c>
      <c r="J1" t="s">
        <v>462</v>
      </c>
    </row>
    <row r="2" spans="1:23" x14ac:dyDescent="0.2">
      <c r="A2">
        <v>1</v>
      </c>
      <c r="B2">
        <v>0</v>
      </c>
      <c r="C2">
        <v>0</v>
      </c>
      <c r="D2">
        <v>1</v>
      </c>
      <c r="E2">
        <v>1</v>
      </c>
      <c r="F2">
        <v>1</v>
      </c>
      <c r="G2">
        <v>1</v>
      </c>
      <c r="H2">
        <v>0</v>
      </c>
      <c r="I2">
        <v>1</v>
      </c>
      <c r="J2">
        <v>0</v>
      </c>
    </row>
    <row r="4" spans="1:23" x14ac:dyDescent="0.2">
      <c r="A4" t="s">
        <v>463</v>
      </c>
      <c r="B4" t="s">
        <v>464</v>
      </c>
      <c r="C4" t="s">
        <v>465</v>
      </c>
      <c r="D4" t="s">
        <v>466</v>
      </c>
      <c r="E4" t="s">
        <v>467</v>
      </c>
      <c r="F4" t="s">
        <v>468</v>
      </c>
      <c r="G4" t="s">
        <v>469</v>
      </c>
      <c r="H4" t="s">
        <v>470</v>
      </c>
      <c r="I4" t="s">
        <v>471</v>
      </c>
      <c r="J4" t="s">
        <v>472</v>
      </c>
      <c r="K4" t="s">
        <v>473</v>
      </c>
      <c r="L4" t="s">
        <v>474</v>
      </c>
      <c r="M4" t="s">
        <v>475</v>
      </c>
      <c r="N4" t="s">
        <v>476</v>
      </c>
      <c r="O4" t="s">
        <v>477</v>
      </c>
      <c r="P4" t="s">
        <v>478</v>
      </c>
      <c r="Q4" t="s">
        <v>479</v>
      </c>
      <c r="R4" t="s">
        <v>480</v>
      </c>
      <c r="S4" t="s">
        <v>481</v>
      </c>
      <c r="T4" t="s">
        <v>482</v>
      </c>
      <c r="U4" t="s">
        <v>483</v>
      </c>
      <c r="V4" t="s">
        <v>484</v>
      </c>
      <c r="W4" t="s">
        <v>485</v>
      </c>
    </row>
    <row r="6" spans="1:23" x14ac:dyDescent="0.2">
      <c r="A6">
        <f>Source!A20</f>
        <v>3</v>
      </c>
      <c r="B6">
        <v>20</v>
      </c>
      <c r="G6" t="str">
        <f>Source!G20</f>
        <v>Ремонт ступеней</v>
      </c>
    </row>
    <row r="7" spans="1:23" x14ac:dyDescent="0.2">
      <c r="A7">
        <f>Source!A39</f>
        <v>17</v>
      </c>
      <c r="C7">
        <v>3</v>
      </c>
      <c r="D7">
        <v>0</v>
      </c>
      <c r="E7">
        <f>SmtRes!AV66</f>
        <v>0</v>
      </c>
      <c r="F7" t="str">
        <f>IF(SmtRes!I66&lt;&gt;"",SmtRes!I66,"")</f>
        <v>411-0001</v>
      </c>
      <c r="G7" t="str">
        <f>IF(SmtRes!K66&lt;&gt;"",SmtRes!K66,"")</f>
        <v>Вода</v>
      </c>
      <c r="H7" t="str">
        <f>IF(SmtRes!O66&lt;&gt;"",SmtRes!O66,"")</f>
        <v>м3</v>
      </c>
      <c r="I7">
        <f>SmtRes!Y66*Source!I39</f>
        <v>1.8655000000000002</v>
      </c>
      <c r="J7">
        <f>SmtRes!AO66</f>
        <v>1</v>
      </c>
      <c r="K7">
        <f>SmtRes!AE66</f>
        <v>2.44</v>
      </c>
      <c r="L7">
        <f>SmtRes!DB66</f>
        <v>8.5399999999999991</v>
      </c>
      <c r="M7">
        <f>ROUND(ROUND(L7*Source!I39,6)*1,2)</f>
        <v>4.55</v>
      </c>
      <c r="N7">
        <f>SmtRes!AA66</f>
        <v>22.2</v>
      </c>
      <c r="O7">
        <f>ROUND(ROUND(L7*Source!I39,6)*SmtRes!DA66,2)</f>
        <v>41.42</v>
      </c>
      <c r="P7">
        <f>SmtRes!AG66</f>
        <v>0</v>
      </c>
      <c r="Q7">
        <f>SmtRes!DC66</f>
        <v>0</v>
      </c>
      <c r="R7">
        <f>ROUND(ROUND(Q7*Source!I39,6)*1,2)</f>
        <v>0</v>
      </c>
      <c r="S7">
        <f>SmtRes!AC66</f>
        <v>0</v>
      </c>
      <c r="T7">
        <f>ROUND(ROUND(Q7*Source!I39,6)*SmtRes!AK66,2)</f>
        <v>0</v>
      </c>
      <c r="U7">
        <f>SmtRes!X66</f>
        <v>619799737</v>
      </c>
      <c r="V7">
        <v>1962984545</v>
      </c>
      <c r="W7">
        <v>146831223</v>
      </c>
    </row>
    <row r="8" spans="1:23" x14ac:dyDescent="0.2">
      <c r="A8">
        <f>Source!A43</f>
        <v>18</v>
      </c>
      <c r="C8">
        <v>3</v>
      </c>
      <c r="D8">
        <f>Source!BI43</f>
        <v>1</v>
      </c>
      <c r="E8">
        <f>Source!FS43</f>
        <v>0</v>
      </c>
      <c r="F8" t="str">
        <f>IF(Source!F43&lt;&gt;"",Source!F43,"")</f>
        <v>401-0091</v>
      </c>
      <c r="G8" t="str">
        <f>IF(Source!G43&lt;&gt;"",Source!G43,"")</f>
        <v>Бетон тяжелый, крупность заполнителя 10 мм, класс В30 (М400)</v>
      </c>
      <c r="H8" t="str">
        <f>IF(Source!H43&lt;&gt;"",Source!H43,"")</f>
        <v>м3</v>
      </c>
      <c r="I8">
        <f>Source!I43</f>
        <v>1.0873200000000001</v>
      </c>
      <c r="J8">
        <v>1</v>
      </c>
      <c r="K8">
        <f>Source!AC43</f>
        <v>853.35</v>
      </c>
      <c r="M8">
        <f>ROUND(K8*I8,2)</f>
        <v>927.86</v>
      </c>
      <c r="N8">
        <f>Source!AC43*IF(Source!BC43&lt;&gt;0,Source!BC43,1)</f>
        <v>5555.3085000000001</v>
      </c>
      <c r="O8">
        <f>ROUND(N8*I8,2)</f>
        <v>6040.4</v>
      </c>
      <c r="P8">
        <f>Source!AE43</f>
        <v>0</v>
      </c>
      <c r="R8">
        <f>ROUND(P8*I8,2)</f>
        <v>0</v>
      </c>
      <c r="S8">
        <f>Source!AE43*IF(Source!BS43&lt;&gt;0,Source!BS43,1)</f>
        <v>0</v>
      </c>
      <c r="T8">
        <f>ROUND(S8*I8,2)</f>
        <v>0</v>
      </c>
      <c r="U8">
        <f>Source!GF43</f>
        <v>-1842439743</v>
      </c>
      <c r="V8">
        <v>-1905837483</v>
      </c>
      <c r="W8">
        <v>2006146236</v>
      </c>
    </row>
    <row r="9" spans="1:23" x14ac:dyDescent="0.2">
      <c r="A9">
        <f>Source!A45</f>
        <v>17</v>
      </c>
      <c r="C9">
        <v>3</v>
      </c>
      <c r="D9">
        <v>0</v>
      </c>
      <c r="E9">
        <f>SmtRes!AV80</f>
        <v>0</v>
      </c>
      <c r="F9" t="str">
        <f>IF(SmtRes!I80&lt;&gt;"",SmtRes!I80,"")</f>
        <v>411-0001</v>
      </c>
      <c r="G9" t="str">
        <f>IF(SmtRes!K80&lt;&gt;"",SmtRes!K80,"")</f>
        <v>Вода</v>
      </c>
      <c r="H9" t="str">
        <f>IF(SmtRes!O80&lt;&gt;"",SmtRes!O80,"")</f>
        <v>м3</v>
      </c>
      <c r="I9">
        <f>SmtRes!Y80*Source!I45</f>
        <v>5.3300000000000005E-3</v>
      </c>
      <c r="J9">
        <f>SmtRes!AO80</f>
        <v>1</v>
      </c>
      <c r="K9">
        <f>SmtRes!AE80</f>
        <v>2.44</v>
      </c>
      <c r="L9">
        <f>SmtRes!DB80</f>
        <v>0.02</v>
      </c>
      <c r="M9">
        <f>ROUND(ROUND(L9*Source!I45,6)*1,2)</f>
        <v>0.01</v>
      </c>
      <c r="N9">
        <f>SmtRes!AA80</f>
        <v>22.2</v>
      </c>
      <c r="O9">
        <f>ROUND(ROUND(L9*Source!I45,6)*SmtRes!DA80,2)</f>
        <v>0.1</v>
      </c>
      <c r="P9">
        <f>SmtRes!AG80</f>
        <v>0</v>
      </c>
      <c r="Q9">
        <f>SmtRes!DC80</f>
        <v>0</v>
      </c>
      <c r="R9">
        <f>ROUND(ROUND(Q9*Source!I45,6)*1,2)</f>
        <v>0</v>
      </c>
      <c r="S9">
        <f>SmtRes!AC80</f>
        <v>0</v>
      </c>
      <c r="T9">
        <f>ROUND(ROUND(Q9*Source!I45,6)*SmtRes!AK80,2)</f>
        <v>0</v>
      </c>
      <c r="U9">
        <f>SmtRes!X80</f>
        <v>619799737</v>
      </c>
      <c r="V9">
        <v>1962984545</v>
      </c>
      <c r="W9">
        <v>146831223</v>
      </c>
    </row>
    <row r="10" spans="1:23" x14ac:dyDescent="0.2">
      <c r="A10">
        <f>Source!A45</f>
        <v>17</v>
      </c>
      <c r="C10">
        <v>3</v>
      </c>
      <c r="D10">
        <v>0</v>
      </c>
      <c r="E10">
        <f>SmtRes!AV79</f>
        <v>0</v>
      </c>
      <c r="F10" t="str">
        <f>IF(SmtRes!I79&lt;&gt;"",SmtRes!I79,"")</f>
        <v>101-1757</v>
      </c>
      <c r="G10" t="str">
        <f>IF(SmtRes!K79&lt;&gt;"",SmtRes!K79,"")</f>
        <v>Ветошь</v>
      </c>
      <c r="H10" t="str">
        <f>IF(SmtRes!O79&lt;&gt;"",SmtRes!O79,"")</f>
        <v>кг</v>
      </c>
      <c r="I10">
        <f>SmtRes!Y79*Source!I45</f>
        <v>0.53300000000000003</v>
      </c>
      <c r="J10">
        <f>SmtRes!AO79</f>
        <v>1</v>
      </c>
      <c r="K10">
        <f>SmtRes!AE79</f>
        <v>1.81</v>
      </c>
      <c r="L10">
        <f>SmtRes!DB79</f>
        <v>1.81</v>
      </c>
      <c r="M10">
        <f>ROUND(ROUND(L10*Source!I45,6)*1,2)</f>
        <v>0.96</v>
      </c>
      <c r="N10">
        <f>SmtRes!AA79</f>
        <v>46.61</v>
      </c>
      <c r="O10">
        <f>ROUND(ROUND(L10*Source!I45,6)*SmtRes!DA79,2)</f>
        <v>24.84</v>
      </c>
      <c r="P10">
        <f>SmtRes!AG79</f>
        <v>0</v>
      </c>
      <c r="Q10">
        <f>SmtRes!DC79</f>
        <v>0</v>
      </c>
      <c r="R10">
        <f>ROUND(ROUND(Q10*Source!I45,6)*1,2)</f>
        <v>0</v>
      </c>
      <c r="S10">
        <f>SmtRes!AC79</f>
        <v>0</v>
      </c>
      <c r="T10">
        <f>ROUND(ROUND(Q10*Source!I45,6)*SmtRes!AK79,2)</f>
        <v>0</v>
      </c>
      <c r="U10">
        <f>SmtRes!X79</f>
        <v>644139035</v>
      </c>
      <c r="V10">
        <v>1271853717</v>
      </c>
      <c r="W10">
        <v>-1596398738</v>
      </c>
    </row>
    <row r="11" spans="1:23" x14ac:dyDescent="0.2">
      <c r="A11">
        <f>Source!A61</f>
        <v>17</v>
      </c>
      <c r="C11">
        <v>3</v>
      </c>
      <c r="D11">
        <v>0</v>
      </c>
      <c r="E11">
        <f>SmtRes!AV130</f>
        <v>0</v>
      </c>
      <c r="F11" t="str">
        <f>IF(SmtRes!I130&lt;&gt;"",SmtRes!I130,"")</f>
        <v>411-0001</v>
      </c>
      <c r="G11" t="str">
        <f>IF(SmtRes!K130&lt;&gt;"",SmtRes!K130,"")</f>
        <v>Вода</v>
      </c>
      <c r="H11" t="str">
        <f>IF(SmtRes!O130&lt;&gt;"",SmtRes!O130,"")</f>
        <v>м3</v>
      </c>
      <c r="I11">
        <f>SmtRes!Y130*Source!I61</f>
        <v>2.0520500000000004</v>
      </c>
      <c r="J11">
        <f>SmtRes!AO130</f>
        <v>1</v>
      </c>
      <c r="K11">
        <f>SmtRes!AE130</f>
        <v>2.44</v>
      </c>
      <c r="L11">
        <f>SmtRes!DB130</f>
        <v>9.39</v>
      </c>
      <c r="M11">
        <f>ROUND(ROUND(L11*Source!I61,6)*1,2)</f>
        <v>5</v>
      </c>
      <c r="N11">
        <f>SmtRes!AA130</f>
        <v>22.2</v>
      </c>
      <c r="O11">
        <f>ROUND(ROUND(L11*Source!I61,6)*SmtRes!DA130,2)</f>
        <v>45.54</v>
      </c>
      <c r="P11">
        <f>SmtRes!AG130</f>
        <v>0</v>
      </c>
      <c r="Q11">
        <f>SmtRes!DC130</f>
        <v>0</v>
      </c>
      <c r="R11">
        <f>ROUND(ROUND(Q11*Source!I61,6)*1,2)</f>
        <v>0</v>
      </c>
      <c r="S11">
        <f>SmtRes!AC130</f>
        <v>0</v>
      </c>
      <c r="T11">
        <f>ROUND(ROUND(Q11*Source!I61,6)*SmtRes!AK130,2)</f>
        <v>0</v>
      </c>
      <c r="U11">
        <f>SmtRes!X130</f>
        <v>619799737</v>
      </c>
      <c r="V11">
        <v>1962984545</v>
      </c>
      <c r="W11">
        <v>146831223</v>
      </c>
    </row>
    <row r="12" spans="1:23" x14ac:dyDescent="0.2">
      <c r="A12">
        <f>Source!A61</f>
        <v>17</v>
      </c>
      <c r="C12">
        <v>3</v>
      </c>
      <c r="D12">
        <v>0</v>
      </c>
      <c r="E12">
        <f>SmtRes!AV129</f>
        <v>0</v>
      </c>
      <c r="F12" t="str">
        <f>IF(SmtRes!I129&lt;&gt;"",SmtRes!I129,"")</f>
        <v>402-0006</v>
      </c>
      <c r="G12" t="str">
        <f>IF(SmtRes!K129&lt;&gt;"",SmtRes!K129,"")</f>
        <v>Раствор готовый кладочный цементный марки 200</v>
      </c>
      <c r="H12" t="str">
        <f>IF(SmtRes!O129&lt;&gt;"",SmtRes!O129,"")</f>
        <v>м3</v>
      </c>
      <c r="I12">
        <f>SmtRes!Y129*Source!I61</f>
        <v>0.69290000000000007</v>
      </c>
      <c r="J12">
        <f>SmtRes!AO129</f>
        <v>1</v>
      </c>
      <c r="K12">
        <f>SmtRes!AE129</f>
        <v>600</v>
      </c>
      <c r="L12">
        <f>SmtRes!DB129</f>
        <v>780</v>
      </c>
      <c r="M12">
        <f>ROUND(ROUND(L12*Source!I61,6)*1,2)</f>
        <v>415.74</v>
      </c>
      <c r="N12">
        <f>SmtRes!AA129</f>
        <v>3534</v>
      </c>
      <c r="O12">
        <f>ROUND(ROUND(L12*Source!I61,6)*SmtRes!DA129,2)</f>
        <v>2448.71</v>
      </c>
      <c r="P12">
        <f>SmtRes!AG129</f>
        <v>0</v>
      </c>
      <c r="Q12">
        <f>SmtRes!DC129</f>
        <v>0</v>
      </c>
      <c r="R12">
        <f>ROUND(ROUND(Q12*Source!I61,6)*1,2)</f>
        <v>0</v>
      </c>
      <c r="S12">
        <f>SmtRes!AC129</f>
        <v>0</v>
      </c>
      <c r="T12">
        <f>ROUND(ROUND(Q12*Source!I61,6)*SmtRes!AK129,2)</f>
        <v>0</v>
      </c>
      <c r="U12">
        <f>SmtRes!X129</f>
        <v>-672371193</v>
      </c>
      <c r="V12">
        <v>-1800525916</v>
      </c>
      <c r="W12">
        <v>950121460</v>
      </c>
    </row>
    <row r="13" spans="1:23" x14ac:dyDescent="0.2">
      <c r="A13">
        <f>Source!A61</f>
        <v>17</v>
      </c>
      <c r="C13">
        <v>3</v>
      </c>
      <c r="D13">
        <v>0</v>
      </c>
      <c r="E13">
        <f>SmtRes!AV128</f>
        <v>0</v>
      </c>
      <c r="F13" t="str">
        <f>IF(SmtRes!I128&lt;&gt;"",SmtRes!I128,"")</f>
        <v>101-0631</v>
      </c>
      <c r="G13" t="str">
        <f>IF(SmtRes!K128&lt;&gt;"",SmtRes!K128,"")</f>
        <v>Опилки древесные</v>
      </c>
      <c r="H13" t="str">
        <f>IF(SmtRes!O128&lt;&gt;"",SmtRes!O128,"")</f>
        <v>м3</v>
      </c>
      <c r="I13">
        <f>SmtRes!Y128*Source!I61</f>
        <v>1.6309800000000001</v>
      </c>
      <c r="J13">
        <f>SmtRes!AO128</f>
        <v>1</v>
      </c>
      <c r="K13">
        <f>SmtRes!AE128</f>
        <v>34.92</v>
      </c>
      <c r="L13">
        <f>SmtRes!DB128</f>
        <v>106.86</v>
      </c>
      <c r="M13">
        <f>ROUND(ROUND(L13*Source!I61,6)*1,2)</f>
        <v>56.96</v>
      </c>
      <c r="N13">
        <f>SmtRes!AA128</f>
        <v>423.58</v>
      </c>
      <c r="O13">
        <f>ROUND(ROUND(L13*Source!I61,6)*SmtRes!DA128,2)</f>
        <v>690.88</v>
      </c>
      <c r="P13">
        <f>SmtRes!AG128</f>
        <v>0</v>
      </c>
      <c r="Q13">
        <f>SmtRes!DC128</f>
        <v>0</v>
      </c>
      <c r="R13">
        <f>ROUND(ROUND(Q13*Source!I61,6)*1,2)</f>
        <v>0</v>
      </c>
      <c r="S13">
        <f>SmtRes!AC128</f>
        <v>0</v>
      </c>
      <c r="T13">
        <f>ROUND(ROUND(Q13*Source!I61,6)*SmtRes!AK128,2)</f>
        <v>0</v>
      </c>
      <c r="U13">
        <f>SmtRes!X128</f>
        <v>-1158792968</v>
      </c>
      <c r="V13">
        <v>-1204782694</v>
      </c>
      <c r="W13">
        <v>636577981</v>
      </c>
    </row>
    <row r="14" spans="1:23" x14ac:dyDescent="0.2">
      <c r="A14">
        <f>Source!A61</f>
        <v>17</v>
      </c>
      <c r="C14">
        <v>3</v>
      </c>
      <c r="D14">
        <v>0</v>
      </c>
      <c r="E14">
        <f>SmtRes!AV127</f>
        <v>0</v>
      </c>
      <c r="F14" t="str">
        <f>IF(SmtRes!I127&lt;&gt;"",SmtRes!I127,"")</f>
        <v>101-0287</v>
      </c>
      <c r="G14" t="str">
        <f>IF(SmtRes!K127&lt;&gt;"",SmtRes!K127,"")</f>
        <v>Плитки керамические для полов гладкие неглазурованные одноцветные с красителем квадратные и прямоугольные</v>
      </c>
      <c r="H14" t="str">
        <f>IF(SmtRes!O127&lt;&gt;"",SmtRes!O127,"")</f>
        <v>м2</v>
      </c>
      <c r="I14">
        <f>SmtRes!Y127*Source!I61</f>
        <v>54.366</v>
      </c>
      <c r="J14">
        <f>SmtRes!AO127</f>
        <v>1</v>
      </c>
      <c r="K14">
        <f>SmtRes!AE127</f>
        <v>67.8</v>
      </c>
      <c r="L14">
        <f>SmtRes!DB127</f>
        <v>6915.6</v>
      </c>
      <c r="M14">
        <f>ROUND(ROUND(L14*Source!I61,6)*1,2)</f>
        <v>3686.01</v>
      </c>
      <c r="N14">
        <f>SmtRes!AA127</f>
        <v>555.96</v>
      </c>
      <c r="O14">
        <f>ROUND(ROUND(L14*Source!I61,6)*SmtRes!DA127,2)</f>
        <v>30225.32</v>
      </c>
      <c r="P14">
        <f>SmtRes!AG127</f>
        <v>0</v>
      </c>
      <c r="Q14">
        <f>SmtRes!DC127</f>
        <v>0</v>
      </c>
      <c r="R14">
        <f>ROUND(ROUND(Q14*Source!I61,6)*1,2)</f>
        <v>0</v>
      </c>
      <c r="S14">
        <f>SmtRes!AC127</f>
        <v>0</v>
      </c>
      <c r="T14">
        <f>ROUND(ROUND(Q14*Source!I61,6)*SmtRes!AK127,2)</f>
        <v>0</v>
      </c>
      <c r="U14">
        <f>SmtRes!X127</f>
        <v>-329301202</v>
      </c>
      <c r="V14">
        <v>2044264839</v>
      </c>
      <c r="W14">
        <v>1229487976</v>
      </c>
    </row>
    <row r="15" spans="1:23" x14ac:dyDescent="0.2">
      <c r="A15">
        <f>Source!A63</f>
        <v>17</v>
      </c>
      <c r="C15">
        <v>3</v>
      </c>
      <c r="D15">
        <v>0</v>
      </c>
      <c r="E15">
        <f>SmtRes!AV141</f>
        <v>0</v>
      </c>
      <c r="F15" t="str">
        <f>IF(SmtRes!I141&lt;&gt;"",SmtRes!I141,"")</f>
        <v>201-0822</v>
      </c>
      <c r="G15" t="str">
        <f>IF(SmtRes!K141&lt;&gt;"",SmtRes!K141,"")</f>
        <v>Планка из стального листа толщиной 1 мм</v>
      </c>
      <c r="H15" t="str">
        <f>IF(SmtRes!O141&lt;&gt;"",SmtRes!O141,"")</f>
        <v>т</v>
      </c>
      <c r="I15">
        <f>SmtRes!Y141*Source!I63</f>
        <v>2.0200000000000001E-3</v>
      </c>
      <c r="J15">
        <f>SmtRes!AO141</f>
        <v>1</v>
      </c>
      <c r="K15">
        <f>SmtRes!AE141</f>
        <v>6820</v>
      </c>
      <c r="L15">
        <f>SmtRes!DB141</f>
        <v>27.28</v>
      </c>
      <c r="M15">
        <f>ROUND(ROUND(L15*Source!I63,6)*1,2)</f>
        <v>13.78</v>
      </c>
      <c r="N15">
        <f>SmtRes!AA141</f>
        <v>96093.8</v>
      </c>
      <c r="O15">
        <f>ROUND(ROUND(L15*Source!I63,6)*SmtRes!DA141,2)</f>
        <v>194.11</v>
      </c>
      <c r="P15">
        <f>SmtRes!AG141</f>
        <v>0</v>
      </c>
      <c r="Q15">
        <f>SmtRes!DC141</f>
        <v>0</v>
      </c>
      <c r="R15">
        <f>ROUND(ROUND(Q15*Source!I63,6)*1,2)</f>
        <v>0</v>
      </c>
      <c r="S15">
        <f>SmtRes!AC141</f>
        <v>0</v>
      </c>
      <c r="T15">
        <f>ROUND(ROUND(Q15*Source!I63,6)*SmtRes!AK141,2)</f>
        <v>0</v>
      </c>
      <c r="U15">
        <f>SmtRes!X141</f>
        <v>-572949936</v>
      </c>
      <c r="V15">
        <v>-656418590</v>
      </c>
      <c r="W15">
        <v>-163653412</v>
      </c>
    </row>
    <row r="16" spans="1:23" x14ac:dyDescent="0.2">
      <c r="A16">
        <f>Source!A63</f>
        <v>17</v>
      </c>
      <c r="C16">
        <v>3</v>
      </c>
      <c r="D16">
        <v>0</v>
      </c>
      <c r="E16">
        <f>SmtRes!AV140</f>
        <v>0</v>
      </c>
      <c r="F16" t="str">
        <f>IF(SmtRes!I140&lt;&gt;"",SmtRes!I140,"")</f>
        <v>101-2181</v>
      </c>
      <c r="G16" t="str">
        <f>IF(SmtRes!K140&lt;&gt;"",SmtRes!K140,"")</f>
        <v>Шурупы с полукруглой головкой 5х35 мм</v>
      </c>
      <c r="H16" t="str">
        <f>IF(SmtRes!O140&lt;&gt;"",SmtRes!O140,"")</f>
        <v>т</v>
      </c>
      <c r="I16">
        <f>SmtRes!Y140*Source!I63</f>
        <v>3.7875000000000002E-4</v>
      </c>
      <c r="J16">
        <f>SmtRes!AO140</f>
        <v>1</v>
      </c>
      <c r="K16">
        <f>SmtRes!AE140</f>
        <v>12429.99</v>
      </c>
      <c r="L16">
        <f>SmtRes!DB140</f>
        <v>9.32</v>
      </c>
      <c r="M16">
        <f>ROUND(ROUND(L16*Source!I63,6)*1,2)</f>
        <v>4.71</v>
      </c>
      <c r="N16">
        <f>SmtRes!AA140</f>
        <v>99191.32</v>
      </c>
      <c r="O16">
        <f>ROUND(ROUND(L16*Source!I63,6)*SmtRes!DA140,2)</f>
        <v>37.56</v>
      </c>
      <c r="P16">
        <f>SmtRes!AG140</f>
        <v>0</v>
      </c>
      <c r="Q16">
        <f>SmtRes!DC140</f>
        <v>0</v>
      </c>
      <c r="R16">
        <f>ROUND(ROUND(Q16*Source!I63,6)*1,2)</f>
        <v>0</v>
      </c>
      <c r="S16">
        <f>SmtRes!AC140</f>
        <v>0</v>
      </c>
      <c r="T16">
        <f>ROUND(ROUND(Q16*Source!I63,6)*SmtRes!AK140,2)</f>
        <v>0</v>
      </c>
      <c r="U16">
        <f>SmtRes!X140</f>
        <v>-1987662731</v>
      </c>
      <c r="V16">
        <v>977854419</v>
      </c>
      <c r="W16">
        <v>1681795539</v>
      </c>
    </row>
    <row r="17" spans="1:23" x14ac:dyDescent="0.2">
      <c r="A17">
        <f>Source!A67</f>
        <v>17</v>
      </c>
      <c r="C17">
        <v>3</v>
      </c>
      <c r="D17">
        <f>Source!BI67</f>
        <v>1</v>
      </c>
      <c r="E17">
        <f>Source!FS67</f>
        <v>0</v>
      </c>
      <c r="F17" t="str">
        <f>IF(Source!F67&lt;&gt;"",Source!F67,"")</f>
        <v>Прайс лист СТД "Петрович"</v>
      </c>
      <c r="G17" t="str">
        <f>IF(Source!G67&lt;&gt;"",Source!G67,"")</f>
        <v>Противоскользящий алюминиевый уголок для кромок ступеней (37,5х23х1800)мм. Ц: 429/1,2</v>
      </c>
      <c r="H17" t="str">
        <f>IF(Source!H67&lt;&gt;"",Source!H67,"")</f>
        <v>м</v>
      </c>
      <c r="I17">
        <f>Source!I67</f>
        <v>50.5</v>
      </c>
      <c r="J17">
        <v>1</v>
      </c>
      <c r="K17">
        <f>Source!AC67</f>
        <v>357.5</v>
      </c>
      <c r="M17">
        <f>ROUND(K17*I17,2)</f>
        <v>18053.75</v>
      </c>
      <c r="N17">
        <f>Source!AC67*IF(Source!BC67&lt;&gt;0,Source!BC67,1)</f>
        <v>357.5</v>
      </c>
      <c r="O17">
        <f>ROUND(N17*I17,2)</f>
        <v>18053.75</v>
      </c>
      <c r="P17">
        <f>Source!AE67</f>
        <v>0</v>
      </c>
      <c r="R17">
        <f>ROUND(P17*I17,2)</f>
        <v>0</v>
      </c>
      <c r="S17">
        <f>Source!AE67*IF(Source!BS67&lt;&gt;0,Source!BS67,1)</f>
        <v>0</v>
      </c>
      <c r="T17">
        <f>ROUND(S17*I17,2)</f>
        <v>0</v>
      </c>
      <c r="U17">
        <f>Source!GF67</f>
        <v>2130758263</v>
      </c>
      <c r="V17">
        <v>-860910929</v>
      </c>
      <c r="W17">
        <v>-860910929</v>
      </c>
    </row>
    <row r="18" spans="1:23" x14ac:dyDescent="0.2">
      <c r="A18">
        <v>999</v>
      </c>
    </row>
  </sheetData>
  <pageMargins left="0.39374999999999999" right="0.196527777777778" top="0.196527777777778" bottom="0.46180555555555602" header="0.51180555555555496" footer="0.196527777777778"/>
  <pageSetup paperSize="9" scale="90" firstPageNumber="0" orientation="portrait" horizontalDpi="300" verticalDpi="300"/>
  <headerFoot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Расчет стоимости ресурсов</vt:lpstr>
      <vt:lpstr>Смета по ТСН</vt:lpstr>
      <vt:lpstr>Source</vt:lpstr>
      <vt:lpstr>SourceObSm</vt:lpstr>
      <vt:lpstr>SmtRes</vt:lpstr>
      <vt:lpstr>EtalonRes</vt:lpstr>
      <vt:lpstr>RV_DATA</vt:lpstr>
      <vt:lpstr>'Расчет стоимости ресурсов'!Excel_BuiltIn_Print_Titles</vt:lpstr>
      <vt:lpstr>'Смета по ТСН'!Excel_BuiltIn_Print_Titles</vt:lpstr>
      <vt:lpstr>'Расчет стоимости ресурсов'!Заголовки_для_печати</vt:lpstr>
      <vt:lpstr>'Смета по ТСН'!Заголовки_для_печати</vt:lpstr>
      <vt:lpstr>'Расчет стоимости ресурсов'!Область_печати</vt:lpstr>
      <vt:lpstr>'Смета по ТСН'!Область_печати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Семицветик</dc:creator>
  <dc:description/>
  <cp:lastModifiedBy>Семицветик</cp:lastModifiedBy>
  <cp:revision>4</cp:revision>
  <cp:lastPrinted>2021-06-02T11:52:16Z</cp:lastPrinted>
  <dcterms:created xsi:type="dcterms:W3CDTF">2021-07-07T14:19:47Z</dcterms:created>
  <dcterms:modified xsi:type="dcterms:W3CDTF">2021-07-07T14:32:41Z</dcterms:modified>
  <dc:language>ru-RU</dc:language>
</cp:coreProperties>
</file>