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0" windowHeight="1185"/>
  </bookViews>
  <sheets>
    <sheet name="Смета 12 гр. ТЕР МО" sheetId="5" r:id="rId1"/>
    <sheet name="Source" sheetId="1" state="hidden" r:id="rId2"/>
    <sheet name="SourceObSm" sheetId="2" state="hidden" r:id="rId3"/>
    <sheet name="SmtRes" sheetId="3" state="hidden" r:id="rId4"/>
    <sheet name="EtalonRes" sheetId="4" state="hidden" r:id="rId5"/>
  </sheets>
  <definedNames>
    <definedName name="_xlnm.Print_Titles" localSheetId="0">'Смета 12 гр. ТЕР МО'!$40:$40</definedName>
    <definedName name="_xlnm.Print_Area" localSheetId="0">'Смета 12 гр. ТЕР МО'!$A$1:$L$343</definedName>
  </definedNames>
  <calcPr calcId="125725"/>
</workbook>
</file>

<file path=xl/calcChain.xml><?xml version="1.0" encoding="utf-8"?>
<calcChain xmlns="http://schemas.openxmlformats.org/spreadsheetml/2006/main">
  <c r="AF329" i="5"/>
  <c r="I341"/>
  <c r="I338"/>
  <c r="I335"/>
  <c r="D341"/>
  <c r="D338"/>
  <c r="D335"/>
  <c r="C332"/>
  <c r="C331"/>
  <c r="A329"/>
  <c r="A325"/>
  <c r="A321"/>
  <c r="Q319"/>
  <c r="L319"/>
  <c r="Z319"/>
  <c r="Y319"/>
  <c r="X319"/>
  <c r="K318"/>
  <c r="J319" s="1"/>
  <c r="P319" s="1"/>
  <c r="J318"/>
  <c r="H318"/>
  <c r="G319" s="1"/>
  <c r="O319" s="1"/>
  <c r="G318"/>
  <c r="F318"/>
  <c r="V317"/>
  <c r="T317"/>
  <c r="U317"/>
  <c r="S317"/>
  <c r="F317"/>
  <c r="E317"/>
  <c r="D317"/>
  <c r="I317"/>
  <c r="C317"/>
  <c r="B317"/>
  <c r="A317"/>
  <c r="Q316"/>
  <c r="L316"/>
  <c r="Z316"/>
  <c r="Y316"/>
  <c r="X316"/>
  <c r="K315"/>
  <c r="J316" s="1"/>
  <c r="P316" s="1"/>
  <c r="J315"/>
  <c r="H315"/>
  <c r="G316" s="1"/>
  <c r="O316" s="1"/>
  <c r="G315"/>
  <c r="F315"/>
  <c r="V314"/>
  <c r="T314"/>
  <c r="U314"/>
  <c r="S314"/>
  <c r="F314"/>
  <c r="E314"/>
  <c r="D314"/>
  <c r="I314"/>
  <c r="C314"/>
  <c r="B314"/>
  <c r="A314"/>
  <c r="L313"/>
  <c r="Q313" s="1"/>
  <c r="Z313"/>
  <c r="Y313"/>
  <c r="W313"/>
  <c r="L312"/>
  <c r="G312"/>
  <c r="E312"/>
  <c r="J311"/>
  <c r="E311"/>
  <c r="J310"/>
  <c r="E310"/>
  <c r="K309"/>
  <c r="J309"/>
  <c r="H309"/>
  <c r="G309"/>
  <c r="F309"/>
  <c r="K308"/>
  <c r="J308"/>
  <c r="R308"/>
  <c r="H308"/>
  <c r="G308"/>
  <c r="F308"/>
  <c r="K307"/>
  <c r="J307"/>
  <c r="H307"/>
  <c r="G307"/>
  <c r="F307"/>
  <c r="K306"/>
  <c r="J306"/>
  <c r="H306"/>
  <c r="G306"/>
  <c r="F306"/>
  <c r="C305"/>
  <c r="V304"/>
  <c r="K311" s="1"/>
  <c r="T304"/>
  <c r="K310" s="1"/>
  <c r="U304"/>
  <c r="H311" s="1"/>
  <c r="S304"/>
  <c r="H310" s="1"/>
  <c r="F304"/>
  <c r="E304"/>
  <c r="D304"/>
  <c r="I304"/>
  <c r="C304"/>
  <c r="A304"/>
  <c r="L303"/>
  <c r="Q303" s="1"/>
  <c r="Z303"/>
  <c r="Y303"/>
  <c r="W303"/>
  <c r="K300"/>
  <c r="L302"/>
  <c r="G302"/>
  <c r="E302"/>
  <c r="J301"/>
  <c r="E301"/>
  <c r="J300"/>
  <c r="E300"/>
  <c r="K299"/>
  <c r="J299"/>
  <c r="H299"/>
  <c r="G299"/>
  <c r="F299"/>
  <c r="K298"/>
  <c r="J298"/>
  <c r="H298"/>
  <c r="R298" s="1"/>
  <c r="G298"/>
  <c r="F298"/>
  <c r="K297"/>
  <c r="J297"/>
  <c r="H297"/>
  <c r="G297"/>
  <c r="F297"/>
  <c r="K296"/>
  <c r="J296"/>
  <c r="H296"/>
  <c r="G296"/>
  <c r="F296"/>
  <c r="C295"/>
  <c r="V294"/>
  <c r="K301" s="1"/>
  <c r="T294"/>
  <c r="U294"/>
  <c r="H301" s="1"/>
  <c r="S294"/>
  <c r="H300" s="1"/>
  <c r="F294"/>
  <c r="E294"/>
  <c r="D294"/>
  <c r="I294"/>
  <c r="C294"/>
  <c r="B294"/>
  <c r="A294"/>
  <c r="L293"/>
  <c r="Q293" s="1"/>
  <c r="Z293"/>
  <c r="Y293"/>
  <c r="W293"/>
  <c r="C292"/>
  <c r="K291"/>
  <c r="J293" s="1"/>
  <c r="P293" s="1"/>
  <c r="J291"/>
  <c r="H291"/>
  <c r="G293" s="1"/>
  <c r="O293" s="1"/>
  <c r="G291"/>
  <c r="F291"/>
  <c r="V291"/>
  <c r="T291"/>
  <c r="U291"/>
  <c r="S291"/>
  <c r="E291"/>
  <c r="D291"/>
  <c r="I291"/>
  <c r="C291"/>
  <c r="B291"/>
  <c r="A291"/>
  <c r="L290"/>
  <c r="Q290" s="1"/>
  <c r="Z290"/>
  <c r="Y290"/>
  <c r="W290"/>
  <c r="L289"/>
  <c r="G289"/>
  <c r="E289"/>
  <c r="J288"/>
  <c r="E288"/>
  <c r="J287"/>
  <c r="E287"/>
  <c r="K286"/>
  <c r="J286"/>
  <c r="H286"/>
  <c r="G286"/>
  <c r="F286"/>
  <c r="K285"/>
  <c r="J285"/>
  <c r="H285"/>
  <c r="R285" s="1"/>
  <c r="G285"/>
  <c r="F285"/>
  <c r="K284"/>
  <c r="J284"/>
  <c r="H284"/>
  <c r="G284"/>
  <c r="F284"/>
  <c r="K283"/>
  <c r="J283"/>
  <c r="R283"/>
  <c r="H283"/>
  <c r="G283"/>
  <c r="F283"/>
  <c r="C282"/>
  <c r="V281"/>
  <c r="K288" s="1"/>
  <c r="T281"/>
  <c r="K287" s="1"/>
  <c r="U281"/>
  <c r="H288" s="1"/>
  <c r="S281"/>
  <c r="H287" s="1"/>
  <c r="F281"/>
  <c r="E281"/>
  <c r="D281"/>
  <c r="I281"/>
  <c r="C281"/>
  <c r="B281"/>
  <c r="A281"/>
  <c r="Q280"/>
  <c r="L280"/>
  <c r="Z280"/>
  <c r="Y280"/>
  <c r="W280"/>
  <c r="K277"/>
  <c r="L279"/>
  <c r="G279"/>
  <c r="E279"/>
  <c r="J278"/>
  <c r="E278"/>
  <c r="J277"/>
  <c r="E277"/>
  <c r="K276"/>
  <c r="J276"/>
  <c r="H276"/>
  <c r="G276"/>
  <c r="F276"/>
  <c r="K275"/>
  <c r="J275"/>
  <c r="H275"/>
  <c r="R275" s="1"/>
  <c r="G275"/>
  <c r="F275"/>
  <c r="K274"/>
  <c r="J274"/>
  <c r="H274"/>
  <c r="G274"/>
  <c r="F274"/>
  <c r="K273"/>
  <c r="J273"/>
  <c r="H273"/>
  <c r="X280" s="1"/>
  <c r="G273"/>
  <c r="F273"/>
  <c r="C272"/>
  <c r="V271"/>
  <c r="K278" s="1"/>
  <c r="T271"/>
  <c r="U271"/>
  <c r="H278" s="1"/>
  <c r="S271"/>
  <c r="H277" s="1"/>
  <c r="F271"/>
  <c r="E271"/>
  <c r="D271"/>
  <c r="I271"/>
  <c r="C271"/>
  <c r="B271"/>
  <c r="A271"/>
  <c r="A270"/>
  <c r="A266"/>
  <c r="Q264"/>
  <c r="L264"/>
  <c r="Z264"/>
  <c r="Y264"/>
  <c r="X264"/>
  <c r="H262"/>
  <c r="L263"/>
  <c r="G263"/>
  <c r="E263"/>
  <c r="J262"/>
  <c r="F262"/>
  <c r="E262"/>
  <c r="J261"/>
  <c r="F261"/>
  <c r="E261"/>
  <c r="K260"/>
  <c r="J260"/>
  <c r="H260"/>
  <c r="G260"/>
  <c r="F260"/>
  <c r="K259"/>
  <c r="J259"/>
  <c r="H259"/>
  <c r="G259"/>
  <c r="F259"/>
  <c r="K258"/>
  <c r="J258"/>
  <c r="H258"/>
  <c r="R258" s="1"/>
  <c r="G258"/>
  <c r="F258"/>
  <c r="V257"/>
  <c r="K262" s="1"/>
  <c r="T257"/>
  <c r="K261" s="1"/>
  <c r="U257"/>
  <c r="S257"/>
  <c r="H261" s="1"/>
  <c r="F257"/>
  <c r="E257"/>
  <c r="D257"/>
  <c r="I257"/>
  <c r="C257"/>
  <c r="B257"/>
  <c r="A257"/>
  <c r="L256"/>
  <c r="Q256" s="1"/>
  <c r="Z256"/>
  <c r="Y256"/>
  <c r="X256"/>
  <c r="K255"/>
  <c r="J256" s="1"/>
  <c r="P256" s="1"/>
  <c r="J255"/>
  <c r="H255"/>
  <c r="G256" s="1"/>
  <c r="O256" s="1"/>
  <c r="G255"/>
  <c r="F255"/>
  <c r="V255"/>
  <c r="T255"/>
  <c r="U255"/>
  <c r="S255"/>
  <c r="E255"/>
  <c r="D255"/>
  <c r="I255"/>
  <c r="C255"/>
  <c r="B255"/>
  <c r="A255"/>
  <c r="L254"/>
  <c r="Q254" s="1"/>
  <c r="G254"/>
  <c r="O254" s="1"/>
  <c r="Z254"/>
  <c r="Y254"/>
  <c r="X254"/>
  <c r="W254"/>
  <c r="K253"/>
  <c r="J254" s="1"/>
  <c r="P254" s="1"/>
  <c r="J253"/>
  <c r="H253"/>
  <c r="G253"/>
  <c r="F253"/>
  <c r="V253"/>
  <c r="T253"/>
  <c r="U253"/>
  <c r="S253"/>
  <c r="E253"/>
  <c r="D253"/>
  <c r="I253"/>
  <c r="C253"/>
  <c r="B253"/>
  <c r="A253"/>
  <c r="L252"/>
  <c r="Q252" s="1"/>
  <c r="Z252"/>
  <c r="Y252"/>
  <c r="X252"/>
  <c r="K251"/>
  <c r="J251"/>
  <c r="Z251"/>
  <c r="Y251"/>
  <c r="X251"/>
  <c r="H251"/>
  <c r="W251" s="1"/>
  <c r="F251"/>
  <c r="V251"/>
  <c r="T251"/>
  <c r="U251"/>
  <c r="S251"/>
  <c r="E251"/>
  <c r="D251"/>
  <c r="C251"/>
  <c r="B251"/>
  <c r="A251"/>
  <c r="L250"/>
  <c r="G250"/>
  <c r="E250"/>
  <c r="J249"/>
  <c r="F249"/>
  <c r="E249"/>
  <c r="J248"/>
  <c r="F248"/>
  <c r="E248"/>
  <c r="K247"/>
  <c r="J247"/>
  <c r="H247"/>
  <c r="G247"/>
  <c r="F247"/>
  <c r="K246"/>
  <c r="J246"/>
  <c r="H246"/>
  <c r="G246"/>
  <c r="F246"/>
  <c r="K245"/>
  <c r="J245"/>
  <c r="R245"/>
  <c r="H245"/>
  <c r="G245"/>
  <c r="F245"/>
  <c r="C244"/>
  <c r="V243"/>
  <c r="T243"/>
  <c r="K248" s="1"/>
  <c r="U243"/>
  <c r="H249" s="1"/>
  <c r="S243"/>
  <c r="F243"/>
  <c r="E243"/>
  <c r="D243"/>
  <c r="I243"/>
  <c r="C243"/>
  <c r="A243"/>
  <c r="L242"/>
  <c r="Q242" s="1"/>
  <c r="Z242"/>
  <c r="Y242"/>
  <c r="X242"/>
  <c r="K241"/>
  <c r="J241"/>
  <c r="Z241"/>
  <c r="Y241"/>
  <c r="X241"/>
  <c r="H241"/>
  <c r="W241" s="1"/>
  <c r="F241"/>
  <c r="V241"/>
  <c r="T241"/>
  <c r="U241"/>
  <c r="S241"/>
  <c r="E241"/>
  <c r="D241"/>
  <c r="C241"/>
  <c r="B241"/>
  <c r="A241"/>
  <c r="K240"/>
  <c r="J240"/>
  <c r="Z240"/>
  <c r="Y240"/>
  <c r="X240"/>
  <c r="H240"/>
  <c r="W240" s="1"/>
  <c r="F240"/>
  <c r="V240"/>
  <c r="T240"/>
  <c r="U240"/>
  <c r="S240"/>
  <c r="E240"/>
  <c r="D240"/>
  <c r="C240"/>
  <c r="B240"/>
  <c r="A240"/>
  <c r="L239"/>
  <c r="G239"/>
  <c r="E239"/>
  <c r="J238"/>
  <c r="F238"/>
  <c r="E238"/>
  <c r="J237"/>
  <c r="F237"/>
  <c r="E237"/>
  <c r="K236"/>
  <c r="J236"/>
  <c r="H236"/>
  <c r="G236"/>
  <c r="F236"/>
  <c r="K235"/>
  <c r="J235"/>
  <c r="H235"/>
  <c r="R235" s="1"/>
  <c r="G235"/>
  <c r="F235"/>
  <c r="K234"/>
  <c r="J234"/>
  <c r="H234"/>
  <c r="G234"/>
  <c r="F234"/>
  <c r="K233"/>
  <c r="J233"/>
  <c r="R233"/>
  <c r="H233"/>
  <c r="G233"/>
  <c r="F233"/>
  <c r="C232"/>
  <c r="V231"/>
  <c r="K238" s="1"/>
  <c r="T231"/>
  <c r="K237" s="1"/>
  <c r="U231"/>
  <c r="H238" s="1"/>
  <c r="S231"/>
  <c r="H237" s="1"/>
  <c r="F231"/>
  <c r="E231"/>
  <c r="D231"/>
  <c r="I231"/>
  <c r="C231"/>
  <c r="A231"/>
  <c r="L230"/>
  <c r="Q230" s="1"/>
  <c r="Z230"/>
  <c r="Y230"/>
  <c r="X230"/>
  <c r="H228"/>
  <c r="L229"/>
  <c r="G229"/>
  <c r="E229"/>
  <c r="J228"/>
  <c r="E228"/>
  <c r="J227"/>
  <c r="E227"/>
  <c r="K226"/>
  <c r="J226"/>
  <c r="H226"/>
  <c r="G226"/>
  <c r="F226"/>
  <c r="K225"/>
  <c r="J225"/>
  <c r="H225"/>
  <c r="G225"/>
  <c r="F225"/>
  <c r="K224"/>
  <c r="J224"/>
  <c r="H224"/>
  <c r="R224" s="1"/>
  <c r="G224"/>
  <c r="F224"/>
  <c r="C223"/>
  <c r="V222"/>
  <c r="K228" s="1"/>
  <c r="T222"/>
  <c r="K227" s="1"/>
  <c r="U222"/>
  <c r="S222"/>
  <c r="H227" s="1"/>
  <c r="F222"/>
  <c r="E222"/>
  <c r="D222"/>
  <c r="I222"/>
  <c r="C222"/>
  <c r="B222"/>
  <c r="A222"/>
  <c r="L221"/>
  <c r="Q221" s="1"/>
  <c r="Z221"/>
  <c r="Y221"/>
  <c r="X221"/>
  <c r="L220"/>
  <c r="G220"/>
  <c r="E220"/>
  <c r="J219"/>
  <c r="E219"/>
  <c r="J218"/>
  <c r="E218"/>
  <c r="K217"/>
  <c r="J217"/>
  <c r="H217"/>
  <c r="R217" s="1"/>
  <c r="G217"/>
  <c r="F217"/>
  <c r="K216"/>
  <c r="J216"/>
  <c r="H216"/>
  <c r="G216"/>
  <c r="F216"/>
  <c r="K215"/>
  <c r="J215"/>
  <c r="R215"/>
  <c r="H215"/>
  <c r="G215"/>
  <c r="F215"/>
  <c r="C214"/>
  <c r="V213"/>
  <c r="K219" s="1"/>
  <c r="T213"/>
  <c r="K218" s="1"/>
  <c r="U213"/>
  <c r="H219" s="1"/>
  <c r="S213"/>
  <c r="H218" s="1"/>
  <c r="F213"/>
  <c r="E213"/>
  <c r="D213"/>
  <c r="I213"/>
  <c r="C213"/>
  <c r="B213"/>
  <c r="A213"/>
  <c r="A212"/>
  <c r="A208"/>
  <c r="A204"/>
  <c r="L202"/>
  <c r="Q202" s="1"/>
  <c r="Z202"/>
  <c r="Y202"/>
  <c r="X202"/>
  <c r="K201"/>
  <c r="J201"/>
  <c r="Z201"/>
  <c r="Y201"/>
  <c r="X201"/>
  <c r="H201"/>
  <c r="W201" s="1"/>
  <c r="F201"/>
  <c r="V201"/>
  <c r="T201"/>
  <c r="U201"/>
  <c r="S201"/>
  <c r="E201"/>
  <c r="D201"/>
  <c r="C201"/>
  <c r="B201"/>
  <c r="A201"/>
  <c r="K200"/>
  <c r="J200"/>
  <c r="Z200"/>
  <c r="Y200"/>
  <c r="X200"/>
  <c r="H200"/>
  <c r="W200" s="1"/>
  <c r="F200"/>
  <c r="V200"/>
  <c r="T200"/>
  <c r="U200"/>
  <c r="S200"/>
  <c r="E200"/>
  <c r="D200"/>
  <c r="C200"/>
  <c r="B200"/>
  <c r="A200"/>
  <c r="L199"/>
  <c r="G199"/>
  <c r="E199"/>
  <c r="J198"/>
  <c r="F198"/>
  <c r="E198"/>
  <c r="J197"/>
  <c r="F197"/>
  <c r="E197"/>
  <c r="K196"/>
  <c r="J196"/>
  <c r="R196"/>
  <c r="H196"/>
  <c r="G196"/>
  <c r="F196"/>
  <c r="K195"/>
  <c r="J195"/>
  <c r="H195"/>
  <c r="G195"/>
  <c r="F195"/>
  <c r="K194"/>
  <c r="J194"/>
  <c r="H194"/>
  <c r="R194" s="1"/>
  <c r="G194"/>
  <c r="F194"/>
  <c r="V193"/>
  <c r="T193"/>
  <c r="U193"/>
  <c r="S193"/>
  <c r="H197" s="1"/>
  <c r="F193"/>
  <c r="E193"/>
  <c r="D193"/>
  <c r="I193"/>
  <c r="C193"/>
  <c r="B193"/>
  <c r="A193"/>
  <c r="Q192"/>
  <c r="L192"/>
  <c r="Z192"/>
  <c r="Y192"/>
  <c r="X192"/>
  <c r="L191"/>
  <c r="G191"/>
  <c r="E191"/>
  <c r="J190"/>
  <c r="F190"/>
  <c r="E190"/>
  <c r="J189"/>
  <c r="F189"/>
  <c r="E189"/>
  <c r="K188"/>
  <c r="J188"/>
  <c r="H188"/>
  <c r="G188"/>
  <c r="F188"/>
  <c r="K187"/>
  <c r="J187"/>
  <c r="H187"/>
  <c r="G187"/>
  <c r="F187"/>
  <c r="K186"/>
  <c r="J186"/>
  <c r="H186"/>
  <c r="G186"/>
  <c r="F186"/>
  <c r="C185"/>
  <c r="V184"/>
  <c r="K190" s="1"/>
  <c r="T184"/>
  <c r="K189" s="1"/>
  <c r="U184"/>
  <c r="H190" s="1"/>
  <c r="S184"/>
  <c r="H189" s="1"/>
  <c r="F184"/>
  <c r="E184"/>
  <c r="D184"/>
  <c r="I184"/>
  <c r="C184"/>
  <c r="B184"/>
  <c r="A184"/>
  <c r="L183"/>
  <c r="Q183" s="1"/>
  <c r="Z183"/>
  <c r="Y183"/>
  <c r="X183"/>
  <c r="K182"/>
  <c r="J182"/>
  <c r="Z182"/>
  <c r="Y182"/>
  <c r="X182"/>
  <c r="H182"/>
  <c r="W182" s="1"/>
  <c r="F182"/>
  <c r="V182"/>
  <c r="T182"/>
  <c r="U182"/>
  <c r="S182"/>
  <c r="E182"/>
  <c r="D182"/>
  <c r="C182"/>
  <c r="B182"/>
  <c r="A182"/>
  <c r="K181"/>
  <c r="J181"/>
  <c r="Z181"/>
  <c r="Y181"/>
  <c r="X181"/>
  <c r="H181"/>
  <c r="W181" s="1"/>
  <c r="F181"/>
  <c r="V181"/>
  <c r="T181"/>
  <c r="U181"/>
  <c r="S181"/>
  <c r="E181"/>
  <c r="D181"/>
  <c r="C181"/>
  <c r="B181"/>
  <c r="A181"/>
  <c r="L180"/>
  <c r="G180"/>
  <c r="E180"/>
  <c r="J179"/>
  <c r="F179"/>
  <c r="E179"/>
  <c r="J178"/>
  <c r="F178"/>
  <c r="E178"/>
  <c r="K177"/>
  <c r="J177"/>
  <c r="H177"/>
  <c r="G177"/>
  <c r="F177"/>
  <c r="K176"/>
  <c r="J176"/>
  <c r="H176"/>
  <c r="R176" s="1"/>
  <c r="G176"/>
  <c r="F176"/>
  <c r="K175"/>
  <c r="J175"/>
  <c r="H175"/>
  <c r="G175"/>
  <c r="F175"/>
  <c r="K174"/>
  <c r="J174"/>
  <c r="H174"/>
  <c r="R174" s="1"/>
  <c r="G174"/>
  <c r="F174"/>
  <c r="C173"/>
  <c r="V172"/>
  <c r="K179" s="1"/>
  <c r="T172"/>
  <c r="K178" s="1"/>
  <c r="U172"/>
  <c r="S172"/>
  <c r="H178" s="1"/>
  <c r="F172"/>
  <c r="E172"/>
  <c r="D172"/>
  <c r="I172"/>
  <c r="C172"/>
  <c r="B172"/>
  <c r="A172"/>
  <c r="L171"/>
  <c r="Q171" s="1"/>
  <c r="Z171"/>
  <c r="Y171"/>
  <c r="X171"/>
  <c r="L170"/>
  <c r="G170"/>
  <c r="E170"/>
  <c r="J169"/>
  <c r="F169"/>
  <c r="E169"/>
  <c r="J168"/>
  <c r="F168"/>
  <c r="E168"/>
  <c r="K167"/>
  <c r="J167"/>
  <c r="H167"/>
  <c r="G167"/>
  <c r="F167"/>
  <c r="K166"/>
  <c r="J166"/>
  <c r="H166"/>
  <c r="R166" s="1"/>
  <c r="G166"/>
  <c r="F166"/>
  <c r="K165"/>
  <c r="J165"/>
  <c r="H165"/>
  <c r="G165"/>
  <c r="F165"/>
  <c r="K164"/>
  <c r="J164"/>
  <c r="H164"/>
  <c r="G164"/>
  <c r="F164"/>
  <c r="C163"/>
  <c r="V162"/>
  <c r="K169" s="1"/>
  <c r="T162"/>
  <c r="K168" s="1"/>
  <c r="U162"/>
  <c r="H169" s="1"/>
  <c r="S162"/>
  <c r="H168" s="1"/>
  <c r="F162"/>
  <c r="E162"/>
  <c r="D162"/>
  <c r="I162"/>
  <c r="C162"/>
  <c r="B162"/>
  <c r="A162"/>
  <c r="L161"/>
  <c r="Q161" s="1"/>
  <c r="Z161"/>
  <c r="Y161"/>
  <c r="X161"/>
  <c r="L160"/>
  <c r="G160"/>
  <c r="E160"/>
  <c r="J159"/>
  <c r="F159"/>
  <c r="E159"/>
  <c r="J158"/>
  <c r="F158"/>
  <c r="E158"/>
  <c r="K157"/>
  <c r="J157"/>
  <c r="H157"/>
  <c r="G157"/>
  <c r="F157"/>
  <c r="K156"/>
  <c r="J156"/>
  <c r="H156"/>
  <c r="R156" s="1"/>
  <c r="G156"/>
  <c r="F156"/>
  <c r="K155"/>
  <c r="J155"/>
  <c r="H155"/>
  <c r="G155"/>
  <c r="F155"/>
  <c r="K154"/>
  <c r="J154"/>
  <c r="H154"/>
  <c r="R154" s="1"/>
  <c r="G154"/>
  <c r="F154"/>
  <c r="C153"/>
  <c r="V152"/>
  <c r="K159" s="1"/>
  <c r="T152"/>
  <c r="K158" s="1"/>
  <c r="U152"/>
  <c r="H159" s="1"/>
  <c r="S152"/>
  <c r="H158" s="1"/>
  <c r="F152"/>
  <c r="E152"/>
  <c r="D152"/>
  <c r="I152"/>
  <c r="C152"/>
  <c r="A152"/>
  <c r="L151"/>
  <c r="Q151" s="1"/>
  <c r="Z151"/>
  <c r="Y151"/>
  <c r="X151"/>
  <c r="H149"/>
  <c r="L150"/>
  <c r="G150"/>
  <c r="E150"/>
  <c r="J149"/>
  <c r="F149"/>
  <c r="E149"/>
  <c r="J148"/>
  <c r="F148"/>
  <c r="E148"/>
  <c r="K147"/>
  <c r="J147"/>
  <c r="H147"/>
  <c r="G147"/>
  <c r="F147"/>
  <c r="K146"/>
  <c r="J146"/>
  <c r="H146"/>
  <c r="R146" s="1"/>
  <c r="G146"/>
  <c r="F146"/>
  <c r="K145"/>
  <c r="J145"/>
  <c r="H145"/>
  <c r="G145"/>
  <c r="F145"/>
  <c r="K144"/>
  <c r="J144"/>
  <c r="H144"/>
  <c r="R144" s="1"/>
  <c r="G144"/>
  <c r="F144"/>
  <c r="C143"/>
  <c r="V142"/>
  <c r="K149" s="1"/>
  <c r="T142"/>
  <c r="K148" s="1"/>
  <c r="U142"/>
  <c r="S142"/>
  <c r="H148" s="1"/>
  <c r="F142"/>
  <c r="E142"/>
  <c r="D142"/>
  <c r="I142"/>
  <c r="C142"/>
  <c r="B142"/>
  <c r="A142"/>
  <c r="L141"/>
  <c r="Q141" s="1"/>
  <c r="Z141"/>
  <c r="Y141"/>
  <c r="X141"/>
  <c r="L140"/>
  <c r="G140"/>
  <c r="E140"/>
  <c r="J139"/>
  <c r="F139"/>
  <c r="E139"/>
  <c r="J138"/>
  <c r="F138"/>
  <c r="E138"/>
  <c r="K137"/>
  <c r="J137"/>
  <c r="H137"/>
  <c r="G137"/>
  <c r="F137"/>
  <c r="K136"/>
  <c r="J136"/>
  <c r="R136"/>
  <c r="H136"/>
  <c r="G136"/>
  <c r="F136"/>
  <c r="K135"/>
  <c r="J135"/>
  <c r="H135"/>
  <c r="G135"/>
  <c r="F135"/>
  <c r="K134"/>
  <c r="J134"/>
  <c r="H134"/>
  <c r="G134"/>
  <c r="F134"/>
  <c r="C133"/>
  <c r="V132"/>
  <c r="K139" s="1"/>
  <c r="T132"/>
  <c r="K138" s="1"/>
  <c r="U132"/>
  <c r="H139" s="1"/>
  <c r="S132"/>
  <c r="H138" s="1"/>
  <c r="F132"/>
  <c r="E132"/>
  <c r="D132"/>
  <c r="C132"/>
  <c r="A132"/>
  <c r="L131"/>
  <c r="Q131" s="1"/>
  <c r="Z131"/>
  <c r="Y131"/>
  <c r="X131"/>
  <c r="K130"/>
  <c r="J130"/>
  <c r="Z130"/>
  <c r="Y130"/>
  <c r="X130"/>
  <c r="H130"/>
  <c r="W130" s="1"/>
  <c r="F130"/>
  <c r="V130"/>
  <c r="T130"/>
  <c r="U130"/>
  <c r="S130"/>
  <c r="H127" s="1"/>
  <c r="E130"/>
  <c r="D130"/>
  <c r="C130"/>
  <c r="B130"/>
  <c r="A130"/>
  <c r="L129"/>
  <c r="G129"/>
  <c r="E129"/>
  <c r="J128"/>
  <c r="F128"/>
  <c r="E128"/>
  <c r="J127"/>
  <c r="F127"/>
  <c r="E127"/>
  <c r="K126"/>
  <c r="J126"/>
  <c r="H126"/>
  <c r="G126"/>
  <c r="F126"/>
  <c r="K125"/>
  <c r="J125"/>
  <c r="H125"/>
  <c r="R125" s="1"/>
  <c r="G125"/>
  <c r="F125"/>
  <c r="K124"/>
  <c r="J131" s="1"/>
  <c r="J124"/>
  <c r="H124"/>
  <c r="G124"/>
  <c r="F124"/>
  <c r="J123"/>
  <c r="H123"/>
  <c r="G123"/>
  <c r="F123"/>
  <c r="C122"/>
  <c r="V121"/>
  <c r="K128" s="1"/>
  <c r="T121"/>
  <c r="K127" s="1"/>
  <c r="U121"/>
  <c r="S121"/>
  <c r="F121"/>
  <c r="E121"/>
  <c r="D121"/>
  <c r="A121"/>
  <c r="L120"/>
  <c r="Q120" s="1"/>
  <c r="Z120"/>
  <c r="Y120"/>
  <c r="X120"/>
  <c r="K119"/>
  <c r="J120" s="1"/>
  <c r="P120" s="1"/>
  <c r="J119"/>
  <c r="H119"/>
  <c r="G120" s="1"/>
  <c r="O120" s="1"/>
  <c r="G119"/>
  <c r="F119"/>
  <c r="V119"/>
  <c r="T119"/>
  <c r="U119"/>
  <c r="S119"/>
  <c r="E119"/>
  <c r="D119"/>
  <c r="I119"/>
  <c r="C119"/>
  <c r="B119"/>
  <c r="A119"/>
  <c r="L118"/>
  <c r="Q118" s="1"/>
  <c r="Z118"/>
  <c r="Y118"/>
  <c r="X118"/>
  <c r="K117"/>
  <c r="J117"/>
  <c r="Z117"/>
  <c r="Y117"/>
  <c r="X117"/>
  <c r="W117"/>
  <c r="H117"/>
  <c r="F117"/>
  <c r="V117"/>
  <c r="T117"/>
  <c r="U117"/>
  <c r="S117"/>
  <c r="E117"/>
  <c r="D117"/>
  <c r="C117"/>
  <c r="B117"/>
  <c r="A117"/>
  <c r="K116"/>
  <c r="J116"/>
  <c r="Z116"/>
  <c r="Y116"/>
  <c r="X116"/>
  <c r="H116"/>
  <c r="W116" s="1"/>
  <c r="F116"/>
  <c r="V116"/>
  <c r="T116"/>
  <c r="U116"/>
  <c r="S116"/>
  <c r="E116"/>
  <c r="D116"/>
  <c r="C116"/>
  <c r="B116"/>
  <c r="A116"/>
  <c r="L115"/>
  <c r="G115"/>
  <c r="E115"/>
  <c r="J114"/>
  <c r="E114"/>
  <c r="J113"/>
  <c r="E113"/>
  <c r="K112"/>
  <c r="J112"/>
  <c r="H112"/>
  <c r="G112"/>
  <c r="F112"/>
  <c r="K111"/>
  <c r="J111"/>
  <c r="H111"/>
  <c r="R111" s="1"/>
  <c r="G111"/>
  <c r="F111"/>
  <c r="K110"/>
  <c r="J110"/>
  <c r="H110"/>
  <c r="G110"/>
  <c r="F110"/>
  <c r="K109"/>
  <c r="J109"/>
  <c r="H109"/>
  <c r="R109" s="1"/>
  <c r="G109"/>
  <c r="F109"/>
  <c r="C108"/>
  <c r="V107"/>
  <c r="T107"/>
  <c r="U107"/>
  <c r="S107"/>
  <c r="H113" s="1"/>
  <c r="F107"/>
  <c r="E107"/>
  <c r="D107"/>
  <c r="I107"/>
  <c r="C107"/>
  <c r="B107"/>
  <c r="A107"/>
  <c r="A106"/>
  <c r="A104"/>
  <c r="A100"/>
  <c r="L98"/>
  <c r="Q98" s="1"/>
  <c r="Z98"/>
  <c r="Y98"/>
  <c r="X98"/>
  <c r="L97"/>
  <c r="G97"/>
  <c r="E97"/>
  <c r="J96"/>
  <c r="E96"/>
  <c r="J95"/>
  <c r="E95"/>
  <c r="K94"/>
  <c r="J94"/>
  <c r="H94"/>
  <c r="R94" s="1"/>
  <c r="G94"/>
  <c r="F94"/>
  <c r="K93"/>
  <c r="J93"/>
  <c r="H93"/>
  <c r="G93"/>
  <c r="F93"/>
  <c r="K92"/>
  <c r="J92"/>
  <c r="R92"/>
  <c r="H92"/>
  <c r="G92"/>
  <c r="F92"/>
  <c r="C91"/>
  <c r="V90"/>
  <c r="K96" s="1"/>
  <c r="T90"/>
  <c r="K95" s="1"/>
  <c r="U90"/>
  <c r="H96" s="1"/>
  <c r="S90"/>
  <c r="H95" s="1"/>
  <c r="F90"/>
  <c r="E90"/>
  <c r="D90"/>
  <c r="I90"/>
  <c r="C90"/>
  <c r="B90"/>
  <c r="A90"/>
  <c r="Q89"/>
  <c r="L89"/>
  <c r="Z89"/>
  <c r="Y89"/>
  <c r="X89"/>
  <c r="L88"/>
  <c r="G88"/>
  <c r="E88"/>
  <c r="J87"/>
  <c r="E87"/>
  <c r="J86"/>
  <c r="E86"/>
  <c r="K85"/>
  <c r="J85"/>
  <c r="H85"/>
  <c r="G85"/>
  <c r="F85"/>
  <c r="C84"/>
  <c r="V83"/>
  <c r="K87" s="1"/>
  <c r="T83"/>
  <c r="K86" s="1"/>
  <c r="U83"/>
  <c r="H87" s="1"/>
  <c r="S83"/>
  <c r="H86" s="1"/>
  <c r="F83"/>
  <c r="E83"/>
  <c r="D83"/>
  <c r="I83"/>
  <c r="C83"/>
  <c r="B83"/>
  <c r="A83"/>
  <c r="L82"/>
  <c r="Q82" s="1"/>
  <c r="Z82"/>
  <c r="Y82"/>
  <c r="X82"/>
  <c r="L81"/>
  <c r="G81"/>
  <c r="E81"/>
  <c r="J80"/>
  <c r="E80"/>
  <c r="J79"/>
  <c r="E79"/>
  <c r="K78"/>
  <c r="J78"/>
  <c r="H78"/>
  <c r="R78" s="1"/>
  <c r="G78"/>
  <c r="F78"/>
  <c r="C77"/>
  <c r="V76"/>
  <c r="K80" s="1"/>
  <c r="T76"/>
  <c r="K79" s="1"/>
  <c r="U76"/>
  <c r="H80" s="1"/>
  <c r="S76"/>
  <c r="H79" s="1"/>
  <c r="G82" s="1"/>
  <c r="O82" s="1"/>
  <c r="F76"/>
  <c r="E76"/>
  <c r="D76"/>
  <c r="I76"/>
  <c r="C76"/>
  <c r="B76"/>
  <c r="A76"/>
  <c r="L75"/>
  <c r="Q75" s="1"/>
  <c r="Z75"/>
  <c r="Y75"/>
  <c r="X75"/>
  <c r="K74"/>
  <c r="J74"/>
  <c r="Z74"/>
  <c r="Y74"/>
  <c r="X74"/>
  <c r="H74"/>
  <c r="W74" s="1"/>
  <c r="F74"/>
  <c r="V74"/>
  <c r="T74"/>
  <c r="U74"/>
  <c r="S74"/>
  <c r="E74"/>
  <c r="D74"/>
  <c r="C74"/>
  <c r="B74"/>
  <c r="A74"/>
  <c r="L73"/>
  <c r="G73"/>
  <c r="E73"/>
  <c r="J72"/>
  <c r="E72"/>
  <c r="J71"/>
  <c r="E71"/>
  <c r="K70"/>
  <c r="J70"/>
  <c r="H70"/>
  <c r="R70" s="1"/>
  <c r="G70"/>
  <c r="F70"/>
  <c r="C69"/>
  <c r="V68"/>
  <c r="T68"/>
  <c r="K71" s="1"/>
  <c r="U68"/>
  <c r="S68"/>
  <c r="F68"/>
  <c r="E68"/>
  <c r="D68"/>
  <c r="I68"/>
  <c r="C68"/>
  <c r="B68"/>
  <c r="A68"/>
  <c r="L67"/>
  <c r="Q67" s="1"/>
  <c r="Z67"/>
  <c r="Y67"/>
  <c r="X67"/>
  <c r="K66"/>
  <c r="J66"/>
  <c r="Z66"/>
  <c r="Y66"/>
  <c r="X66"/>
  <c r="H66"/>
  <c r="W66" s="1"/>
  <c r="F66"/>
  <c r="V66"/>
  <c r="K64" s="1"/>
  <c r="T66"/>
  <c r="U66"/>
  <c r="S66"/>
  <c r="E66"/>
  <c r="D66"/>
  <c r="C66"/>
  <c r="B66"/>
  <c r="A66"/>
  <c r="L65"/>
  <c r="G65"/>
  <c r="E65"/>
  <c r="J64"/>
  <c r="E64"/>
  <c r="J63"/>
  <c r="E63"/>
  <c r="K62"/>
  <c r="J62"/>
  <c r="H62"/>
  <c r="R62" s="1"/>
  <c r="G62"/>
  <c r="F62"/>
  <c r="C61"/>
  <c r="V60"/>
  <c r="T60"/>
  <c r="K63" s="1"/>
  <c r="U60"/>
  <c r="H64" s="1"/>
  <c r="S60"/>
  <c r="H63" s="1"/>
  <c r="F60"/>
  <c r="E60"/>
  <c r="D60"/>
  <c r="I60"/>
  <c r="C60"/>
  <c r="B60"/>
  <c r="A60"/>
  <c r="Q59"/>
  <c r="L59"/>
  <c r="Z59"/>
  <c r="Y59"/>
  <c r="X59"/>
  <c r="L58"/>
  <c r="G58"/>
  <c r="E58"/>
  <c r="J57"/>
  <c r="F57"/>
  <c r="E57"/>
  <c r="J56"/>
  <c r="F56"/>
  <c r="E56"/>
  <c r="K55"/>
  <c r="J55"/>
  <c r="H55"/>
  <c r="G55"/>
  <c r="F55"/>
  <c r="C54"/>
  <c r="V53"/>
  <c r="K57" s="1"/>
  <c r="T53"/>
  <c r="K56" s="1"/>
  <c r="U53"/>
  <c r="H57" s="1"/>
  <c r="S53"/>
  <c r="H56" s="1"/>
  <c r="F53"/>
  <c r="E53"/>
  <c r="D53"/>
  <c r="I53"/>
  <c r="C53"/>
  <c r="B53"/>
  <c r="A53"/>
  <c r="L52"/>
  <c r="Q52" s="1"/>
  <c r="Z52"/>
  <c r="Y52"/>
  <c r="X52"/>
  <c r="K51"/>
  <c r="J51"/>
  <c r="Z51"/>
  <c r="G30" s="1"/>
  <c r="Y51"/>
  <c r="G29" s="1"/>
  <c r="X51"/>
  <c r="H51"/>
  <c r="W51" s="1"/>
  <c r="F51"/>
  <c r="V51"/>
  <c r="T51"/>
  <c r="U51"/>
  <c r="S51"/>
  <c r="H48" s="1"/>
  <c r="E51"/>
  <c r="D51"/>
  <c r="C51"/>
  <c r="B51"/>
  <c r="A51"/>
  <c r="L50"/>
  <c r="G50"/>
  <c r="E50"/>
  <c r="J49"/>
  <c r="E49"/>
  <c r="J48"/>
  <c r="E48"/>
  <c r="K47"/>
  <c r="J47"/>
  <c r="H47"/>
  <c r="G47"/>
  <c r="F47"/>
  <c r="C46"/>
  <c r="V45"/>
  <c r="T45"/>
  <c r="U45"/>
  <c r="S45"/>
  <c r="F45"/>
  <c r="E45"/>
  <c r="D45"/>
  <c r="I45"/>
  <c r="C45"/>
  <c r="B45"/>
  <c r="A45"/>
  <c r="A44"/>
  <c r="A42"/>
  <c r="A22"/>
  <c r="B19"/>
  <c r="B15"/>
  <c r="H13"/>
  <c r="H6"/>
  <c r="B6"/>
  <c r="A1"/>
  <c r="A1" i="4"/>
  <c r="A2"/>
  <c r="A3"/>
  <c r="A4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" i="3"/>
  <c r="CY1"/>
  <c r="CZ1"/>
  <c r="DA1"/>
  <c r="DB1"/>
  <c r="DC1"/>
  <c r="A2"/>
  <c r="CY2"/>
  <c r="CZ2"/>
  <c r="DA2"/>
  <c r="DB2"/>
  <c r="DC2"/>
  <c r="A3"/>
  <c r="CY3"/>
  <c r="CZ3"/>
  <c r="DB3" s="1"/>
  <c r="DA3"/>
  <c r="DC3"/>
  <c r="A4"/>
  <c r="CY4"/>
  <c r="CZ4"/>
  <c r="DA4"/>
  <c r="DB4"/>
  <c r="DC4"/>
  <c r="A5"/>
  <c r="CY5"/>
  <c r="CZ5"/>
  <c r="DA5"/>
  <c r="DB5"/>
  <c r="DC5"/>
  <c r="A6"/>
  <c r="CY6"/>
  <c r="CZ6"/>
  <c r="DB6" s="1"/>
  <c r="DA6"/>
  <c r="DC6"/>
  <c r="A7"/>
  <c r="CY7"/>
  <c r="CZ7"/>
  <c r="DB7" s="1"/>
  <c r="DA7"/>
  <c r="DC7"/>
  <c r="A8"/>
  <c r="CY8"/>
  <c r="CZ8"/>
  <c r="DA8"/>
  <c r="DB8"/>
  <c r="DC8"/>
  <c r="A9"/>
  <c r="CY9"/>
  <c r="CZ9"/>
  <c r="DA9"/>
  <c r="DB9"/>
  <c r="DC9"/>
  <c r="A10"/>
  <c r="CY10"/>
  <c r="CZ10"/>
  <c r="DB10" s="1"/>
  <c r="DA10"/>
  <c r="DC10"/>
  <c r="A11"/>
  <c r="CY11"/>
  <c r="CZ11"/>
  <c r="DB11" s="1"/>
  <c r="DA11"/>
  <c r="DC11"/>
  <c r="A12"/>
  <c r="CY12"/>
  <c r="CZ12"/>
  <c r="DA12"/>
  <c r="DB12"/>
  <c r="DC12"/>
  <c r="A13"/>
  <c r="CY13"/>
  <c r="CZ13"/>
  <c r="DA13"/>
  <c r="DB13"/>
  <c r="DC13"/>
  <c r="A14"/>
  <c r="CY14"/>
  <c r="CZ14"/>
  <c r="DB14" s="1"/>
  <c r="DA14"/>
  <c r="DC14"/>
  <c r="A15"/>
  <c r="CY15"/>
  <c r="CZ15"/>
  <c r="DB15" s="1"/>
  <c r="DA15"/>
  <c r="DC15"/>
  <c r="A16"/>
  <c r="CY16"/>
  <c r="CZ16"/>
  <c r="DA16"/>
  <c r="DB16"/>
  <c r="DC16"/>
  <c r="A17"/>
  <c r="CY17"/>
  <c r="CZ17"/>
  <c r="DA17"/>
  <c r="DB17"/>
  <c r="DC17"/>
  <c r="A18"/>
  <c r="CY18"/>
  <c r="CZ18"/>
  <c r="DB18" s="1"/>
  <c r="DA18"/>
  <c r="DC18"/>
  <c r="A19"/>
  <c r="CY19"/>
  <c r="CZ19"/>
  <c r="DB19" s="1"/>
  <c r="DA19"/>
  <c r="DC19"/>
  <c r="A20"/>
  <c r="CY20"/>
  <c r="CZ20"/>
  <c r="DA20"/>
  <c r="DB20"/>
  <c r="DC20"/>
  <c r="A21"/>
  <c r="CY21"/>
  <c r="CZ21"/>
  <c r="DA21"/>
  <c r="DB21"/>
  <c r="DC21"/>
  <c r="A22"/>
  <c r="CY22"/>
  <c r="CZ22"/>
  <c r="DB22" s="1"/>
  <c r="DA22"/>
  <c r="DC22"/>
  <c r="A23"/>
  <c r="CY23"/>
  <c r="CZ23"/>
  <c r="DB23" s="1"/>
  <c r="DA23"/>
  <c r="DC23"/>
  <c r="A24"/>
  <c r="CY24"/>
  <c r="CZ24"/>
  <c r="DA24"/>
  <c r="DB24"/>
  <c r="DC24"/>
  <c r="A25"/>
  <c r="CY25"/>
  <c r="CZ25"/>
  <c r="DA25"/>
  <c r="DB25"/>
  <c r="DC25"/>
  <c r="A26"/>
  <c r="CY26"/>
  <c r="CZ26"/>
  <c r="DB26" s="1"/>
  <c r="DA26"/>
  <c r="DC26"/>
  <c r="A27"/>
  <c r="CY27"/>
  <c r="CZ27"/>
  <c r="DB27" s="1"/>
  <c r="DA27"/>
  <c r="DC27"/>
  <c r="A28"/>
  <c r="CY28"/>
  <c r="CZ28"/>
  <c r="DA28"/>
  <c r="DB28"/>
  <c r="DC28"/>
  <c r="A29"/>
  <c r="CY29"/>
  <c r="CZ29"/>
  <c r="DA29"/>
  <c r="DB29"/>
  <c r="DC29"/>
  <c r="A30"/>
  <c r="CY30"/>
  <c r="CZ30"/>
  <c r="DB30" s="1"/>
  <c r="DA30"/>
  <c r="DC30"/>
  <c r="A31"/>
  <c r="CY31"/>
  <c r="CZ31"/>
  <c r="DB31" s="1"/>
  <c r="DA31"/>
  <c r="DC31"/>
  <c r="A32"/>
  <c r="CY32"/>
  <c r="CZ32"/>
  <c r="DA32"/>
  <c r="DB32"/>
  <c r="DC32"/>
  <c r="A33"/>
  <c r="CY33"/>
  <c r="CZ33"/>
  <c r="DA33"/>
  <c r="DB33"/>
  <c r="DC33"/>
  <c r="A34"/>
  <c r="CY34"/>
  <c r="CZ34"/>
  <c r="DB34" s="1"/>
  <c r="DA34"/>
  <c r="DC34"/>
  <c r="A35"/>
  <c r="CY35"/>
  <c r="CZ35"/>
  <c r="DB35" s="1"/>
  <c r="DA35"/>
  <c r="DC35"/>
  <c r="A36"/>
  <c r="CY36"/>
  <c r="CZ36"/>
  <c r="DA36"/>
  <c r="DB36"/>
  <c r="DC36"/>
  <c r="A37"/>
  <c r="CY37"/>
  <c r="CZ37"/>
  <c r="DA37"/>
  <c r="DB37"/>
  <c r="DC37"/>
  <c r="A38"/>
  <c r="CY38"/>
  <c r="CZ38"/>
  <c r="DB38" s="1"/>
  <c r="DA38"/>
  <c r="DC38"/>
  <c r="A39"/>
  <c r="CY39"/>
  <c r="CZ39"/>
  <c r="DB39" s="1"/>
  <c r="DA39"/>
  <c r="DC39"/>
  <c r="A40"/>
  <c r="CY40"/>
  <c r="CZ40"/>
  <c r="DA40"/>
  <c r="DB40"/>
  <c r="DC40"/>
  <c r="A41"/>
  <c r="CY41"/>
  <c r="CZ41"/>
  <c r="DA41"/>
  <c r="DB41"/>
  <c r="DC41"/>
  <c r="A42"/>
  <c r="CY42"/>
  <c r="CZ42"/>
  <c r="DB42" s="1"/>
  <c r="DA42"/>
  <c r="DC42"/>
  <c r="A43"/>
  <c r="CY43"/>
  <c r="CZ43"/>
  <c r="DB43" s="1"/>
  <c r="DA43"/>
  <c r="DC43"/>
  <c r="A44"/>
  <c r="CY44"/>
  <c r="CZ44"/>
  <c r="DA44"/>
  <c r="DB44"/>
  <c r="DC44"/>
  <c r="A45"/>
  <c r="CY45"/>
  <c r="CZ45"/>
  <c r="DA45"/>
  <c r="DB45"/>
  <c r="DC45"/>
  <c r="A46"/>
  <c r="CY46"/>
  <c r="CZ46"/>
  <c r="DB46" s="1"/>
  <c r="DA46"/>
  <c r="DC46"/>
  <c r="A47"/>
  <c r="CY47"/>
  <c r="CZ47"/>
  <c r="DB47" s="1"/>
  <c r="DA47"/>
  <c r="DC47"/>
  <c r="A48"/>
  <c r="CY48"/>
  <c r="CZ48"/>
  <c r="DA48"/>
  <c r="DB48"/>
  <c r="DC48"/>
  <c r="A49"/>
  <c r="CY49"/>
  <c r="CZ49"/>
  <c r="DA49"/>
  <c r="DB49"/>
  <c r="DC49"/>
  <c r="A50"/>
  <c r="CY50"/>
  <c r="CZ50"/>
  <c r="DB50" s="1"/>
  <c r="DA50"/>
  <c r="DC50"/>
  <c r="A51"/>
  <c r="CY51"/>
  <c r="CZ51"/>
  <c r="DB51" s="1"/>
  <c r="DA51"/>
  <c r="DC51"/>
  <c r="A52"/>
  <c r="CY52"/>
  <c r="CZ52"/>
  <c r="DA52"/>
  <c r="DB52"/>
  <c r="DC52"/>
  <c r="A53"/>
  <c r="CY53"/>
  <c r="CZ53"/>
  <c r="DA53"/>
  <c r="DB53"/>
  <c r="DC53"/>
  <c r="A54"/>
  <c r="CY54"/>
  <c r="CZ54"/>
  <c r="DB54" s="1"/>
  <c r="DA54"/>
  <c r="DC54"/>
  <c r="A55"/>
  <c r="CY55"/>
  <c r="CZ55"/>
  <c r="DB55" s="1"/>
  <c r="DA55"/>
  <c r="DC55"/>
  <c r="A56"/>
  <c r="CY56"/>
  <c r="CZ56"/>
  <c r="DA56"/>
  <c r="DB56"/>
  <c r="DC56"/>
  <c r="A57"/>
  <c r="CY57"/>
  <c r="CZ57"/>
  <c r="DA57"/>
  <c r="DB57"/>
  <c r="DC57"/>
  <c r="A58"/>
  <c r="CY58"/>
  <c r="CZ58"/>
  <c r="DB58" s="1"/>
  <c r="DA58"/>
  <c r="DC58"/>
  <c r="A59"/>
  <c r="CY59"/>
  <c r="CZ59"/>
  <c r="DB59" s="1"/>
  <c r="DA59"/>
  <c r="DC59"/>
  <c r="A60"/>
  <c r="CY60"/>
  <c r="CZ60"/>
  <c r="DA60"/>
  <c r="DB60"/>
  <c r="DC60"/>
  <c r="A61"/>
  <c r="CY61"/>
  <c r="CZ61"/>
  <c r="DA61"/>
  <c r="DB61"/>
  <c r="DC61"/>
  <c r="A62"/>
  <c r="CY62"/>
  <c r="CZ62"/>
  <c r="DB62" s="1"/>
  <c r="DA62"/>
  <c r="DC62"/>
  <c r="A63"/>
  <c r="CY63"/>
  <c r="CZ63"/>
  <c r="DB63" s="1"/>
  <c r="DA63"/>
  <c r="DC63"/>
  <c r="A64"/>
  <c r="CY64"/>
  <c r="CZ64"/>
  <c r="DA64"/>
  <c r="DB64"/>
  <c r="DC64"/>
  <c r="A65"/>
  <c r="CY65"/>
  <c r="CZ65"/>
  <c r="DA65"/>
  <c r="DB65"/>
  <c r="DC65"/>
  <c r="A66"/>
  <c r="CY66"/>
  <c r="CZ66"/>
  <c r="DB66" s="1"/>
  <c r="DA66"/>
  <c r="DC66"/>
  <c r="A67"/>
  <c r="CY67"/>
  <c r="CZ67"/>
  <c r="DB67" s="1"/>
  <c r="DA67"/>
  <c r="DC67"/>
  <c r="A68"/>
  <c r="CY68"/>
  <c r="CZ68"/>
  <c r="DA68"/>
  <c r="DB68"/>
  <c r="DC68"/>
  <c r="A69"/>
  <c r="CY69"/>
  <c r="CZ69"/>
  <c r="DA69"/>
  <c r="DB69"/>
  <c r="DC69"/>
  <c r="A70"/>
  <c r="CY70"/>
  <c r="CZ70"/>
  <c r="DB70" s="1"/>
  <c r="DA70"/>
  <c r="DC70"/>
  <c r="A71"/>
  <c r="CY71"/>
  <c r="CZ71"/>
  <c r="DB71" s="1"/>
  <c r="DA71"/>
  <c r="DC71"/>
  <c r="A72"/>
  <c r="CY72"/>
  <c r="CZ72"/>
  <c r="DA72"/>
  <c r="DB72"/>
  <c r="DC72"/>
  <c r="A73"/>
  <c r="CY73"/>
  <c r="CZ73"/>
  <c r="DA73"/>
  <c r="DB73"/>
  <c r="DC73"/>
  <c r="A74"/>
  <c r="CY74"/>
  <c r="CZ74"/>
  <c r="DB74" s="1"/>
  <c r="DA74"/>
  <c r="DC74"/>
  <c r="A75"/>
  <c r="CY75"/>
  <c r="CZ75"/>
  <c r="DB75" s="1"/>
  <c r="DA75"/>
  <c r="DC75"/>
  <c r="A76"/>
  <c r="CX76"/>
  <c r="CY76"/>
  <c r="CZ76"/>
  <c r="DA76"/>
  <c r="DB76"/>
  <c r="DC76"/>
  <c r="A77"/>
  <c r="CX77"/>
  <c r="CY77"/>
  <c r="CZ77"/>
  <c r="DA77"/>
  <c r="DB77"/>
  <c r="DC77"/>
  <c r="A78"/>
  <c r="CX78"/>
  <c r="CY78"/>
  <c r="CZ78"/>
  <c r="DB78" s="1"/>
  <c r="DA78"/>
  <c r="DC78"/>
  <c r="A79"/>
  <c r="CX79"/>
  <c r="CY79"/>
  <c r="CZ79"/>
  <c r="DB79" s="1"/>
  <c r="DA79"/>
  <c r="DC79"/>
  <c r="A80"/>
  <c r="CX80"/>
  <c r="CY80"/>
  <c r="CZ80"/>
  <c r="DA80"/>
  <c r="DB80"/>
  <c r="DC80"/>
  <c r="A81"/>
  <c r="CX81"/>
  <c r="CY81"/>
  <c r="CZ81"/>
  <c r="DA81"/>
  <c r="DB81"/>
  <c r="DC81"/>
  <c r="A82"/>
  <c r="CX82"/>
  <c r="CY82"/>
  <c r="CZ82"/>
  <c r="DB82" s="1"/>
  <c r="DA82"/>
  <c r="DC82"/>
  <c r="A83"/>
  <c r="CX83"/>
  <c r="CY83"/>
  <c r="CZ83"/>
  <c r="DB83" s="1"/>
  <c r="DA83"/>
  <c r="DC83"/>
  <c r="A84"/>
  <c r="CX84"/>
  <c r="CY84"/>
  <c r="CZ84"/>
  <c r="DA84"/>
  <c r="DB84"/>
  <c r="DC84"/>
  <c r="A85"/>
  <c r="CX85"/>
  <c r="CY85"/>
  <c r="CZ85"/>
  <c r="DA85"/>
  <c r="DB85"/>
  <c r="DC85"/>
  <c r="A86"/>
  <c r="CX86"/>
  <c r="CY86"/>
  <c r="CZ86"/>
  <c r="DB86" s="1"/>
  <c r="DA86"/>
  <c r="DC86"/>
  <c r="A87"/>
  <c r="CX87"/>
  <c r="CY87"/>
  <c r="CZ87"/>
  <c r="DB87" s="1"/>
  <c r="DA87"/>
  <c r="DC87"/>
  <c r="A88"/>
  <c r="CX88"/>
  <c r="CY88"/>
  <c r="CZ88"/>
  <c r="DA88"/>
  <c r="DB88"/>
  <c r="DC88"/>
  <c r="A89"/>
  <c r="CX89"/>
  <c r="CY89"/>
  <c r="CZ89"/>
  <c r="DA89"/>
  <c r="DB89"/>
  <c r="DC89"/>
  <c r="A90"/>
  <c r="CX90"/>
  <c r="CY90"/>
  <c r="CZ90"/>
  <c r="DB90" s="1"/>
  <c r="DA90"/>
  <c r="DC90"/>
  <c r="A91"/>
  <c r="CX91"/>
  <c r="CY91"/>
  <c r="CZ91"/>
  <c r="DB91" s="1"/>
  <c r="DA91"/>
  <c r="DC91"/>
  <c r="A92"/>
  <c r="CX92"/>
  <c r="CY92"/>
  <c r="CZ92"/>
  <c r="DA92"/>
  <c r="DB92"/>
  <c r="DC92"/>
  <c r="A93"/>
  <c r="CX93"/>
  <c r="CY93"/>
  <c r="CZ93"/>
  <c r="DA93"/>
  <c r="DB93"/>
  <c r="DC93"/>
  <c r="A94"/>
  <c r="CX94"/>
  <c r="CY94"/>
  <c r="CZ94"/>
  <c r="DB94" s="1"/>
  <c r="DA94"/>
  <c r="DC94"/>
  <c r="A95"/>
  <c r="CX95"/>
  <c r="CY95"/>
  <c r="CZ95"/>
  <c r="DB95" s="1"/>
  <c r="DA95"/>
  <c r="DC95"/>
  <c r="A96"/>
  <c r="CY96"/>
  <c r="CZ96"/>
  <c r="DA96"/>
  <c r="DB96"/>
  <c r="DC96"/>
  <c r="A97"/>
  <c r="CY97"/>
  <c r="CZ97"/>
  <c r="DA97"/>
  <c r="DB97"/>
  <c r="DC97"/>
  <c r="A98"/>
  <c r="CY98"/>
  <c r="CZ98"/>
  <c r="DB98" s="1"/>
  <c r="DA98"/>
  <c r="DC98"/>
  <c r="A99"/>
  <c r="CY99"/>
  <c r="CZ99"/>
  <c r="DB99" s="1"/>
  <c r="DA99"/>
  <c r="DC99"/>
  <c r="A100"/>
  <c r="CY100"/>
  <c r="CZ100"/>
  <c r="DA100"/>
  <c r="DB100"/>
  <c r="DC100"/>
  <c r="A101"/>
  <c r="CY101"/>
  <c r="CZ101"/>
  <c r="DA101"/>
  <c r="DB101"/>
  <c r="DC101"/>
  <c r="A102"/>
  <c r="CY102"/>
  <c r="CZ102"/>
  <c r="DB102" s="1"/>
  <c r="DA102"/>
  <c r="DC102"/>
  <c r="A103"/>
  <c r="CY103"/>
  <c r="CZ103"/>
  <c r="DB103" s="1"/>
  <c r="DA103"/>
  <c r="DC103"/>
  <c r="A104"/>
  <c r="CY104"/>
  <c r="CZ104"/>
  <c r="DA104"/>
  <c r="DB104"/>
  <c r="DC104"/>
  <c r="A105"/>
  <c r="CY105"/>
  <c r="CZ105"/>
  <c r="DA105"/>
  <c r="DB105"/>
  <c r="DC105"/>
  <c r="A106"/>
  <c r="CY106"/>
  <c r="CZ106"/>
  <c r="DB106" s="1"/>
  <c r="DA106"/>
  <c r="DC106"/>
  <c r="A107"/>
  <c r="CY107"/>
  <c r="CZ107"/>
  <c r="DB107" s="1"/>
  <c r="DA107"/>
  <c r="DC107"/>
  <c r="A108"/>
  <c r="CY108"/>
  <c r="CZ108"/>
  <c r="DA108"/>
  <c r="DB108"/>
  <c r="DC108"/>
  <c r="A109"/>
  <c r="CY109"/>
  <c r="CZ109"/>
  <c r="DA109"/>
  <c r="DB109"/>
  <c r="DC109"/>
  <c r="A110"/>
  <c r="CY110"/>
  <c r="CZ110"/>
  <c r="DB110" s="1"/>
  <c r="DA110"/>
  <c r="DC110"/>
  <c r="A111"/>
  <c r="CY111"/>
  <c r="CZ111"/>
  <c r="DB111" s="1"/>
  <c r="DA111"/>
  <c r="DC111"/>
  <c r="A112"/>
  <c r="CY112"/>
  <c r="CZ112"/>
  <c r="DA112"/>
  <c r="DB112"/>
  <c r="DC112"/>
  <c r="A113"/>
  <c r="CY113"/>
  <c r="CZ113"/>
  <c r="DA113"/>
  <c r="DB113"/>
  <c r="DC113"/>
  <c r="A114"/>
  <c r="CY114"/>
  <c r="CZ114"/>
  <c r="DB114" s="1"/>
  <c r="DA114"/>
  <c r="DC114"/>
  <c r="A115"/>
  <c r="CY115"/>
  <c r="CZ115"/>
  <c r="DB115" s="1"/>
  <c r="DA115"/>
  <c r="DC115"/>
  <c r="A116"/>
  <c r="CY116"/>
  <c r="CZ116"/>
  <c r="DA116"/>
  <c r="DB116"/>
  <c r="DC116"/>
  <c r="A117"/>
  <c r="CY117"/>
  <c r="CZ117"/>
  <c r="DA117"/>
  <c r="DB117"/>
  <c r="DC117"/>
  <c r="A118"/>
  <c r="CY118"/>
  <c r="CZ118"/>
  <c r="DB118" s="1"/>
  <c r="DA118"/>
  <c r="DC118"/>
  <c r="A119"/>
  <c r="CY119"/>
  <c r="CZ119"/>
  <c r="DB119" s="1"/>
  <c r="DA119"/>
  <c r="DC119"/>
  <c r="A120"/>
  <c r="CY120"/>
  <c r="CZ120"/>
  <c r="DA120"/>
  <c r="DB120"/>
  <c r="DC120"/>
  <c r="A121"/>
  <c r="CY121"/>
  <c r="CZ121"/>
  <c r="DA121"/>
  <c r="DB121"/>
  <c r="DC121"/>
  <c r="A122"/>
  <c r="CY122"/>
  <c r="CZ122"/>
  <c r="DB122" s="1"/>
  <c r="DA122"/>
  <c r="DC122"/>
  <c r="A123"/>
  <c r="CY123"/>
  <c r="CZ123"/>
  <c r="DB123" s="1"/>
  <c r="DA123"/>
  <c r="DC123"/>
  <c r="A124"/>
  <c r="CX124"/>
  <c r="CY124"/>
  <c r="CZ124"/>
  <c r="DA124"/>
  <c r="DB124"/>
  <c r="DC124"/>
  <c r="A125"/>
  <c r="CX125"/>
  <c r="CY125"/>
  <c r="CZ125"/>
  <c r="DA125"/>
  <c r="DB125"/>
  <c r="DC125"/>
  <c r="A126"/>
  <c r="CX126"/>
  <c r="CY126"/>
  <c r="CZ126"/>
  <c r="DB126" s="1"/>
  <c r="DA126"/>
  <c r="DC126"/>
  <c r="A127"/>
  <c r="CX127"/>
  <c r="CY127"/>
  <c r="CZ127"/>
  <c r="DB127" s="1"/>
  <c r="DA127"/>
  <c r="DC127"/>
  <c r="A128"/>
  <c r="CX128"/>
  <c r="CY128"/>
  <c r="CZ128"/>
  <c r="DA128"/>
  <c r="DB128"/>
  <c r="DC128"/>
  <c r="A129"/>
  <c r="CX129"/>
  <c r="CY129"/>
  <c r="CZ129"/>
  <c r="DA129"/>
  <c r="DB129"/>
  <c r="DC129"/>
  <c r="A130"/>
  <c r="CX130"/>
  <c r="CY130"/>
  <c r="CZ130"/>
  <c r="DB130" s="1"/>
  <c r="DA130"/>
  <c r="DC130"/>
  <c r="A131"/>
  <c r="CX131"/>
  <c r="CY131"/>
  <c r="CZ131"/>
  <c r="DB131" s="1"/>
  <c r="DA131"/>
  <c r="DC131"/>
  <c r="A132"/>
  <c r="CX132"/>
  <c r="CY132"/>
  <c r="CZ132"/>
  <c r="DA132"/>
  <c r="DB132"/>
  <c r="DC132"/>
  <c r="A133"/>
  <c r="CX133"/>
  <c r="CY133"/>
  <c r="CZ133"/>
  <c r="DA133"/>
  <c r="DB133"/>
  <c r="DC133"/>
  <c r="A134"/>
  <c r="CX134"/>
  <c r="CY134"/>
  <c r="CZ134"/>
  <c r="DB134" s="1"/>
  <c r="DA134"/>
  <c r="DC134"/>
  <c r="A135"/>
  <c r="CY135"/>
  <c r="CZ135"/>
  <c r="DB135" s="1"/>
  <c r="DA135"/>
  <c r="DC135"/>
  <c r="A136"/>
  <c r="CY136"/>
  <c r="CZ136"/>
  <c r="DA136"/>
  <c r="DB136"/>
  <c r="DC136"/>
  <c r="A137"/>
  <c r="CY137"/>
  <c r="CZ137"/>
  <c r="DA137"/>
  <c r="DB137"/>
  <c r="DC137"/>
  <c r="A138"/>
  <c r="CY138"/>
  <c r="CZ138"/>
  <c r="DB138" s="1"/>
  <c r="DA138"/>
  <c r="DC138"/>
  <c r="A139"/>
  <c r="CY139"/>
  <c r="CZ139"/>
  <c r="DB139" s="1"/>
  <c r="DA139"/>
  <c r="DC139"/>
  <c r="A140"/>
  <c r="CY140"/>
  <c r="CZ140"/>
  <c r="DA140"/>
  <c r="DB140"/>
  <c r="DC140"/>
  <c r="A141"/>
  <c r="CY141"/>
  <c r="CZ141"/>
  <c r="DA141"/>
  <c r="DB141"/>
  <c r="DC141"/>
  <c r="A142"/>
  <c r="CY142"/>
  <c r="CZ142"/>
  <c r="DB142" s="1"/>
  <c r="DA142"/>
  <c r="DC142"/>
  <c r="A143"/>
  <c r="CY143"/>
  <c r="CZ143"/>
  <c r="DB143" s="1"/>
  <c r="DA143"/>
  <c r="DC143"/>
  <c r="A144"/>
  <c r="CY144"/>
  <c r="CZ144"/>
  <c r="DA144"/>
  <c r="DB144"/>
  <c r="DC144"/>
  <c r="A145"/>
  <c r="CY145"/>
  <c r="CZ145"/>
  <c r="DA145"/>
  <c r="DB145"/>
  <c r="DC145"/>
  <c r="A146"/>
  <c r="CY146"/>
  <c r="CZ146"/>
  <c r="DB146" s="1"/>
  <c r="DA146"/>
  <c r="DC146"/>
  <c r="A147"/>
  <c r="CY147"/>
  <c r="CZ147"/>
  <c r="DB147" s="1"/>
  <c r="DA147"/>
  <c r="DC147"/>
  <c r="A148"/>
  <c r="CY148"/>
  <c r="CZ148"/>
  <c r="DA148"/>
  <c r="DB148"/>
  <c r="DC148"/>
  <c r="A149"/>
  <c r="CY149"/>
  <c r="CZ149"/>
  <c r="DA149"/>
  <c r="DB149"/>
  <c r="DC149"/>
  <c r="A150"/>
  <c r="CY150"/>
  <c r="CZ150"/>
  <c r="DB150" s="1"/>
  <c r="DA150"/>
  <c r="DC150"/>
  <c r="A151"/>
  <c r="CY151"/>
  <c r="CZ151"/>
  <c r="DB151" s="1"/>
  <c r="DA151"/>
  <c r="DC151"/>
  <c r="A152"/>
  <c r="CY152"/>
  <c r="CZ152"/>
  <c r="DA152"/>
  <c r="DB152"/>
  <c r="DC152"/>
  <c r="A153"/>
  <c r="CY153"/>
  <c r="CZ153"/>
  <c r="DA153"/>
  <c r="DB153"/>
  <c r="DC153"/>
  <c r="A154"/>
  <c r="CY154"/>
  <c r="CZ154"/>
  <c r="DB154" s="1"/>
  <c r="DA154"/>
  <c r="DC154"/>
  <c r="A155"/>
  <c r="CY155"/>
  <c r="CZ155"/>
  <c r="DB155" s="1"/>
  <c r="DA155"/>
  <c r="DC155"/>
  <c r="A156"/>
  <c r="CY156"/>
  <c r="CZ156"/>
  <c r="DA156"/>
  <c r="DB156"/>
  <c r="DC156"/>
  <c r="A157"/>
  <c r="CY157"/>
  <c r="CZ157"/>
  <c r="DA157"/>
  <c r="DB157"/>
  <c r="DC157"/>
  <c r="A158"/>
  <c r="CY158"/>
  <c r="CZ158"/>
  <c r="DB158" s="1"/>
  <c r="DA158"/>
  <c r="DC158"/>
  <c r="A159"/>
  <c r="CY159"/>
  <c r="CZ159"/>
  <c r="DB159" s="1"/>
  <c r="DA159"/>
  <c r="DC159"/>
  <c r="A160"/>
  <c r="CY160"/>
  <c r="CZ160"/>
  <c r="DA160"/>
  <c r="DB160"/>
  <c r="DC160"/>
  <c r="A161"/>
  <c r="CY161"/>
  <c r="CZ161"/>
  <c r="DA161"/>
  <c r="DB161"/>
  <c r="DC161"/>
  <c r="A162"/>
  <c r="CY162"/>
  <c r="CZ162"/>
  <c r="DB162" s="1"/>
  <c r="DA162"/>
  <c r="DC162"/>
  <c r="A163"/>
  <c r="CY163"/>
  <c r="CZ163"/>
  <c r="DB163" s="1"/>
  <c r="DA163"/>
  <c r="DC163"/>
  <c r="A164"/>
  <c r="CY164"/>
  <c r="CZ164"/>
  <c r="DA164"/>
  <c r="DB164"/>
  <c r="DC164"/>
  <c r="A165"/>
  <c r="CY165"/>
  <c r="CZ165"/>
  <c r="DA165"/>
  <c r="DB165"/>
  <c r="DC165"/>
  <c r="A166"/>
  <c r="CY166"/>
  <c r="CZ166"/>
  <c r="DB166" s="1"/>
  <c r="DA166"/>
  <c r="DC166"/>
  <c r="A167"/>
  <c r="CY167"/>
  <c r="CZ167"/>
  <c r="DB167" s="1"/>
  <c r="DA167"/>
  <c r="DC167"/>
  <c r="A168"/>
  <c r="CY168"/>
  <c r="CZ168"/>
  <c r="DA168"/>
  <c r="DB168"/>
  <c r="DC168"/>
  <c r="A169"/>
  <c r="CY169"/>
  <c r="CZ169"/>
  <c r="DA169"/>
  <c r="DB169"/>
  <c r="DC169"/>
  <c r="D12" i="1"/>
  <c r="E18"/>
  <c r="Z18"/>
  <c r="AA18"/>
  <c r="AB18"/>
  <c r="AC18"/>
  <c r="AD18"/>
  <c r="AE18"/>
  <c r="AF18"/>
  <c r="AG18"/>
  <c r="AH18"/>
  <c r="AI18"/>
  <c r="AJ18"/>
  <c r="AK18"/>
  <c r="AL18"/>
  <c r="AM18"/>
  <c r="AN18"/>
  <c r="BE18"/>
  <c r="BF18"/>
  <c r="BG18"/>
  <c r="BH18"/>
  <c r="BI18"/>
  <c r="BJ18"/>
  <c r="BK18"/>
  <c r="BL18"/>
  <c r="BM18"/>
  <c r="BN18"/>
  <c r="BO18"/>
  <c r="BP18"/>
  <c r="BQ18"/>
  <c r="BR18"/>
  <c r="BS18"/>
  <c r="BT18"/>
  <c r="BU18"/>
  <c r="BV18"/>
  <c r="BW18"/>
  <c r="BX18"/>
  <c r="BY18"/>
  <c r="BZ18"/>
  <c r="CA18"/>
  <c r="CB18"/>
  <c r="CC18"/>
  <c r="CD18"/>
  <c r="CE18"/>
  <c r="CF18"/>
  <c r="CG18"/>
  <c r="CH18"/>
  <c r="CI18"/>
  <c r="CJ18"/>
  <c r="CK18"/>
  <c r="CL18"/>
  <c r="CM18"/>
  <c r="CN18"/>
  <c r="CO18"/>
  <c r="CP18"/>
  <c r="CQ18"/>
  <c r="CR18"/>
  <c r="CS18"/>
  <c r="CT18"/>
  <c r="CU18"/>
  <c r="CV18"/>
  <c r="CW18"/>
  <c r="CX18"/>
  <c r="CY18"/>
  <c r="CZ18"/>
  <c r="DA18"/>
  <c r="DB18"/>
  <c r="DC18"/>
  <c r="DD18"/>
  <c r="DE18"/>
  <c r="DF18"/>
  <c r="DG18"/>
  <c r="DH18"/>
  <c r="DI18"/>
  <c r="DJ18"/>
  <c r="DK18"/>
  <c r="DL18"/>
  <c r="DM18"/>
  <c r="DN18"/>
  <c r="DO18"/>
  <c r="DP18"/>
  <c r="DQ18"/>
  <c r="DR18"/>
  <c r="DS18"/>
  <c r="DT18"/>
  <c r="DU18"/>
  <c r="DV18"/>
  <c r="DW18"/>
  <c r="DX18"/>
  <c r="DY18"/>
  <c r="DZ18"/>
  <c r="EA18"/>
  <c r="EB18"/>
  <c r="EC18"/>
  <c r="ED18"/>
  <c r="EE18"/>
  <c r="EF18"/>
  <c r="EG18"/>
  <c r="EH18"/>
  <c r="EI18"/>
  <c r="EJ18"/>
  <c r="EK18"/>
  <c r="EL18"/>
  <c r="EM18"/>
  <c r="EN18"/>
  <c r="EO18"/>
  <c r="EP18"/>
  <c r="EQ18"/>
  <c r="ER18"/>
  <c r="ES18"/>
  <c r="ET18"/>
  <c r="EU18"/>
  <c r="EV18"/>
  <c r="EW18"/>
  <c r="EX18"/>
  <c r="EY18"/>
  <c r="EZ18"/>
  <c r="FA18"/>
  <c r="FB18"/>
  <c r="FC18"/>
  <c r="FD18"/>
  <c r="FE18"/>
  <c r="FF18"/>
  <c r="FG18"/>
  <c r="FH18"/>
  <c r="FI18"/>
  <c r="FJ18"/>
  <c r="FK18"/>
  <c r="FL18"/>
  <c r="FM18"/>
  <c r="FN18"/>
  <c r="FO18"/>
  <c r="FP18"/>
  <c r="FQ18"/>
  <c r="FR18"/>
  <c r="FS18"/>
  <c r="FT18"/>
  <c r="FU18"/>
  <c r="FV18"/>
  <c r="FW18"/>
  <c r="FX18"/>
  <c r="FY18"/>
  <c r="FZ18"/>
  <c r="GA18"/>
  <c r="GB18"/>
  <c r="GC18"/>
  <c r="GD18"/>
  <c r="GE18"/>
  <c r="GF18"/>
  <c r="GG18"/>
  <c r="GH18"/>
  <c r="GI18"/>
  <c r="GJ18"/>
  <c r="GK18"/>
  <c r="GL18"/>
  <c r="GM18"/>
  <c r="GN18"/>
  <c r="GO18"/>
  <c r="GP18"/>
  <c r="GQ18"/>
  <c r="GR18"/>
  <c r="GS18"/>
  <c r="GT18"/>
  <c r="GU18"/>
  <c r="GV18"/>
  <c r="GW18"/>
  <c r="GX18"/>
  <c r="D20"/>
  <c r="E22"/>
  <c r="Z22"/>
  <c r="AA22"/>
  <c r="AB22"/>
  <c r="AC22"/>
  <c r="AD22"/>
  <c r="AE22"/>
  <c r="AF22"/>
  <c r="AG22"/>
  <c r="AH22"/>
  <c r="AI22"/>
  <c r="AJ22"/>
  <c r="AK22"/>
  <c r="AL22"/>
  <c r="AM22"/>
  <c r="AN22"/>
  <c r="BE22"/>
  <c r="BF22"/>
  <c r="BG22"/>
  <c r="BH22"/>
  <c r="BI22"/>
  <c r="BJ22"/>
  <c r="BK22"/>
  <c r="BL22"/>
  <c r="BM22"/>
  <c r="BN22"/>
  <c r="BO22"/>
  <c r="BP22"/>
  <c r="BQ22"/>
  <c r="BR22"/>
  <c r="BS22"/>
  <c r="BT22"/>
  <c r="BU22"/>
  <c r="BV22"/>
  <c r="BW22"/>
  <c r="BX22"/>
  <c r="BY22"/>
  <c r="BZ22"/>
  <c r="CA22"/>
  <c r="CB22"/>
  <c r="CC22"/>
  <c r="CD22"/>
  <c r="CE22"/>
  <c r="CF22"/>
  <c r="CG22"/>
  <c r="CH22"/>
  <c r="CI22"/>
  <c r="CJ22"/>
  <c r="CK22"/>
  <c r="CL22"/>
  <c r="CM22"/>
  <c r="CN22"/>
  <c r="CO22"/>
  <c r="CP22"/>
  <c r="CQ22"/>
  <c r="CR22"/>
  <c r="CS22"/>
  <c r="CT22"/>
  <c r="CU22"/>
  <c r="CV22"/>
  <c r="CW22"/>
  <c r="CX22"/>
  <c r="CY22"/>
  <c r="CZ22"/>
  <c r="DA22"/>
  <c r="DB22"/>
  <c r="DC22"/>
  <c r="DD22"/>
  <c r="DE22"/>
  <c r="DF22"/>
  <c r="DG22"/>
  <c r="DH22"/>
  <c r="DI22"/>
  <c r="DJ22"/>
  <c r="DK22"/>
  <c r="DL22"/>
  <c r="DM22"/>
  <c r="DN22"/>
  <c r="DO22"/>
  <c r="DP22"/>
  <c r="DQ22"/>
  <c r="DR22"/>
  <c r="DS22"/>
  <c r="DT22"/>
  <c r="DU22"/>
  <c r="DV22"/>
  <c r="DW22"/>
  <c r="DX22"/>
  <c r="DY22"/>
  <c r="DZ22"/>
  <c r="EA22"/>
  <c r="EB22"/>
  <c r="EC22"/>
  <c r="ED22"/>
  <c r="EE22"/>
  <c r="EF22"/>
  <c r="EG22"/>
  <c r="EH22"/>
  <c r="EI22"/>
  <c r="EJ22"/>
  <c r="EK22"/>
  <c r="EL22"/>
  <c r="EM22"/>
  <c r="EN22"/>
  <c r="EO22"/>
  <c r="EP22"/>
  <c r="EQ22"/>
  <c r="ER22"/>
  <c r="ES22"/>
  <c r="ET22"/>
  <c r="EU22"/>
  <c r="EV22"/>
  <c r="EW22"/>
  <c r="EX22"/>
  <c r="EY22"/>
  <c r="EZ22"/>
  <c r="FA22"/>
  <c r="FB22"/>
  <c r="FC22"/>
  <c r="FD22"/>
  <c r="FE22"/>
  <c r="FF22"/>
  <c r="FG22"/>
  <c r="FH22"/>
  <c r="FI22"/>
  <c r="FJ22"/>
  <c r="FK22"/>
  <c r="FL22"/>
  <c r="FM22"/>
  <c r="FN22"/>
  <c r="FO22"/>
  <c r="FP22"/>
  <c r="FQ22"/>
  <c r="FR22"/>
  <c r="FS22"/>
  <c r="FT22"/>
  <c r="FU22"/>
  <c r="FV22"/>
  <c r="FW22"/>
  <c r="FX22"/>
  <c r="FY22"/>
  <c r="FZ22"/>
  <c r="GA22"/>
  <c r="GB22"/>
  <c r="GC22"/>
  <c r="GD22"/>
  <c r="GE22"/>
  <c r="GF22"/>
  <c r="GG22"/>
  <c r="GH22"/>
  <c r="GI22"/>
  <c r="GJ22"/>
  <c r="GK22"/>
  <c r="GL22"/>
  <c r="GM22"/>
  <c r="GN22"/>
  <c r="GO22"/>
  <c r="GP22"/>
  <c r="GQ22"/>
  <c r="GR22"/>
  <c r="GS22"/>
  <c r="GT22"/>
  <c r="GU22"/>
  <c r="GV22"/>
  <c r="GW22"/>
  <c r="GX22"/>
  <c r="D26"/>
  <c r="E28"/>
  <c r="Z28"/>
  <c r="AA28"/>
  <c r="AM28"/>
  <c r="AN28"/>
  <c r="BE28"/>
  <c r="BF28"/>
  <c r="BG28"/>
  <c r="BH28"/>
  <c r="BI28"/>
  <c r="BJ28"/>
  <c r="BK28"/>
  <c r="BL28"/>
  <c r="BM28"/>
  <c r="BN28"/>
  <c r="BO28"/>
  <c r="BP28"/>
  <c r="BQ28"/>
  <c r="BR28"/>
  <c r="BS28"/>
  <c r="BT28"/>
  <c r="BU28"/>
  <c r="BV28"/>
  <c r="BW28"/>
  <c r="CN28"/>
  <c r="CO28"/>
  <c r="CP28"/>
  <c r="CQ28"/>
  <c r="CR28"/>
  <c r="CS28"/>
  <c r="CT28"/>
  <c r="CU28"/>
  <c r="CV28"/>
  <c r="CW28"/>
  <c r="CX28"/>
  <c r="CY28"/>
  <c r="CZ28"/>
  <c r="DA28"/>
  <c r="DB28"/>
  <c r="DC28"/>
  <c r="DD28"/>
  <c r="DE28"/>
  <c r="DF28"/>
  <c r="DG28"/>
  <c r="DH28"/>
  <c r="DI28"/>
  <c r="DJ28"/>
  <c r="DK28"/>
  <c r="DL28"/>
  <c r="DM28"/>
  <c r="DN28"/>
  <c r="DO28"/>
  <c r="DP28"/>
  <c r="DQ28"/>
  <c r="DR28"/>
  <c r="DS28"/>
  <c r="DT28"/>
  <c r="DU28"/>
  <c r="DV28"/>
  <c r="DW28"/>
  <c r="DX28"/>
  <c r="DY28"/>
  <c r="DZ28"/>
  <c r="EA28"/>
  <c r="EB28"/>
  <c r="EC28"/>
  <c r="ED28"/>
  <c r="EE28"/>
  <c r="EF28"/>
  <c r="EG28"/>
  <c r="EH28"/>
  <c r="EI28"/>
  <c r="EJ28"/>
  <c r="EK28"/>
  <c r="EL28"/>
  <c r="EM28"/>
  <c r="EN28"/>
  <c r="EO28"/>
  <c r="EP28"/>
  <c r="EQ28"/>
  <c r="ER28"/>
  <c r="ES28"/>
  <c r="ET28"/>
  <c r="EU28"/>
  <c r="EV28"/>
  <c r="EW28"/>
  <c r="EX28"/>
  <c r="EY28"/>
  <c r="EZ28"/>
  <c r="FA28"/>
  <c r="FB28"/>
  <c r="FC28"/>
  <c r="FD28"/>
  <c r="FE28"/>
  <c r="FF28"/>
  <c r="FG28"/>
  <c r="FH28"/>
  <c r="FI28"/>
  <c r="FJ28"/>
  <c r="FK28"/>
  <c r="FL28"/>
  <c r="FM28"/>
  <c r="FN28"/>
  <c r="FO28"/>
  <c r="FP28"/>
  <c r="FQ28"/>
  <c r="FR28"/>
  <c r="FS28"/>
  <c r="FT28"/>
  <c r="FU28"/>
  <c r="FV28"/>
  <c r="FW28"/>
  <c r="FX28"/>
  <c r="FY28"/>
  <c r="FZ28"/>
  <c r="GA28"/>
  <c r="GB28"/>
  <c r="GC28"/>
  <c r="GD28"/>
  <c r="GE28"/>
  <c r="GF28"/>
  <c r="GG28"/>
  <c r="GH28"/>
  <c r="GI28"/>
  <c r="GJ28"/>
  <c r="GK28"/>
  <c r="GL28"/>
  <c r="GM28"/>
  <c r="GN28"/>
  <c r="GO28"/>
  <c r="GP28"/>
  <c r="GQ28"/>
  <c r="GR28"/>
  <c r="GS28"/>
  <c r="GT28"/>
  <c r="GU28"/>
  <c r="GV28"/>
  <c r="GW28"/>
  <c r="GX28"/>
  <c r="C30"/>
  <c r="D30"/>
  <c r="I30"/>
  <c r="I31" s="1"/>
  <c r="AC30"/>
  <c r="CQ30" s="1"/>
  <c r="P30" s="1"/>
  <c r="AE30"/>
  <c r="CS30" s="1"/>
  <c r="R30" s="1"/>
  <c r="AF30"/>
  <c r="CT30" s="1"/>
  <c r="S30" s="1"/>
  <c r="AG30"/>
  <c r="CU30" s="1"/>
  <c r="T30" s="1"/>
  <c r="AH30"/>
  <c r="AI30"/>
  <c r="CW30" s="1"/>
  <c r="V30" s="1"/>
  <c r="AJ30"/>
  <c r="CX30" s="1"/>
  <c r="W30" s="1"/>
  <c r="CV30"/>
  <c r="U30" s="1"/>
  <c r="FR30"/>
  <c r="GL30"/>
  <c r="GO30"/>
  <c r="GP30"/>
  <c r="GV30"/>
  <c r="GX30"/>
  <c r="HC30"/>
  <c r="AC31"/>
  <c r="AD31"/>
  <c r="AB31" s="1"/>
  <c r="AE31"/>
  <c r="CS31" s="1"/>
  <c r="R31" s="1"/>
  <c r="AF31"/>
  <c r="CT31" s="1"/>
  <c r="AG31"/>
  <c r="AH31"/>
  <c r="CV31" s="1"/>
  <c r="AI31"/>
  <c r="CW31" s="1"/>
  <c r="V31" s="1"/>
  <c r="AJ31"/>
  <c r="CX31" s="1"/>
  <c r="CQ31"/>
  <c r="P31" s="1"/>
  <c r="CU31"/>
  <c r="FR31"/>
  <c r="GL31"/>
  <c r="GO31"/>
  <c r="GP31"/>
  <c r="GV31"/>
  <c r="HC31" s="1"/>
  <c r="GX31" s="1"/>
  <c r="C32"/>
  <c r="D32"/>
  <c r="I32"/>
  <c r="CX3" i="3" s="1"/>
  <c r="AC32" i="1"/>
  <c r="CQ32" s="1"/>
  <c r="P32" s="1"/>
  <c r="AE32"/>
  <c r="CS32" s="1"/>
  <c r="R32" s="1"/>
  <c r="AF32"/>
  <c r="CT32" s="1"/>
  <c r="S32" s="1"/>
  <c r="AG32"/>
  <c r="CU32" s="1"/>
  <c r="T32" s="1"/>
  <c r="AH32"/>
  <c r="AI32"/>
  <c r="CW32" s="1"/>
  <c r="V32" s="1"/>
  <c r="AJ32"/>
  <c r="CX32" s="1"/>
  <c r="W32" s="1"/>
  <c r="CV32"/>
  <c r="U32" s="1"/>
  <c r="FR32"/>
  <c r="GL32"/>
  <c r="GO32"/>
  <c r="GP32"/>
  <c r="GV32"/>
  <c r="GX32"/>
  <c r="HC32"/>
  <c r="C33"/>
  <c r="D33"/>
  <c r="I33"/>
  <c r="CX4" i="3" s="1"/>
  <c r="AC33" i="1"/>
  <c r="CQ33" s="1"/>
  <c r="P33" s="1"/>
  <c r="CP33" s="1"/>
  <c r="O33" s="1"/>
  <c r="AD33"/>
  <c r="CR33" s="1"/>
  <c r="Q33" s="1"/>
  <c r="AE33"/>
  <c r="AF33"/>
  <c r="CT33" s="1"/>
  <c r="S33" s="1"/>
  <c r="AG33"/>
  <c r="CU33" s="1"/>
  <c r="T33" s="1"/>
  <c r="AH33"/>
  <c r="CV33" s="1"/>
  <c r="U33" s="1"/>
  <c r="AI33"/>
  <c r="AJ33"/>
  <c r="CX33" s="1"/>
  <c r="W33" s="1"/>
  <c r="CS33"/>
  <c r="R33" s="1"/>
  <c r="CW33"/>
  <c r="V33" s="1"/>
  <c r="FR33"/>
  <c r="GL33"/>
  <c r="GO33"/>
  <c r="GP33"/>
  <c r="GV33"/>
  <c r="HC33"/>
  <c r="GX33" s="1"/>
  <c r="AC34"/>
  <c r="CQ34" s="1"/>
  <c r="AE34"/>
  <c r="CS34" s="1"/>
  <c r="AF34"/>
  <c r="CT34" s="1"/>
  <c r="AG34"/>
  <c r="CU34" s="1"/>
  <c r="AH34"/>
  <c r="AI34"/>
  <c r="CW34" s="1"/>
  <c r="AJ34"/>
  <c r="CX34" s="1"/>
  <c r="CV34"/>
  <c r="FR34"/>
  <c r="GL34"/>
  <c r="GO34"/>
  <c r="GP34"/>
  <c r="GV34"/>
  <c r="HC34"/>
  <c r="C35"/>
  <c r="D35"/>
  <c r="I35"/>
  <c r="CX7" i="3" s="1"/>
  <c r="AC35" i="1"/>
  <c r="CQ35" s="1"/>
  <c r="P35" s="1"/>
  <c r="AD35"/>
  <c r="CR35" s="1"/>
  <c r="Q35" s="1"/>
  <c r="AE35"/>
  <c r="AF35"/>
  <c r="CT35" s="1"/>
  <c r="S35" s="1"/>
  <c r="AG35"/>
  <c r="CU35" s="1"/>
  <c r="T35" s="1"/>
  <c r="AH35"/>
  <c r="CV35" s="1"/>
  <c r="U35" s="1"/>
  <c r="AI35"/>
  <c r="AJ35"/>
  <c r="CX35" s="1"/>
  <c r="W35" s="1"/>
  <c r="CS35"/>
  <c r="R35" s="1"/>
  <c r="CW35"/>
  <c r="V35" s="1"/>
  <c r="FR35"/>
  <c r="GL35"/>
  <c r="GO35"/>
  <c r="GP35"/>
  <c r="GV35"/>
  <c r="HC35"/>
  <c r="GX35" s="1"/>
  <c r="AC36"/>
  <c r="CQ36" s="1"/>
  <c r="AE36"/>
  <c r="CS36" s="1"/>
  <c r="AF36"/>
  <c r="CT36" s="1"/>
  <c r="AG36"/>
  <c r="CU36" s="1"/>
  <c r="AH36"/>
  <c r="AI36"/>
  <c r="CW36" s="1"/>
  <c r="AJ36"/>
  <c r="CX36" s="1"/>
  <c r="CV36"/>
  <c r="FR36"/>
  <c r="GL36"/>
  <c r="GO36"/>
  <c r="GP36"/>
  <c r="GV36"/>
  <c r="HC36"/>
  <c r="C37"/>
  <c r="D37"/>
  <c r="I37"/>
  <c r="CX8" i="3" s="1"/>
  <c r="AC37" i="1"/>
  <c r="CQ37" s="1"/>
  <c r="P37" s="1"/>
  <c r="CP37" s="1"/>
  <c r="O37" s="1"/>
  <c r="AD37"/>
  <c r="CR37" s="1"/>
  <c r="Q37" s="1"/>
  <c r="AE37"/>
  <c r="AF37"/>
  <c r="CT37" s="1"/>
  <c r="S37" s="1"/>
  <c r="AG37"/>
  <c r="CU37" s="1"/>
  <c r="T37" s="1"/>
  <c r="AH37"/>
  <c r="CV37" s="1"/>
  <c r="U37" s="1"/>
  <c r="AI37"/>
  <c r="AJ37"/>
  <c r="CX37" s="1"/>
  <c r="W37" s="1"/>
  <c r="CS37"/>
  <c r="R37" s="1"/>
  <c r="CW37"/>
  <c r="V37" s="1"/>
  <c r="FR37"/>
  <c r="GL37"/>
  <c r="GO37"/>
  <c r="GP37"/>
  <c r="GV37"/>
  <c r="HC37"/>
  <c r="GX37" s="1"/>
  <c r="C38"/>
  <c r="D38"/>
  <c r="I38"/>
  <c r="CX9" i="3" s="1"/>
  <c r="AC38" i="1"/>
  <c r="CQ38" s="1"/>
  <c r="P38" s="1"/>
  <c r="AD38"/>
  <c r="CR38" s="1"/>
  <c r="Q38" s="1"/>
  <c r="AE38"/>
  <c r="CS38" s="1"/>
  <c r="R38" s="1"/>
  <c r="AF38"/>
  <c r="AG38"/>
  <c r="CU38" s="1"/>
  <c r="T38" s="1"/>
  <c r="AH38"/>
  <c r="CV38" s="1"/>
  <c r="U38" s="1"/>
  <c r="AI38"/>
  <c r="CW38" s="1"/>
  <c r="V38" s="1"/>
  <c r="AJ38"/>
  <c r="CT38"/>
  <c r="S38" s="1"/>
  <c r="CX38"/>
  <c r="W38" s="1"/>
  <c r="FR38"/>
  <c r="GL38"/>
  <c r="GO38"/>
  <c r="GP38"/>
  <c r="GV38"/>
  <c r="HC38" s="1"/>
  <c r="GX38" s="1"/>
  <c r="C39"/>
  <c r="D39"/>
  <c r="I39"/>
  <c r="CX11" i="3" s="1"/>
  <c r="AC39" i="1"/>
  <c r="AD39"/>
  <c r="AB39" s="1"/>
  <c r="AE39"/>
  <c r="CS39" s="1"/>
  <c r="R39" s="1"/>
  <c r="AF39"/>
  <c r="CT39" s="1"/>
  <c r="S39" s="1"/>
  <c r="AG39"/>
  <c r="AH39"/>
  <c r="CV39" s="1"/>
  <c r="U39" s="1"/>
  <c r="AI39"/>
  <c r="CW39" s="1"/>
  <c r="V39" s="1"/>
  <c r="AJ39"/>
  <c r="CX39" s="1"/>
  <c r="W39" s="1"/>
  <c r="CQ39"/>
  <c r="P39" s="1"/>
  <c r="CU39"/>
  <c r="T39" s="1"/>
  <c r="FR39"/>
  <c r="GL39"/>
  <c r="GO39"/>
  <c r="GP39"/>
  <c r="GV39"/>
  <c r="HC39" s="1"/>
  <c r="GX39" s="1"/>
  <c r="B41"/>
  <c r="B28" s="1"/>
  <c r="C41"/>
  <c r="C28" s="1"/>
  <c r="D41"/>
  <c r="D28" s="1"/>
  <c r="F41"/>
  <c r="F28" s="1"/>
  <c r="G41"/>
  <c r="G28" s="1"/>
  <c r="BX41"/>
  <c r="AO41" s="1"/>
  <c r="BY41"/>
  <c r="BY28" s="1"/>
  <c r="BZ41"/>
  <c r="BZ28" s="1"/>
  <c r="CC41"/>
  <c r="CC28" s="1"/>
  <c r="CD41"/>
  <c r="CD28" s="1"/>
  <c r="CG41"/>
  <c r="CG28" s="1"/>
  <c r="CK41"/>
  <c r="CK28" s="1"/>
  <c r="CL41"/>
  <c r="CL28" s="1"/>
  <c r="CM41"/>
  <c r="BD41" s="1"/>
  <c r="D71"/>
  <c r="E73"/>
  <c r="Z73"/>
  <c r="AA73"/>
  <c r="AB73"/>
  <c r="AC73"/>
  <c r="AD73"/>
  <c r="AE73"/>
  <c r="AF73"/>
  <c r="AG73"/>
  <c r="AH73"/>
  <c r="AI73"/>
  <c r="AJ73"/>
  <c r="AK73"/>
  <c r="AL73"/>
  <c r="AM73"/>
  <c r="AN73"/>
  <c r="BE73"/>
  <c r="BF73"/>
  <c r="BG73"/>
  <c r="BH73"/>
  <c r="BI73"/>
  <c r="BJ73"/>
  <c r="BK73"/>
  <c r="BL73"/>
  <c r="BM73"/>
  <c r="BN73"/>
  <c r="BO73"/>
  <c r="BP73"/>
  <c r="BQ73"/>
  <c r="BR73"/>
  <c r="BS73"/>
  <c r="BT73"/>
  <c r="BU73"/>
  <c r="BV73"/>
  <c r="BW73"/>
  <c r="BX73"/>
  <c r="BY73"/>
  <c r="BZ73"/>
  <c r="CA73"/>
  <c r="CB73"/>
  <c r="CC73"/>
  <c r="CD73"/>
  <c r="CE73"/>
  <c r="CF73"/>
  <c r="CG73"/>
  <c r="CH73"/>
  <c r="CI73"/>
  <c r="CJ73"/>
  <c r="CK73"/>
  <c r="CL73"/>
  <c r="CM73"/>
  <c r="CN73"/>
  <c r="CO73"/>
  <c r="CP73"/>
  <c r="CQ73"/>
  <c r="CR73"/>
  <c r="CS73"/>
  <c r="CT73"/>
  <c r="CU73"/>
  <c r="CV73"/>
  <c r="CW73"/>
  <c r="CX73"/>
  <c r="CY73"/>
  <c r="CZ73"/>
  <c r="DA73"/>
  <c r="DB73"/>
  <c r="DC73"/>
  <c r="DD73"/>
  <c r="DE73"/>
  <c r="DF73"/>
  <c r="DG73"/>
  <c r="DH73"/>
  <c r="DI73"/>
  <c r="DJ73"/>
  <c r="DK73"/>
  <c r="DL73"/>
  <c r="DM73"/>
  <c r="DN73"/>
  <c r="DO73"/>
  <c r="DP73"/>
  <c r="DQ73"/>
  <c r="DR73"/>
  <c r="DS73"/>
  <c r="DT73"/>
  <c r="DU73"/>
  <c r="DV73"/>
  <c r="DW73"/>
  <c r="DX73"/>
  <c r="DY73"/>
  <c r="DZ73"/>
  <c r="EA73"/>
  <c r="EB73"/>
  <c r="EC73"/>
  <c r="ED73"/>
  <c r="EE73"/>
  <c r="EF73"/>
  <c r="EG73"/>
  <c r="EH73"/>
  <c r="EI73"/>
  <c r="EJ73"/>
  <c r="EK73"/>
  <c r="EL73"/>
  <c r="EM73"/>
  <c r="EN73"/>
  <c r="EO73"/>
  <c r="EP73"/>
  <c r="EQ73"/>
  <c r="ER73"/>
  <c r="ES73"/>
  <c r="ET73"/>
  <c r="EU73"/>
  <c r="EV73"/>
  <c r="EW73"/>
  <c r="EX73"/>
  <c r="EY73"/>
  <c r="EZ73"/>
  <c r="FA73"/>
  <c r="FB73"/>
  <c r="FC73"/>
  <c r="FD73"/>
  <c r="FE73"/>
  <c r="FF73"/>
  <c r="FG73"/>
  <c r="FH73"/>
  <c r="FI73"/>
  <c r="FJ73"/>
  <c r="FK73"/>
  <c r="FL73"/>
  <c r="FM73"/>
  <c r="FN73"/>
  <c r="FO73"/>
  <c r="FP73"/>
  <c r="FQ73"/>
  <c r="FR73"/>
  <c r="FS73"/>
  <c r="FT73"/>
  <c r="FU73"/>
  <c r="FV73"/>
  <c r="FW73"/>
  <c r="FX73"/>
  <c r="FY73"/>
  <c r="FZ73"/>
  <c r="GA73"/>
  <c r="GB73"/>
  <c r="GC73"/>
  <c r="GD73"/>
  <c r="GE73"/>
  <c r="GF73"/>
  <c r="GG73"/>
  <c r="GH73"/>
  <c r="GI73"/>
  <c r="GJ73"/>
  <c r="GK73"/>
  <c r="GL73"/>
  <c r="GM73"/>
  <c r="GN73"/>
  <c r="GO73"/>
  <c r="GP73"/>
  <c r="GQ73"/>
  <c r="GR73"/>
  <c r="GS73"/>
  <c r="GT73"/>
  <c r="GU73"/>
  <c r="GV73"/>
  <c r="GW73"/>
  <c r="GX73"/>
  <c r="D75"/>
  <c r="E77"/>
  <c r="Z77"/>
  <c r="AA77"/>
  <c r="AM77"/>
  <c r="AN77"/>
  <c r="BE77"/>
  <c r="BF77"/>
  <c r="BG77"/>
  <c r="BH77"/>
  <c r="BI77"/>
  <c r="BJ77"/>
  <c r="BK77"/>
  <c r="BL77"/>
  <c r="BM77"/>
  <c r="BN77"/>
  <c r="BO77"/>
  <c r="BP77"/>
  <c r="BQ77"/>
  <c r="BR77"/>
  <c r="BS77"/>
  <c r="BT77"/>
  <c r="BU77"/>
  <c r="BV77"/>
  <c r="BW77"/>
  <c r="CN77"/>
  <c r="CO77"/>
  <c r="CP77"/>
  <c r="CQ77"/>
  <c r="CR77"/>
  <c r="CS77"/>
  <c r="CT77"/>
  <c r="CU77"/>
  <c r="CV77"/>
  <c r="CW77"/>
  <c r="CX77"/>
  <c r="CY77"/>
  <c r="CZ77"/>
  <c r="DA77"/>
  <c r="DB77"/>
  <c r="DC77"/>
  <c r="DD77"/>
  <c r="DE77"/>
  <c r="DF77"/>
  <c r="DG77"/>
  <c r="DH77"/>
  <c r="DI77"/>
  <c r="DJ77"/>
  <c r="DK77"/>
  <c r="DL77"/>
  <c r="DM77"/>
  <c r="DN77"/>
  <c r="DO77"/>
  <c r="DP77"/>
  <c r="DQ77"/>
  <c r="DR77"/>
  <c r="DS77"/>
  <c r="DT77"/>
  <c r="DU77"/>
  <c r="DV77"/>
  <c r="DW77"/>
  <c r="DX77"/>
  <c r="DY77"/>
  <c r="DZ77"/>
  <c r="EA77"/>
  <c r="EB77"/>
  <c r="EC77"/>
  <c r="ED77"/>
  <c r="EE77"/>
  <c r="EF77"/>
  <c r="EG77"/>
  <c r="EH77"/>
  <c r="EI77"/>
  <c r="EJ77"/>
  <c r="EK77"/>
  <c r="EL77"/>
  <c r="EM77"/>
  <c r="EN77"/>
  <c r="EO77"/>
  <c r="EP77"/>
  <c r="EQ77"/>
  <c r="ER77"/>
  <c r="ES77"/>
  <c r="ET77"/>
  <c r="EU77"/>
  <c r="EV77"/>
  <c r="EW77"/>
  <c r="EX77"/>
  <c r="EY77"/>
  <c r="EZ77"/>
  <c r="FA77"/>
  <c r="FB77"/>
  <c r="FC77"/>
  <c r="FD77"/>
  <c r="FE77"/>
  <c r="FF77"/>
  <c r="FG77"/>
  <c r="FH77"/>
  <c r="FI77"/>
  <c r="FJ77"/>
  <c r="FK77"/>
  <c r="FL77"/>
  <c r="FM77"/>
  <c r="FN77"/>
  <c r="FO77"/>
  <c r="FP77"/>
  <c r="FQ77"/>
  <c r="FR77"/>
  <c r="FS77"/>
  <c r="FT77"/>
  <c r="FU77"/>
  <c r="FV77"/>
  <c r="FW77"/>
  <c r="FX77"/>
  <c r="FY77"/>
  <c r="FZ77"/>
  <c r="GA77"/>
  <c r="GB77"/>
  <c r="GC77"/>
  <c r="GD77"/>
  <c r="GE77"/>
  <c r="GF77"/>
  <c r="GG77"/>
  <c r="GH77"/>
  <c r="GI77"/>
  <c r="GJ77"/>
  <c r="GK77"/>
  <c r="GL77"/>
  <c r="GM77"/>
  <c r="GN77"/>
  <c r="GO77"/>
  <c r="GP77"/>
  <c r="GQ77"/>
  <c r="GR77"/>
  <c r="GS77"/>
  <c r="GT77"/>
  <c r="GU77"/>
  <c r="GV77"/>
  <c r="GW77"/>
  <c r="GX77"/>
  <c r="C79"/>
  <c r="D79"/>
  <c r="I79"/>
  <c r="CX15" i="3" s="1"/>
  <c r="AC79" i="1"/>
  <c r="AB79" s="1"/>
  <c r="AD79"/>
  <c r="CR79" s="1"/>
  <c r="Q79" s="1"/>
  <c r="AE79"/>
  <c r="CS79" s="1"/>
  <c r="R79" s="1"/>
  <c r="AF79"/>
  <c r="AG79"/>
  <c r="AH79"/>
  <c r="CV79" s="1"/>
  <c r="U79" s="1"/>
  <c r="AI79"/>
  <c r="CW79" s="1"/>
  <c r="V79" s="1"/>
  <c r="AJ79"/>
  <c r="CQ79"/>
  <c r="P79" s="1"/>
  <c r="CP79" s="1"/>
  <c r="O79" s="1"/>
  <c r="CT79"/>
  <c r="S79" s="1"/>
  <c r="CU79"/>
  <c r="T79" s="1"/>
  <c r="CX79"/>
  <c r="W79" s="1"/>
  <c r="FR79"/>
  <c r="GL79"/>
  <c r="GO79"/>
  <c r="GP79"/>
  <c r="GV79"/>
  <c r="HC79" s="1"/>
  <c r="GX79" s="1"/>
  <c r="I80"/>
  <c r="AC80"/>
  <c r="AB80" s="1"/>
  <c r="AE80"/>
  <c r="AD80" s="1"/>
  <c r="CR80" s="1"/>
  <c r="Q80" s="1"/>
  <c r="AF80"/>
  <c r="AG80"/>
  <c r="CU80" s="1"/>
  <c r="T80" s="1"/>
  <c r="AH80"/>
  <c r="AI80"/>
  <c r="AJ80"/>
  <c r="CS80"/>
  <c r="R80" s="1"/>
  <c r="CT80"/>
  <c r="S80" s="1"/>
  <c r="CV80"/>
  <c r="U80" s="1"/>
  <c r="CW80"/>
  <c r="V80" s="1"/>
  <c r="CX80"/>
  <c r="W80" s="1"/>
  <c r="FR80"/>
  <c r="GL80"/>
  <c r="GO80"/>
  <c r="GP80"/>
  <c r="GV80"/>
  <c r="HC80"/>
  <c r="GX80" s="1"/>
  <c r="I81"/>
  <c r="AC81"/>
  <c r="AE81"/>
  <c r="AD81" s="1"/>
  <c r="AF81"/>
  <c r="CT81" s="1"/>
  <c r="S81" s="1"/>
  <c r="AG81"/>
  <c r="AH81"/>
  <c r="AI81"/>
  <c r="AJ81"/>
  <c r="CX81" s="1"/>
  <c r="W81" s="1"/>
  <c r="CQ81"/>
  <c r="P81" s="1"/>
  <c r="CS81"/>
  <c r="R81" s="1"/>
  <c r="CU81"/>
  <c r="T81" s="1"/>
  <c r="CV81"/>
  <c r="U81" s="1"/>
  <c r="CW81"/>
  <c r="V81" s="1"/>
  <c r="FR81"/>
  <c r="GL81"/>
  <c r="GO81"/>
  <c r="GP81"/>
  <c r="GV81"/>
  <c r="HC81"/>
  <c r="GX81" s="1"/>
  <c r="AC82"/>
  <c r="AE82"/>
  <c r="AD82" s="1"/>
  <c r="AF82"/>
  <c r="CT82" s="1"/>
  <c r="S82" s="1"/>
  <c r="AG82"/>
  <c r="AH82"/>
  <c r="AI82"/>
  <c r="AJ82"/>
  <c r="CX82" s="1"/>
  <c r="W82" s="1"/>
  <c r="CQ82"/>
  <c r="P82" s="1"/>
  <c r="CS82"/>
  <c r="R82" s="1"/>
  <c r="CU82"/>
  <c r="T82" s="1"/>
  <c r="CV82"/>
  <c r="U82" s="1"/>
  <c r="CW82"/>
  <c r="V82" s="1"/>
  <c r="FR82"/>
  <c r="GL82"/>
  <c r="GO82"/>
  <c r="GP82"/>
  <c r="GV82"/>
  <c r="HC82"/>
  <c r="GX82" s="1"/>
  <c r="C83"/>
  <c r="D83"/>
  <c r="I83"/>
  <c r="CX23" i="3" s="1"/>
  <c r="AC83" i="1"/>
  <c r="AB83" s="1"/>
  <c r="AE83"/>
  <c r="AD83" s="1"/>
  <c r="CR83" s="1"/>
  <c r="Q83" s="1"/>
  <c r="AF83"/>
  <c r="AG83"/>
  <c r="CU83" s="1"/>
  <c r="T83" s="1"/>
  <c r="AH83"/>
  <c r="AI83"/>
  <c r="AJ83"/>
  <c r="CS83"/>
  <c r="R83" s="1"/>
  <c r="CT83"/>
  <c r="S83" s="1"/>
  <c r="CV83"/>
  <c r="U83" s="1"/>
  <c r="CW83"/>
  <c r="V83" s="1"/>
  <c r="CX83"/>
  <c r="W83" s="1"/>
  <c r="FR83"/>
  <c r="GL83"/>
  <c r="GO83"/>
  <c r="GP83"/>
  <c r="GV83"/>
  <c r="HC83"/>
  <c r="GX83" s="1"/>
  <c r="I84"/>
  <c r="AC84"/>
  <c r="AE84"/>
  <c r="AD84" s="1"/>
  <c r="AF84"/>
  <c r="CT84" s="1"/>
  <c r="S84" s="1"/>
  <c r="AG84"/>
  <c r="AH84"/>
  <c r="AI84"/>
  <c r="AJ84"/>
  <c r="CX84" s="1"/>
  <c r="W84" s="1"/>
  <c r="CQ84"/>
  <c r="P84" s="1"/>
  <c r="CS84"/>
  <c r="R84" s="1"/>
  <c r="CU84"/>
  <c r="T84" s="1"/>
  <c r="CV84"/>
  <c r="U84" s="1"/>
  <c r="CW84"/>
  <c r="V84" s="1"/>
  <c r="FR84"/>
  <c r="GL84"/>
  <c r="GO84"/>
  <c r="GP84"/>
  <c r="GV84"/>
  <c r="HC84"/>
  <c r="GX84" s="1"/>
  <c r="C86"/>
  <c r="D86"/>
  <c r="I86"/>
  <c r="CX35" i="3" s="1"/>
  <c r="AC86" i="1"/>
  <c r="AB86" s="1"/>
  <c r="AE86"/>
  <c r="AD86" s="1"/>
  <c r="CR86" s="1"/>
  <c r="Q86" s="1"/>
  <c r="AF86"/>
  <c r="AG86"/>
  <c r="CU86" s="1"/>
  <c r="T86" s="1"/>
  <c r="AH86"/>
  <c r="AI86"/>
  <c r="AJ86"/>
  <c r="CS86"/>
  <c r="R86" s="1"/>
  <c r="CT86"/>
  <c r="S86" s="1"/>
  <c r="CV86"/>
  <c r="U86" s="1"/>
  <c r="CW86"/>
  <c r="V86" s="1"/>
  <c r="CX86"/>
  <c r="W86" s="1"/>
  <c r="FR86"/>
  <c r="GL86"/>
  <c r="GO86"/>
  <c r="GP86"/>
  <c r="GV86"/>
  <c r="HC86"/>
  <c r="GX86" s="1"/>
  <c r="C88"/>
  <c r="D88"/>
  <c r="I88"/>
  <c r="CX43" i="3" s="1"/>
  <c r="AC88" i="1"/>
  <c r="AB88" s="1"/>
  <c r="AD88"/>
  <c r="CR88" s="1"/>
  <c r="Q88" s="1"/>
  <c r="AE88"/>
  <c r="AF88"/>
  <c r="AG88"/>
  <c r="AH88"/>
  <c r="CV88" s="1"/>
  <c r="U88" s="1"/>
  <c r="AI88"/>
  <c r="AJ88"/>
  <c r="CQ88"/>
  <c r="P88" s="1"/>
  <c r="CS88"/>
  <c r="R88" s="1"/>
  <c r="CT88"/>
  <c r="S88" s="1"/>
  <c r="CU88"/>
  <c r="T88" s="1"/>
  <c r="CW88"/>
  <c r="V88" s="1"/>
  <c r="CX88"/>
  <c r="W88" s="1"/>
  <c r="FR88"/>
  <c r="GL88"/>
  <c r="GO88"/>
  <c r="GP88"/>
  <c r="GV88"/>
  <c r="HC88" s="1"/>
  <c r="GX88" s="1"/>
  <c r="C89"/>
  <c r="D89"/>
  <c r="I89"/>
  <c r="CX51" i="3" s="1"/>
  <c r="AC89" i="1"/>
  <c r="AD89"/>
  <c r="AB89" s="1"/>
  <c r="AE89"/>
  <c r="AF89"/>
  <c r="CT89" s="1"/>
  <c r="S89" s="1"/>
  <c r="AG89"/>
  <c r="AH89"/>
  <c r="CV89" s="1"/>
  <c r="U89" s="1"/>
  <c r="AI89"/>
  <c r="AJ89"/>
  <c r="CX89" s="1"/>
  <c r="W89" s="1"/>
  <c r="CQ89"/>
  <c r="P89" s="1"/>
  <c r="CS89"/>
  <c r="R89" s="1"/>
  <c r="CU89"/>
  <c r="T89" s="1"/>
  <c r="CW89"/>
  <c r="V89" s="1"/>
  <c r="FR89"/>
  <c r="GL89"/>
  <c r="GO89"/>
  <c r="GP89"/>
  <c r="GV89"/>
  <c r="HC89" s="1"/>
  <c r="GX89" s="1"/>
  <c r="C90"/>
  <c r="D90"/>
  <c r="I90"/>
  <c r="AC90"/>
  <c r="CQ90" s="1"/>
  <c r="P90" s="1"/>
  <c r="AE90"/>
  <c r="AD90" s="1"/>
  <c r="CR90" s="1"/>
  <c r="Q90" s="1"/>
  <c r="AF90"/>
  <c r="AG90"/>
  <c r="CU90" s="1"/>
  <c r="T90" s="1"/>
  <c r="AH90"/>
  <c r="AI90"/>
  <c r="CW90" s="1"/>
  <c r="V90" s="1"/>
  <c r="AJ90"/>
  <c r="CT90"/>
  <c r="S90" s="1"/>
  <c r="CV90"/>
  <c r="U90" s="1"/>
  <c r="CX90"/>
  <c r="W90" s="1"/>
  <c r="FR90"/>
  <c r="GL90"/>
  <c r="GO90"/>
  <c r="GP90"/>
  <c r="GV90"/>
  <c r="GX90"/>
  <c r="HC90"/>
  <c r="C91"/>
  <c r="D91"/>
  <c r="I91"/>
  <c r="AC91"/>
  <c r="AD91"/>
  <c r="CR91" s="1"/>
  <c r="Q91" s="1"/>
  <c r="AE91"/>
  <c r="AF91"/>
  <c r="CT91" s="1"/>
  <c r="S91" s="1"/>
  <c r="AG91"/>
  <c r="AH91"/>
  <c r="CV91" s="1"/>
  <c r="U91" s="1"/>
  <c r="AI91"/>
  <c r="AJ91"/>
  <c r="CX91" s="1"/>
  <c r="W91" s="1"/>
  <c r="CQ91"/>
  <c r="P91" s="1"/>
  <c r="CS91"/>
  <c r="R91" s="1"/>
  <c r="CU91"/>
  <c r="T91" s="1"/>
  <c r="CW91"/>
  <c r="V91" s="1"/>
  <c r="FR91"/>
  <c r="GL91"/>
  <c r="GO91"/>
  <c r="GP91"/>
  <c r="GV91"/>
  <c r="HC91"/>
  <c r="GX91" s="1"/>
  <c r="AC92"/>
  <c r="CQ92" s="1"/>
  <c r="AE92"/>
  <c r="AD92" s="1"/>
  <c r="CR92" s="1"/>
  <c r="AF92"/>
  <c r="AG92"/>
  <c r="CU92" s="1"/>
  <c r="AH92"/>
  <c r="AI92"/>
  <c r="CW92" s="1"/>
  <c r="AJ92"/>
  <c r="CT92"/>
  <c r="CV92"/>
  <c r="CX92"/>
  <c r="FR92"/>
  <c r="GL92"/>
  <c r="GO92"/>
  <c r="GP92"/>
  <c r="GV92"/>
  <c r="HC92"/>
  <c r="I93"/>
  <c r="AC93"/>
  <c r="AD93"/>
  <c r="AB93" s="1"/>
  <c r="AE93"/>
  <c r="AF93"/>
  <c r="CT93" s="1"/>
  <c r="S93" s="1"/>
  <c r="AG93"/>
  <c r="AH93"/>
  <c r="CV93" s="1"/>
  <c r="U93" s="1"/>
  <c r="AI93"/>
  <c r="AJ93"/>
  <c r="CX93" s="1"/>
  <c r="W93" s="1"/>
  <c r="CQ93"/>
  <c r="P93" s="1"/>
  <c r="CS93"/>
  <c r="R93" s="1"/>
  <c r="CU93"/>
  <c r="T93" s="1"/>
  <c r="CW93"/>
  <c r="V93" s="1"/>
  <c r="FR93"/>
  <c r="GL93"/>
  <c r="GO93"/>
  <c r="GP93"/>
  <c r="GV93"/>
  <c r="HC93"/>
  <c r="GX93" s="1"/>
  <c r="C94"/>
  <c r="D94"/>
  <c r="I94"/>
  <c r="AC94"/>
  <c r="CQ94" s="1"/>
  <c r="P94" s="1"/>
  <c r="AE94"/>
  <c r="AD94" s="1"/>
  <c r="CR94" s="1"/>
  <c r="Q94" s="1"/>
  <c r="AF94"/>
  <c r="AG94"/>
  <c r="CU94" s="1"/>
  <c r="T94" s="1"/>
  <c r="AH94"/>
  <c r="AI94"/>
  <c r="CW94" s="1"/>
  <c r="V94" s="1"/>
  <c r="AJ94"/>
  <c r="CT94"/>
  <c r="S94" s="1"/>
  <c r="CV94"/>
  <c r="U94" s="1"/>
  <c r="CX94"/>
  <c r="W94" s="1"/>
  <c r="FR94"/>
  <c r="GL94"/>
  <c r="GO94"/>
  <c r="GP94"/>
  <c r="GV94"/>
  <c r="GX94"/>
  <c r="HC94"/>
  <c r="C95"/>
  <c r="D95"/>
  <c r="AC95"/>
  <c r="AE95"/>
  <c r="CS95" s="1"/>
  <c r="R95" s="1"/>
  <c r="AF95"/>
  <c r="AG95"/>
  <c r="CU95" s="1"/>
  <c r="T95" s="1"/>
  <c r="AH95"/>
  <c r="AI95"/>
  <c r="CW95" s="1"/>
  <c r="V95" s="1"/>
  <c r="AJ95"/>
  <c r="CT95"/>
  <c r="S95" s="1"/>
  <c r="CV95"/>
  <c r="U95" s="1"/>
  <c r="CX95"/>
  <c r="W95" s="1"/>
  <c r="FR95"/>
  <c r="GL95"/>
  <c r="GO95"/>
  <c r="GP95"/>
  <c r="GV95"/>
  <c r="GX95"/>
  <c r="HC95"/>
  <c r="I96"/>
  <c r="AC96"/>
  <c r="AD96"/>
  <c r="CR96" s="1"/>
  <c r="Q96" s="1"/>
  <c r="AE96"/>
  <c r="AF96"/>
  <c r="CT96" s="1"/>
  <c r="S96" s="1"/>
  <c r="AG96"/>
  <c r="AH96"/>
  <c r="CV96" s="1"/>
  <c r="U96" s="1"/>
  <c r="AI96"/>
  <c r="AJ96"/>
  <c r="CX96" s="1"/>
  <c r="W96" s="1"/>
  <c r="CQ96"/>
  <c r="P96" s="1"/>
  <c r="CP96" s="1"/>
  <c r="O96" s="1"/>
  <c r="CS96"/>
  <c r="R96" s="1"/>
  <c r="CU96"/>
  <c r="T96" s="1"/>
  <c r="CW96"/>
  <c r="V96" s="1"/>
  <c r="FR96"/>
  <c r="GL96"/>
  <c r="GO96"/>
  <c r="GP96"/>
  <c r="GV96"/>
  <c r="HC96"/>
  <c r="GX96" s="1"/>
  <c r="I97"/>
  <c r="AC97"/>
  <c r="CQ97" s="1"/>
  <c r="P97" s="1"/>
  <c r="AE97"/>
  <c r="AD97" s="1"/>
  <c r="CR97" s="1"/>
  <c r="Q97" s="1"/>
  <c r="AF97"/>
  <c r="AG97"/>
  <c r="CU97" s="1"/>
  <c r="T97" s="1"/>
  <c r="AH97"/>
  <c r="AI97"/>
  <c r="CW97" s="1"/>
  <c r="V97" s="1"/>
  <c r="AJ97"/>
  <c r="CT97"/>
  <c r="S97" s="1"/>
  <c r="CV97"/>
  <c r="U97" s="1"/>
  <c r="CX97"/>
  <c r="W97" s="1"/>
  <c r="FR97"/>
  <c r="GL97"/>
  <c r="BZ99" s="1"/>
  <c r="GO97"/>
  <c r="GP97"/>
  <c r="CD99" s="1"/>
  <c r="GV97"/>
  <c r="GX97"/>
  <c r="HC97"/>
  <c r="B99"/>
  <c r="B77" s="1"/>
  <c r="C99"/>
  <c r="C77" s="1"/>
  <c r="D99"/>
  <c r="D77" s="1"/>
  <c r="F99"/>
  <c r="F77" s="1"/>
  <c r="G99"/>
  <c r="G77" s="1"/>
  <c r="BX99"/>
  <c r="BX77" s="1"/>
  <c r="BY99"/>
  <c r="BY77" s="1"/>
  <c r="CC99"/>
  <c r="CC77" s="1"/>
  <c r="CK99"/>
  <c r="CK77" s="1"/>
  <c r="CL99"/>
  <c r="CL77" s="1"/>
  <c r="CM99"/>
  <c r="CM77" s="1"/>
  <c r="B129"/>
  <c r="B73" s="1"/>
  <c r="C129"/>
  <c r="C73" s="1"/>
  <c r="D129"/>
  <c r="D73" s="1"/>
  <c r="F129"/>
  <c r="F73" s="1"/>
  <c r="G129"/>
  <c r="G73" s="1"/>
  <c r="D159"/>
  <c r="E161"/>
  <c r="Z161"/>
  <c r="AA161"/>
  <c r="AM161"/>
  <c r="AN161"/>
  <c r="BE161"/>
  <c r="BF161"/>
  <c r="BG161"/>
  <c r="BH161"/>
  <c r="BI161"/>
  <c r="BJ161"/>
  <c r="BK161"/>
  <c r="BL161"/>
  <c r="BM161"/>
  <c r="BN161"/>
  <c r="BO161"/>
  <c r="BP161"/>
  <c r="BQ161"/>
  <c r="BR161"/>
  <c r="BS161"/>
  <c r="BT161"/>
  <c r="BU161"/>
  <c r="BV161"/>
  <c r="BW161"/>
  <c r="CN161"/>
  <c r="CO161"/>
  <c r="CP161"/>
  <c r="CQ161"/>
  <c r="CR161"/>
  <c r="CS161"/>
  <c r="CT161"/>
  <c r="CU161"/>
  <c r="CV161"/>
  <c r="CW161"/>
  <c r="CX161"/>
  <c r="CY161"/>
  <c r="CZ161"/>
  <c r="DA161"/>
  <c r="DB161"/>
  <c r="DC161"/>
  <c r="DD161"/>
  <c r="DE161"/>
  <c r="DF161"/>
  <c r="DG161"/>
  <c r="DH161"/>
  <c r="DI161"/>
  <c r="DJ161"/>
  <c r="DK161"/>
  <c r="DL161"/>
  <c r="DM161"/>
  <c r="DN161"/>
  <c r="DO161"/>
  <c r="DP161"/>
  <c r="DQ161"/>
  <c r="DR161"/>
  <c r="DS161"/>
  <c r="DT161"/>
  <c r="DU161"/>
  <c r="DV161"/>
  <c r="DW161"/>
  <c r="DX161"/>
  <c r="DY161"/>
  <c r="DZ161"/>
  <c r="EA161"/>
  <c r="EB161"/>
  <c r="EC161"/>
  <c r="ED161"/>
  <c r="EE161"/>
  <c r="EF161"/>
  <c r="EG161"/>
  <c r="EH161"/>
  <c r="EI161"/>
  <c r="EJ161"/>
  <c r="EK161"/>
  <c r="EL161"/>
  <c r="EM161"/>
  <c r="EN161"/>
  <c r="EO161"/>
  <c r="EP161"/>
  <c r="EQ161"/>
  <c r="ER161"/>
  <c r="ES161"/>
  <c r="ET161"/>
  <c r="EU161"/>
  <c r="EV161"/>
  <c r="EW161"/>
  <c r="EX161"/>
  <c r="EY161"/>
  <c r="EZ161"/>
  <c r="FA161"/>
  <c r="FB161"/>
  <c r="FC161"/>
  <c r="FD161"/>
  <c r="FE161"/>
  <c r="FF161"/>
  <c r="FG161"/>
  <c r="FH161"/>
  <c r="FI161"/>
  <c r="FJ161"/>
  <c r="FK161"/>
  <c r="FL161"/>
  <c r="FM161"/>
  <c r="FN161"/>
  <c r="FO161"/>
  <c r="FP161"/>
  <c r="FQ161"/>
  <c r="FR161"/>
  <c r="FS161"/>
  <c r="FT161"/>
  <c r="FU161"/>
  <c r="FV161"/>
  <c r="FW161"/>
  <c r="FX161"/>
  <c r="FY161"/>
  <c r="FZ161"/>
  <c r="GA161"/>
  <c r="GB161"/>
  <c r="GC161"/>
  <c r="GD161"/>
  <c r="GE161"/>
  <c r="GF161"/>
  <c r="GG161"/>
  <c r="GH161"/>
  <c r="GI161"/>
  <c r="GJ161"/>
  <c r="GK161"/>
  <c r="GL161"/>
  <c r="GM161"/>
  <c r="GN161"/>
  <c r="GO161"/>
  <c r="GP161"/>
  <c r="GQ161"/>
  <c r="GR161"/>
  <c r="GS161"/>
  <c r="GT161"/>
  <c r="GU161"/>
  <c r="GV161"/>
  <c r="GW161"/>
  <c r="GX161"/>
  <c r="C163"/>
  <c r="D163"/>
  <c r="I163"/>
  <c r="AC163"/>
  <c r="AD163"/>
  <c r="CR163" s="1"/>
  <c r="Q163" s="1"/>
  <c r="AE163"/>
  <c r="AF163"/>
  <c r="CT163" s="1"/>
  <c r="S163" s="1"/>
  <c r="AG163"/>
  <c r="AH163"/>
  <c r="CV163" s="1"/>
  <c r="U163" s="1"/>
  <c r="AI163"/>
  <c r="AJ163"/>
  <c r="CX163" s="1"/>
  <c r="W163" s="1"/>
  <c r="CQ163"/>
  <c r="P163" s="1"/>
  <c r="CS163"/>
  <c r="R163" s="1"/>
  <c r="CU163"/>
  <c r="T163" s="1"/>
  <c r="CW163"/>
  <c r="V163" s="1"/>
  <c r="FR163"/>
  <c r="GL163"/>
  <c r="GO163"/>
  <c r="GP163"/>
  <c r="GV163"/>
  <c r="HC163" s="1"/>
  <c r="GX163" s="1"/>
  <c r="C164"/>
  <c r="D164"/>
  <c r="I164"/>
  <c r="AC164"/>
  <c r="AE164"/>
  <c r="CS164" s="1"/>
  <c r="R164" s="1"/>
  <c r="AF164"/>
  <c r="AG164"/>
  <c r="CU164" s="1"/>
  <c r="T164" s="1"/>
  <c r="AH164"/>
  <c r="AI164"/>
  <c r="CW164" s="1"/>
  <c r="V164" s="1"/>
  <c r="AJ164"/>
  <c r="CT164"/>
  <c r="S164" s="1"/>
  <c r="CV164"/>
  <c r="U164" s="1"/>
  <c r="CX164"/>
  <c r="W164" s="1"/>
  <c r="FR164"/>
  <c r="GL164"/>
  <c r="GO164"/>
  <c r="GP164"/>
  <c r="GV164"/>
  <c r="GX164"/>
  <c r="HC164"/>
  <c r="C165"/>
  <c r="D165"/>
  <c r="I165"/>
  <c r="AC165"/>
  <c r="AD165"/>
  <c r="AB165" s="1"/>
  <c r="AE165"/>
  <c r="AF165"/>
  <c r="CT165" s="1"/>
  <c r="S165" s="1"/>
  <c r="AG165"/>
  <c r="AH165"/>
  <c r="CV165" s="1"/>
  <c r="U165" s="1"/>
  <c r="AI165"/>
  <c r="AJ165"/>
  <c r="CX165" s="1"/>
  <c r="W165" s="1"/>
  <c r="CQ165"/>
  <c r="P165" s="1"/>
  <c r="CS165"/>
  <c r="R165" s="1"/>
  <c r="CU165"/>
  <c r="T165" s="1"/>
  <c r="CW165"/>
  <c r="V165" s="1"/>
  <c r="FR165"/>
  <c r="GL165"/>
  <c r="GO165"/>
  <c r="GP165"/>
  <c r="GV165"/>
  <c r="HC165"/>
  <c r="GX165" s="1"/>
  <c r="AC166"/>
  <c r="AE166"/>
  <c r="CS166" s="1"/>
  <c r="AF166"/>
  <c r="AG166"/>
  <c r="CU166" s="1"/>
  <c r="AH166"/>
  <c r="AI166"/>
  <c r="CW166" s="1"/>
  <c r="AJ166"/>
  <c r="CT166"/>
  <c r="CV166"/>
  <c r="CX166"/>
  <c r="FR166"/>
  <c r="GL166"/>
  <c r="GO166"/>
  <c r="GP166"/>
  <c r="GV166"/>
  <c r="HC166"/>
  <c r="I167"/>
  <c r="AC167"/>
  <c r="AD167"/>
  <c r="CR167" s="1"/>
  <c r="Q167" s="1"/>
  <c r="AE167"/>
  <c r="AF167"/>
  <c r="CT167" s="1"/>
  <c r="S167" s="1"/>
  <c r="AG167"/>
  <c r="AH167"/>
  <c r="CV167" s="1"/>
  <c r="U167" s="1"/>
  <c r="AI167"/>
  <c r="AJ167"/>
  <c r="CX167" s="1"/>
  <c r="W167" s="1"/>
  <c r="CQ167"/>
  <c r="P167" s="1"/>
  <c r="CP167" s="1"/>
  <c r="O167" s="1"/>
  <c r="CS167"/>
  <c r="R167" s="1"/>
  <c r="CU167"/>
  <c r="T167" s="1"/>
  <c r="CW167"/>
  <c r="V167" s="1"/>
  <c r="FR167"/>
  <c r="GL167"/>
  <c r="GO167"/>
  <c r="GP167"/>
  <c r="GV167"/>
  <c r="HC167"/>
  <c r="GX167" s="1"/>
  <c r="C168"/>
  <c r="D168"/>
  <c r="I168"/>
  <c r="AC168"/>
  <c r="AE168"/>
  <c r="CS168" s="1"/>
  <c r="R168" s="1"/>
  <c r="AF168"/>
  <c r="AG168"/>
  <c r="CU168" s="1"/>
  <c r="T168" s="1"/>
  <c r="AH168"/>
  <c r="AI168"/>
  <c r="CW168" s="1"/>
  <c r="V168" s="1"/>
  <c r="AJ168"/>
  <c r="CT168"/>
  <c r="S168" s="1"/>
  <c r="CV168"/>
  <c r="U168" s="1"/>
  <c r="CX168"/>
  <c r="W168" s="1"/>
  <c r="FR168"/>
  <c r="GL168"/>
  <c r="GO168"/>
  <c r="GP168"/>
  <c r="GV168"/>
  <c r="GX168"/>
  <c r="HC168"/>
  <c r="I169"/>
  <c r="AC169"/>
  <c r="AD169"/>
  <c r="CR169" s="1"/>
  <c r="Q169" s="1"/>
  <c r="AE169"/>
  <c r="AF169"/>
  <c r="CT169" s="1"/>
  <c r="S169" s="1"/>
  <c r="AG169"/>
  <c r="AH169"/>
  <c r="CV169" s="1"/>
  <c r="U169" s="1"/>
  <c r="AI169"/>
  <c r="AJ169"/>
  <c r="CX169" s="1"/>
  <c r="W169" s="1"/>
  <c r="CQ169"/>
  <c r="P169" s="1"/>
  <c r="CS169"/>
  <c r="R169" s="1"/>
  <c r="CU169"/>
  <c r="T169" s="1"/>
  <c r="CW169"/>
  <c r="V169" s="1"/>
  <c r="FR169"/>
  <c r="GL169"/>
  <c r="GO169"/>
  <c r="GP169"/>
  <c r="GV169"/>
  <c r="HC169"/>
  <c r="GX169" s="1"/>
  <c r="AC170"/>
  <c r="AD170"/>
  <c r="CR170" s="1"/>
  <c r="Q170" s="1"/>
  <c r="AE170"/>
  <c r="AF170"/>
  <c r="CT170" s="1"/>
  <c r="S170" s="1"/>
  <c r="AG170"/>
  <c r="AH170"/>
  <c r="CV170" s="1"/>
  <c r="U170" s="1"/>
  <c r="AI170"/>
  <c r="AJ170"/>
  <c r="CX170" s="1"/>
  <c r="W170" s="1"/>
  <c r="CQ170"/>
  <c r="P170" s="1"/>
  <c r="CS170"/>
  <c r="R170" s="1"/>
  <c r="CU170"/>
  <c r="T170" s="1"/>
  <c r="CW170"/>
  <c r="V170" s="1"/>
  <c r="FR170"/>
  <c r="GL170"/>
  <c r="GO170"/>
  <c r="GP170"/>
  <c r="GV170"/>
  <c r="HC170"/>
  <c r="GX170" s="1"/>
  <c r="AC171"/>
  <c r="AD171"/>
  <c r="CR171" s="1"/>
  <c r="Q171" s="1"/>
  <c r="AE171"/>
  <c r="AF171"/>
  <c r="CT171" s="1"/>
  <c r="S171" s="1"/>
  <c r="AG171"/>
  <c r="AH171"/>
  <c r="CV171" s="1"/>
  <c r="U171" s="1"/>
  <c r="AI171"/>
  <c r="AJ171"/>
  <c r="CX171" s="1"/>
  <c r="W171" s="1"/>
  <c r="CQ171"/>
  <c r="P171" s="1"/>
  <c r="CS171"/>
  <c r="R171" s="1"/>
  <c r="CU171"/>
  <c r="T171" s="1"/>
  <c r="CW171"/>
  <c r="V171" s="1"/>
  <c r="FR171"/>
  <c r="BY174" s="1"/>
  <c r="GL171"/>
  <c r="GO171"/>
  <c r="CC174" s="1"/>
  <c r="GP171"/>
  <c r="GV171"/>
  <c r="HC171"/>
  <c r="GX171" s="1"/>
  <c r="C172"/>
  <c r="D172"/>
  <c r="AC172"/>
  <c r="AD172"/>
  <c r="AB172" s="1"/>
  <c r="AE172"/>
  <c r="AF172"/>
  <c r="CT172" s="1"/>
  <c r="S172" s="1"/>
  <c r="AG172"/>
  <c r="AH172"/>
  <c r="CV172" s="1"/>
  <c r="U172" s="1"/>
  <c r="AI172"/>
  <c r="AJ172"/>
  <c r="CX172" s="1"/>
  <c r="W172" s="1"/>
  <c r="CQ172"/>
  <c r="P172" s="1"/>
  <c r="CS172"/>
  <c r="R172" s="1"/>
  <c r="CU172"/>
  <c r="T172" s="1"/>
  <c r="CW172"/>
  <c r="V172" s="1"/>
  <c r="FR172"/>
  <c r="GL172"/>
  <c r="GO172"/>
  <c r="GP172"/>
  <c r="GV172"/>
  <c r="HC172" s="1"/>
  <c r="GX172" s="1"/>
  <c r="B174"/>
  <c r="B161" s="1"/>
  <c r="C174"/>
  <c r="C161" s="1"/>
  <c r="D174"/>
  <c r="D161" s="1"/>
  <c r="F174"/>
  <c r="F161" s="1"/>
  <c r="G174"/>
  <c r="G161" s="1"/>
  <c r="BX174"/>
  <c r="BX161" s="1"/>
  <c r="BZ174"/>
  <c r="BZ161" s="1"/>
  <c r="CD174"/>
  <c r="CD161" s="1"/>
  <c r="CK174"/>
  <c r="BB174" s="1"/>
  <c r="CL174"/>
  <c r="CL161" s="1"/>
  <c r="CM174"/>
  <c r="CM161" s="1"/>
  <c r="D204"/>
  <c r="E206"/>
  <c r="Z206"/>
  <c r="AA206"/>
  <c r="AM206"/>
  <c r="AN206"/>
  <c r="BE206"/>
  <c r="BF206"/>
  <c r="BG206"/>
  <c r="BH206"/>
  <c r="BI206"/>
  <c r="BJ206"/>
  <c r="BK206"/>
  <c r="BL206"/>
  <c r="BM206"/>
  <c r="BN206"/>
  <c r="BO206"/>
  <c r="BP206"/>
  <c r="BQ206"/>
  <c r="BR206"/>
  <c r="BS206"/>
  <c r="BT206"/>
  <c r="BU206"/>
  <c r="BV206"/>
  <c r="BW206"/>
  <c r="CN206"/>
  <c r="CO206"/>
  <c r="CP206"/>
  <c r="CQ206"/>
  <c r="CR206"/>
  <c r="CS206"/>
  <c r="CT206"/>
  <c r="CU206"/>
  <c r="CV206"/>
  <c r="CW206"/>
  <c r="CX206"/>
  <c r="CY206"/>
  <c r="CZ206"/>
  <c r="DA206"/>
  <c r="DB206"/>
  <c r="DC206"/>
  <c r="DD206"/>
  <c r="DE206"/>
  <c r="DF206"/>
  <c r="DG206"/>
  <c r="DH206"/>
  <c r="DI206"/>
  <c r="DJ206"/>
  <c r="DK206"/>
  <c r="DL206"/>
  <c r="DM206"/>
  <c r="DN206"/>
  <c r="DO206"/>
  <c r="DP206"/>
  <c r="DQ206"/>
  <c r="DR206"/>
  <c r="DS206"/>
  <c r="DT206"/>
  <c r="DU206"/>
  <c r="DV206"/>
  <c r="DW206"/>
  <c r="DX206"/>
  <c r="DY206"/>
  <c r="DZ206"/>
  <c r="EA206"/>
  <c r="EB206"/>
  <c r="EC206"/>
  <c r="ED206"/>
  <c r="EE206"/>
  <c r="EF206"/>
  <c r="EG206"/>
  <c r="EH206"/>
  <c r="EI206"/>
  <c r="EJ206"/>
  <c r="EK206"/>
  <c r="EL206"/>
  <c r="EM206"/>
  <c r="EN206"/>
  <c r="EO206"/>
  <c r="EP206"/>
  <c r="EQ206"/>
  <c r="ER206"/>
  <c r="ES206"/>
  <c r="ET206"/>
  <c r="EU206"/>
  <c r="EV206"/>
  <c r="EW206"/>
  <c r="EX206"/>
  <c r="EY206"/>
  <c r="EZ206"/>
  <c r="FA206"/>
  <c r="FB206"/>
  <c r="FC206"/>
  <c r="FD206"/>
  <c r="FE206"/>
  <c r="FF206"/>
  <c r="FG206"/>
  <c r="FH206"/>
  <c r="FI206"/>
  <c r="FJ206"/>
  <c r="FK206"/>
  <c r="FL206"/>
  <c r="FM206"/>
  <c r="FN206"/>
  <c r="FO206"/>
  <c r="FP206"/>
  <c r="FQ206"/>
  <c r="FR206"/>
  <c r="FS206"/>
  <c r="FT206"/>
  <c r="FU206"/>
  <c r="FV206"/>
  <c r="FW206"/>
  <c r="FX206"/>
  <c r="FY206"/>
  <c r="FZ206"/>
  <c r="GA206"/>
  <c r="GB206"/>
  <c r="GC206"/>
  <c r="GD206"/>
  <c r="GE206"/>
  <c r="GF206"/>
  <c r="GG206"/>
  <c r="GH206"/>
  <c r="GI206"/>
  <c r="GJ206"/>
  <c r="GK206"/>
  <c r="GL206"/>
  <c r="GM206"/>
  <c r="GN206"/>
  <c r="GO206"/>
  <c r="GP206"/>
  <c r="GQ206"/>
  <c r="GR206"/>
  <c r="GS206"/>
  <c r="GT206"/>
  <c r="GU206"/>
  <c r="GV206"/>
  <c r="GW206"/>
  <c r="GX206"/>
  <c r="C208"/>
  <c r="D208"/>
  <c r="I208"/>
  <c r="AC208"/>
  <c r="AD208"/>
  <c r="AB208" s="1"/>
  <c r="AE208"/>
  <c r="AF208"/>
  <c r="CT208" s="1"/>
  <c r="S208" s="1"/>
  <c r="AG208"/>
  <c r="AH208"/>
  <c r="CV208" s="1"/>
  <c r="U208" s="1"/>
  <c r="AI208"/>
  <c r="AJ208"/>
  <c r="CX208" s="1"/>
  <c r="W208" s="1"/>
  <c r="CQ208"/>
  <c r="P208" s="1"/>
  <c r="CS208"/>
  <c r="R208" s="1"/>
  <c r="CU208"/>
  <c r="T208" s="1"/>
  <c r="CW208"/>
  <c r="V208" s="1"/>
  <c r="FR208"/>
  <c r="GL208"/>
  <c r="GN208"/>
  <c r="GP208"/>
  <c r="GV208"/>
  <c r="HC208" s="1"/>
  <c r="GX208" s="1"/>
  <c r="C209"/>
  <c r="D209"/>
  <c r="I209"/>
  <c r="AC209"/>
  <c r="CQ209" s="1"/>
  <c r="P209" s="1"/>
  <c r="CP209" s="1"/>
  <c r="O209" s="1"/>
  <c r="AE209"/>
  <c r="AD209" s="1"/>
  <c r="CR209" s="1"/>
  <c r="Q209" s="1"/>
  <c r="AF209"/>
  <c r="AG209"/>
  <c r="CU209" s="1"/>
  <c r="T209" s="1"/>
  <c r="AH209"/>
  <c r="AI209"/>
  <c r="CW209" s="1"/>
  <c r="V209" s="1"/>
  <c r="AJ209"/>
  <c r="CT209"/>
  <c r="S209" s="1"/>
  <c r="CV209"/>
  <c r="U209" s="1"/>
  <c r="CX209"/>
  <c r="W209" s="1"/>
  <c r="FR209"/>
  <c r="GL209"/>
  <c r="GN209"/>
  <c r="GP209"/>
  <c r="GV209"/>
  <c r="GX209"/>
  <c r="HC209"/>
  <c r="I210"/>
  <c r="X210"/>
  <c r="AC210"/>
  <c r="AD210"/>
  <c r="CR210" s="1"/>
  <c r="Q210" s="1"/>
  <c r="AE210"/>
  <c r="AF210"/>
  <c r="CT210" s="1"/>
  <c r="S210" s="1"/>
  <c r="CZ210" s="1"/>
  <c r="Y210" s="1"/>
  <c r="AG210"/>
  <c r="AH210"/>
  <c r="CV210" s="1"/>
  <c r="U210" s="1"/>
  <c r="AI210"/>
  <c r="AJ210"/>
  <c r="CX210" s="1"/>
  <c r="W210" s="1"/>
  <c r="CQ210"/>
  <c r="P210" s="1"/>
  <c r="CS210"/>
  <c r="R210" s="1"/>
  <c r="CU210"/>
  <c r="T210" s="1"/>
  <c r="CW210"/>
  <c r="V210" s="1"/>
  <c r="CY210"/>
  <c r="FR210"/>
  <c r="GL210"/>
  <c r="GN210"/>
  <c r="GP210"/>
  <c r="GV210"/>
  <c r="HC210"/>
  <c r="GX210" s="1"/>
  <c r="C211"/>
  <c r="D211"/>
  <c r="I211"/>
  <c r="S211"/>
  <c r="W211"/>
  <c r="AC211"/>
  <c r="AE211"/>
  <c r="AF211"/>
  <c r="AG211"/>
  <c r="CU211" s="1"/>
  <c r="T211" s="1"/>
  <c r="AH211"/>
  <c r="AI211"/>
  <c r="CW211" s="1"/>
  <c r="V211" s="1"/>
  <c r="AJ211"/>
  <c r="CT211"/>
  <c r="CV211"/>
  <c r="U211" s="1"/>
  <c r="CX211"/>
  <c r="FR211"/>
  <c r="GL211"/>
  <c r="GN211"/>
  <c r="GP211"/>
  <c r="GV211"/>
  <c r="GX211"/>
  <c r="HC211"/>
  <c r="C212"/>
  <c r="D212"/>
  <c r="I212"/>
  <c r="AC212"/>
  <c r="AD212"/>
  <c r="CR212" s="1"/>
  <c r="Q212" s="1"/>
  <c r="AE212"/>
  <c r="AF212"/>
  <c r="CT212" s="1"/>
  <c r="S212" s="1"/>
  <c r="AG212"/>
  <c r="AH212"/>
  <c r="CV212" s="1"/>
  <c r="U212" s="1"/>
  <c r="AI212"/>
  <c r="AJ212"/>
  <c r="CX212" s="1"/>
  <c r="W212" s="1"/>
  <c r="CQ212"/>
  <c r="P212" s="1"/>
  <c r="CP212" s="1"/>
  <c r="O212" s="1"/>
  <c r="CS212"/>
  <c r="R212" s="1"/>
  <c r="CU212"/>
  <c r="T212" s="1"/>
  <c r="CW212"/>
  <c r="V212" s="1"/>
  <c r="FR212"/>
  <c r="GL212"/>
  <c r="GN212"/>
  <c r="GP212"/>
  <c r="GV212"/>
  <c r="HC212" s="1"/>
  <c r="GX212" s="1"/>
  <c r="CJ216" s="1"/>
  <c r="AC213"/>
  <c r="AD213"/>
  <c r="CR213" s="1"/>
  <c r="Q213" s="1"/>
  <c r="AE213"/>
  <c r="AF213"/>
  <c r="CT213" s="1"/>
  <c r="S213" s="1"/>
  <c r="AG213"/>
  <c r="AH213"/>
  <c r="CV213" s="1"/>
  <c r="U213" s="1"/>
  <c r="AI213"/>
  <c r="AJ213"/>
  <c r="CX213" s="1"/>
  <c r="W213" s="1"/>
  <c r="CQ213"/>
  <c r="P213" s="1"/>
  <c r="CP213" s="1"/>
  <c r="O213" s="1"/>
  <c r="CS213"/>
  <c r="R213" s="1"/>
  <c r="CY213" s="1"/>
  <c r="X213" s="1"/>
  <c r="CU213"/>
  <c r="T213" s="1"/>
  <c r="CW213"/>
  <c r="V213" s="1"/>
  <c r="FR213"/>
  <c r="GL213"/>
  <c r="BZ216" s="1"/>
  <c r="GO213"/>
  <c r="GP213"/>
  <c r="GV213"/>
  <c r="GX213"/>
  <c r="HC213"/>
  <c r="AC214"/>
  <c r="AD214"/>
  <c r="AB214" s="1"/>
  <c r="AE214"/>
  <c r="AF214"/>
  <c r="CT214" s="1"/>
  <c r="S214" s="1"/>
  <c r="AG214"/>
  <c r="AH214"/>
  <c r="CV214" s="1"/>
  <c r="U214" s="1"/>
  <c r="AI214"/>
  <c r="AJ214"/>
  <c r="CX214" s="1"/>
  <c r="W214" s="1"/>
  <c r="AJ216" s="1"/>
  <c r="CQ214"/>
  <c r="P214" s="1"/>
  <c r="CS214"/>
  <c r="R214" s="1"/>
  <c r="CU214"/>
  <c r="T214" s="1"/>
  <c r="CW214"/>
  <c r="V214" s="1"/>
  <c r="FR214"/>
  <c r="GL214"/>
  <c r="GO214"/>
  <c r="GP214"/>
  <c r="GV214"/>
  <c r="HC214"/>
  <c r="GX214" s="1"/>
  <c r="B216"/>
  <c r="B206" s="1"/>
  <c r="C216"/>
  <c r="C206" s="1"/>
  <c r="D216"/>
  <c r="D206" s="1"/>
  <c r="F216"/>
  <c r="F206" s="1"/>
  <c r="G216"/>
  <c r="G206" s="1"/>
  <c r="BX216"/>
  <c r="BX206" s="1"/>
  <c r="BY216"/>
  <c r="BY206" s="1"/>
  <c r="CD216"/>
  <c r="CD206" s="1"/>
  <c r="CK216"/>
  <c r="CK206" s="1"/>
  <c r="CL216"/>
  <c r="CL206" s="1"/>
  <c r="B246"/>
  <c r="B22" s="1"/>
  <c r="C246"/>
  <c r="C22" s="1"/>
  <c r="D246"/>
  <c r="D22" s="1"/>
  <c r="F246"/>
  <c r="F22" s="1"/>
  <c r="G246"/>
  <c r="G22" s="1"/>
  <c r="B276"/>
  <c r="B18" s="1"/>
  <c r="C276"/>
  <c r="C18" s="1"/>
  <c r="D276"/>
  <c r="D18" s="1"/>
  <c r="F276"/>
  <c r="F18" s="1"/>
  <c r="G276"/>
  <c r="G18" s="1"/>
  <c r="J141" i="5" l="1"/>
  <c r="K48"/>
  <c r="J52" s="1"/>
  <c r="P52" s="1"/>
  <c r="H179"/>
  <c r="J202"/>
  <c r="P202" s="1"/>
  <c r="G313"/>
  <c r="O313" s="1"/>
  <c r="H49"/>
  <c r="G118"/>
  <c r="O118" s="1"/>
  <c r="H114"/>
  <c r="H128"/>
  <c r="G131" s="1"/>
  <c r="O131" s="1"/>
  <c r="J264"/>
  <c r="P264" s="1"/>
  <c r="G52"/>
  <c r="O52" s="1"/>
  <c r="G89"/>
  <c r="O89" s="1"/>
  <c r="J192"/>
  <c r="P192" s="1"/>
  <c r="K72"/>
  <c r="K114"/>
  <c r="K198"/>
  <c r="H198"/>
  <c r="W202" s="1"/>
  <c r="H248"/>
  <c r="G252" s="1"/>
  <c r="O252" s="1"/>
  <c r="H72"/>
  <c r="G75" s="1"/>
  <c r="O75" s="1"/>
  <c r="K113"/>
  <c r="K197"/>
  <c r="X290"/>
  <c r="K49"/>
  <c r="H71"/>
  <c r="K249"/>
  <c r="J252" s="1"/>
  <c r="P252" s="1"/>
  <c r="P131"/>
  <c r="L208"/>
  <c r="L204"/>
  <c r="J67"/>
  <c r="P67" s="1"/>
  <c r="J82"/>
  <c r="P82" s="1"/>
  <c r="J151"/>
  <c r="P151" s="1"/>
  <c r="G161"/>
  <c r="O161" s="1"/>
  <c r="G221"/>
  <c r="O221" s="1"/>
  <c r="J230"/>
  <c r="P230" s="1"/>
  <c r="G242"/>
  <c r="O242" s="1"/>
  <c r="J280"/>
  <c r="P280" s="1"/>
  <c r="L321"/>
  <c r="X303"/>
  <c r="J313"/>
  <c r="P313" s="1"/>
  <c r="L100"/>
  <c r="L329"/>
  <c r="L325"/>
  <c r="J75"/>
  <c r="P75" s="1"/>
  <c r="J89"/>
  <c r="P89" s="1"/>
  <c r="G98"/>
  <c r="O98" s="1"/>
  <c r="J161"/>
  <c r="P161" s="1"/>
  <c r="G171"/>
  <c r="O171" s="1"/>
  <c r="G183"/>
  <c r="O183" s="1"/>
  <c r="J221"/>
  <c r="P221" s="1"/>
  <c r="J242"/>
  <c r="P242" s="1"/>
  <c r="G290"/>
  <c r="O290" s="1"/>
  <c r="J303"/>
  <c r="P303" s="1"/>
  <c r="G230"/>
  <c r="O230" s="1"/>
  <c r="W230"/>
  <c r="G59"/>
  <c r="O59" s="1"/>
  <c r="J59"/>
  <c r="P59" s="1"/>
  <c r="G67"/>
  <c r="O67" s="1"/>
  <c r="J98"/>
  <c r="P98" s="1"/>
  <c r="J118"/>
  <c r="P118" s="1"/>
  <c r="G141"/>
  <c r="O141" s="1"/>
  <c r="P141"/>
  <c r="G151"/>
  <c r="O151" s="1"/>
  <c r="J171"/>
  <c r="P171" s="1"/>
  <c r="J183"/>
  <c r="P183" s="1"/>
  <c r="G192"/>
  <c r="O192" s="1"/>
  <c r="L266"/>
  <c r="J290"/>
  <c r="P290" s="1"/>
  <c r="R47"/>
  <c r="R55"/>
  <c r="W59"/>
  <c r="W67"/>
  <c r="W75"/>
  <c r="R85"/>
  <c r="W98"/>
  <c r="W120"/>
  <c r="R123"/>
  <c r="R164"/>
  <c r="W171"/>
  <c r="R186"/>
  <c r="W264"/>
  <c r="G264"/>
  <c r="O264" s="1"/>
  <c r="G280"/>
  <c r="O280" s="1"/>
  <c r="G303"/>
  <c r="O303" s="1"/>
  <c r="R306"/>
  <c r="W316"/>
  <c r="W52"/>
  <c r="W82"/>
  <c r="W118"/>
  <c r="W151"/>
  <c r="W161"/>
  <c r="W183"/>
  <c r="X313"/>
  <c r="W89"/>
  <c r="R134"/>
  <c r="W141"/>
  <c r="W192"/>
  <c r="W221"/>
  <c r="W256"/>
  <c r="R273"/>
  <c r="X293"/>
  <c r="G28" s="1"/>
  <c r="R296"/>
  <c r="W319"/>
  <c r="W242"/>
  <c r="BZ206" i="1"/>
  <c r="AQ216"/>
  <c r="CG216"/>
  <c r="AG216"/>
  <c r="AJ206"/>
  <c r="W216"/>
  <c r="CZ214"/>
  <c r="Y214" s="1"/>
  <c r="CY214"/>
  <c r="X214" s="1"/>
  <c r="AF216"/>
  <c r="AI216"/>
  <c r="CJ206"/>
  <c r="BA216"/>
  <c r="CP210"/>
  <c r="O210" s="1"/>
  <c r="AH216"/>
  <c r="CQ211"/>
  <c r="P211" s="1"/>
  <c r="CZ172"/>
  <c r="Y172" s="1"/>
  <c r="CY172"/>
  <c r="X172" s="1"/>
  <c r="CZ171"/>
  <c r="Y171" s="1"/>
  <c r="CY171"/>
  <c r="X171" s="1"/>
  <c r="CZ169"/>
  <c r="Y169" s="1"/>
  <c r="CY169"/>
  <c r="X169" s="1"/>
  <c r="CD77"/>
  <c r="AU99"/>
  <c r="BB216"/>
  <c r="AP216"/>
  <c r="CZ212"/>
  <c r="Y212" s="1"/>
  <c r="AB212"/>
  <c r="AD211"/>
  <c r="CR211" s="1"/>
  <c r="Q211" s="1"/>
  <c r="CS211"/>
  <c r="R211" s="1"/>
  <c r="CZ211" s="1"/>
  <c r="Y211" s="1"/>
  <c r="AP174"/>
  <c r="CI174"/>
  <c r="BY161"/>
  <c r="CZ167"/>
  <c r="Y167" s="1"/>
  <c r="CY167"/>
  <c r="X167" s="1"/>
  <c r="CZ95"/>
  <c r="Y95" s="1"/>
  <c r="CY95"/>
  <c r="X95" s="1"/>
  <c r="CZ93"/>
  <c r="Y93" s="1"/>
  <c r="CY93"/>
  <c r="X93" s="1"/>
  <c r="BC216"/>
  <c r="AU216"/>
  <c r="CR214"/>
  <c r="Q214" s="1"/>
  <c r="CP214" s="1"/>
  <c r="O214" s="1"/>
  <c r="CY212"/>
  <c r="X212" s="1"/>
  <c r="GO212" s="1"/>
  <c r="AB210"/>
  <c r="CP171"/>
  <c r="O171" s="1"/>
  <c r="CP169"/>
  <c r="O169" s="1"/>
  <c r="CX163" i="3"/>
  <c r="CX167"/>
  <c r="CX164"/>
  <c r="CX168"/>
  <c r="CX165"/>
  <c r="CX169"/>
  <c r="CX162"/>
  <c r="CX166"/>
  <c r="BB161" i="1"/>
  <c r="F187"/>
  <c r="CZ170"/>
  <c r="Y170" s="1"/>
  <c r="CY170"/>
  <c r="X170" s="1"/>
  <c r="CZ168"/>
  <c r="Y168" s="1"/>
  <c r="CY168"/>
  <c r="X168" s="1"/>
  <c r="GN167"/>
  <c r="GM167"/>
  <c r="CZ165"/>
  <c r="Y165" s="1"/>
  <c r="CY165"/>
  <c r="X165" s="1"/>
  <c r="CZ164"/>
  <c r="Y164" s="1"/>
  <c r="CY164"/>
  <c r="X164" s="1"/>
  <c r="CZ163"/>
  <c r="Y163" s="1"/>
  <c r="CY163"/>
  <c r="X163" s="1"/>
  <c r="BZ77"/>
  <c r="AQ99"/>
  <c r="CG99"/>
  <c r="CZ91"/>
  <c r="Y91" s="1"/>
  <c r="CY91"/>
  <c r="X91" s="1"/>
  <c r="CZ89"/>
  <c r="Y89" s="1"/>
  <c r="CY89"/>
  <c r="X89" s="1"/>
  <c r="CI216"/>
  <c r="CZ208"/>
  <c r="Y208" s="1"/>
  <c r="CY208"/>
  <c r="X208" s="1"/>
  <c r="AT174"/>
  <c r="CC161"/>
  <c r="CP163"/>
  <c r="O163" s="1"/>
  <c r="CZ96"/>
  <c r="Y96" s="1"/>
  <c r="CY96"/>
  <c r="X96" s="1"/>
  <c r="GM96" s="1"/>
  <c r="AO216"/>
  <c r="CZ213"/>
  <c r="Y213" s="1"/>
  <c r="GN213" s="1"/>
  <c r="AB213"/>
  <c r="CP170"/>
  <c r="O170" s="1"/>
  <c r="CP97"/>
  <c r="O97" s="1"/>
  <c r="CP94"/>
  <c r="O94" s="1"/>
  <c r="CP91"/>
  <c r="O91" s="1"/>
  <c r="CP90"/>
  <c r="O90" s="1"/>
  <c r="CX96" i="3"/>
  <c r="CX97"/>
  <c r="CX98"/>
  <c r="CX63"/>
  <c r="CX67"/>
  <c r="CX71"/>
  <c r="CX64"/>
  <c r="CX68"/>
  <c r="CX65"/>
  <c r="CX69"/>
  <c r="CX66"/>
  <c r="CX70"/>
  <c r="CZ86" i="1"/>
  <c r="Y86" s="1"/>
  <c r="CY86"/>
  <c r="X86" s="1"/>
  <c r="CR84"/>
  <c r="Q84" s="1"/>
  <c r="AB84"/>
  <c r="CZ83"/>
  <c r="Y83" s="1"/>
  <c r="CY83"/>
  <c r="X83" s="1"/>
  <c r="CR82"/>
  <c r="Q82" s="1"/>
  <c r="AB82"/>
  <c r="CZ39"/>
  <c r="Y39" s="1"/>
  <c r="CY39"/>
  <c r="X39" s="1"/>
  <c r="BC174"/>
  <c r="AU174"/>
  <c r="AQ174"/>
  <c r="AB171"/>
  <c r="AB170"/>
  <c r="AB169"/>
  <c r="AB167"/>
  <c r="AB163"/>
  <c r="CK161"/>
  <c r="CI99"/>
  <c r="BD99"/>
  <c r="AB96"/>
  <c r="AB91"/>
  <c r="CX155" i="3"/>
  <c r="CX159"/>
  <c r="CX156"/>
  <c r="CX160"/>
  <c r="CX157"/>
  <c r="CX161"/>
  <c r="CX154"/>
  <c r="CX158"/>
  <c r="CX147"/>
  <c r="CX151"/>
  <c r="CX144"/>
  <c r="CX148"/>
  <c r="CX152"/>
  <c r="CX145"/>
  <c r="CX149"/>
  <c r="CX153"/>
  <c r="CX146"/>
  <c r="CX150"/>
  <c r="CX75"/>
  <c r="CX72"/>
  <c r="CX73"/>
  <c r="CX74"/>
  <c r="CX59"/>
  <c r="CX56"/>
  <c r="CX60"/>
  <c r="CX57"/>
  <c r="CX61"/>
  <c r="CX58"/>
  <c r="CX62"/>
  <c r="CZ84" i="1"/>
  <c r="Y84" s="1"/>
  <c r="CY84"/>
  <c r="X84" s="1"/>
  <c r="CZ82"/>
  <c r="Y82" s="1"/>
  <c r="CY82"/>
  <c r="X82" s="1"/>
  <c r="CZ79"/>
  <c r="Y79" s="1"/>
  <c r="CY79"/>
  <c r="X79" s="1"/>
  <c r="GM79" s="1"/>
  <c r="F66"/>
  <c r="BD28"/>
  <c r="AO28"/>
  <c r="F45"/>
  <c r="CY33"/>
  <c r="X33" s="1"/>
  <c r="CZ33"/>
  <c r="Y33" s="1"/>
  <c r="CZ30"/>
  <c r="Y30" s="1"/>
  <c r="CY30"/>
  <c r="X30" s="1"/>
  <c r="CS209"/>
  <c r="R209" s="1"/>
  <c r="AE216" s="1"/>
  <c r="AB209"/>
  <c r="CR208"/>
  <c r="Q208" s="1"/>
  <c r="AD216" s="1"/>
  <c r="BD174"/>
  <c r="CR172"/>
  <c r="Q172" s="1"/>
  <c r="CP172" s="1"/>
  <c r="O172" s="1"/>
  <c r="CQ168"/>
  <c r="P168" s="1"/>
  <c r="AD168"/>
  <c r="CR168" s="1"/>
  <c r="Q168" s="1"/>
  <c r="CQ166"/>
  <c r="AD166"/>
  <c r="CR166" s="1"/>
  <c r="CR165"/>
  <c r="Q165" s="1"/>
  <c r="CP165" s="1"/>
  <c r="O165" s="1"/>
  <c r="CQ164"/>
  <c r="P164" s="1"/>
  <c r="CP164" s="1"/>
  <c r="O164" s="1"/>
  <c r="AD164"/>
  <c r="CR164" s="1"/>
  <c r="Q164" s="1"/>
  <c r="AO99"/>
  <c r="CS97"/>
  <c r="R97" s="1"/>
  <c r="CZ97" s="1"/>
  <c r="Y97" s="1"/>
  <c r="AB97"/>
  <c r="CQ95"/>
  <c r="P95" s="1"/>
  <c r="AD95"/>
  <c r="CR95" s="1"/>
  <c r="Q95" s="1"/>
  <c r="CS94"/>
  <c r="R94" s="1"/>
  <c r="CZ94" s="1"/>
  <c r="Y94" s="1"/>
  <c r="AB94"/>
  <c r="CR93"/>
  <c r="Q93" s="1"/>
  <c r="CP93" s="1"/>
  <c r="O93" s="1"/>
  <c r="CS92"/>
  <c r="AB92"/>
  <c r="I92"/>
  <c r="GX92" s="1"/>
  <c r="CJ99" s="1"/>
  <c r="CS90"/>
  <c r="R90" s="1"/>
  <c r="AB90"/>
  <c r="CR89"/>
  <c r="Q89" s="1"/>
  <c r="CP89" s="1"/>
  <c r="O89" s="1"/>
  <c r="CP88"/>
  <c r="O88" s="1"/>
  <c r="W31"/>
  <c r="S31"/>
  <c r="CX135" i="3"/>
  <c r="CX139"/>
  <c r="CX143"/>
  <c r="CX136"/>
  <c r="CX140"/>
  <c r="CX137"/>
  <c r="CX141"/>
  <c r="CX138"/>
  <c r="CX142"/>
  <c r="CX103"/>
  <c r="CX107"/>
  <c r="CX111"/>
  <c r="CX115"/>
  <c r="CX104"/>
  <c r="CX108"/>
  <c r="CX112"/>
  <c r="CX116"/>
  <c r="CX105"/>
  <c r="CX109"/>
  <c r="CX113"/>
  <c r="CX106"/>
  <c r="CX110"/>
  <c r="CX114"/>
  <c r="CR81" i="1"/>
  <c r="Q81" s="1"/>
  <c r="AB81"/>
  <c r="CZ80"/>
  <c r="Y80" s="1"/>
  <c r="CY80"/>
  <c r="X80" s="1"/>
  <c r="CY35"/>
  <c r="X35" s="1"/>
  <c r="CZ35"/>
  <c r="Y35" s="1"/>
  <c r="GM33"/>
  <c r="GN33"/>
  <c r="CZ32"/>
  <c r="Y32" s="1"/>
  <c r="CY32"/>
  <c r="X32" s="1"/>
  <c r="AO174"/>
  <c r="BB99"/>
  <c r="AT99"/>
  <c r="AP99"/>
  <c r="CP84"/>
  <c r="O84" s="1"/>
  <c r="CP82"/>
  <c r="O82" s="1"/>
  <c r="CX119" i="3"/>
  <c r="CX123"/>
  <c r="CX120"/>
  <c r="CX117"/>
  <c r="CX121"/>
  <c r="CX118"/>
  <c r="CX122"/>
  <c r="CX99"/>
  <c r="CX100"/>
  <c r="CX101"/>
  <c r="CX102"/>
  <c r="CZ88" i="1"/>
  <c r="Y88" s="1"/>
  <c r="CY88"/>
  <c r="X88" s="1"/>
  <c r="CZ81"/>
  <c r="Y81" s="1"/>
  <c r="CY81"/>
  <c r="X81" s="1"/>
  <c r="CZ38"/>
  <c r="Y38" s="1"/>
  <c r="CY38"/>
  <c r="X38" s="1"/>
  <c r="CY37"/>
  <c r="X37" s="1"/>
  <c r="GN37" s="1"/>
  <c r="CZ37"/>
  <c r="Y37" s="1"/>
  <c r="CG174"/>
  <c r="I166"/>
  <c r="GX166" s="1"/>
  <c r="CJ174" s="1"/>
  <c r="BC99"/>
  <c r="CP38"/>
  <c r="O38" s="1"/>
  <c r="CP35"/>
  <c r="O35" s="1"/>
  <c r="R34"/>
  <c r="T31"/>
  <c r="U31"/>
  <c r="BB41"/>
  <c r="AX41"/>
  <c r="AT41"/>
  <c r="AP41"/>
  <c r="AB38"/>
  <c r="AD36"/>
  <c r="AD34"/>
  <c r="AD32"/>
  <c r="AD30"/>
  <c r="CM28"/>
  <c r="CX54" i="3"/>
  <c r="CX50"/>
  <c r="CX46"/>
  <c r="CX42"/>
  <c r="CX38"/>
  <c r="CX34"/>
  <c r="CX30"/>
  <c r="CX26"/>
  <c r="CX22"/>
  <c r="CX18"/>
  <c r="CX14"/>
  <c r="CX10"/>
  <c r="CX6"/>
  <c r="CX2"/>
  <c r="CQ86" i="1"/>
  <c r="P86" s="1"/>
  <c r="CP86" s="1"/>
  <c r="O86" s="1"/>
  <c r="CQ83"/>
  <c r="P83" s="1"/>
  <c r="CP83" s="1"/>
  <c r="O83" s="1"/>
  <c r="CQ80"/>
  <c r="P80" s="1"/>
  <c r="BC41"/>
  <c r="AU41"/>
  <c r="AQ41"/>
  <c r="AB37"/>
  <c r="AB35"/>
  <c r="AB33"/>
  <c r="BX28"/>
  <c r="CX53" i="3"/>
  <c r="CX49"/>
  <c r="CX45"/>
  <c r="CX41"/>
  <c r="CX37"/>
  <c r="CX33"/>
  <c r="CX29"/>
  <c r="CX25"/>
  <c r="CX21"/>
  <c r="CX17"/>
  <c r="CX13"/>
  <c r="CX5"/>
  <c r="CX1"/>
  <c r="CI41" i="1"/>
  <c r="CR39"/>
  <c r="Q39" s="1"/>
  <c r="CP39" s="1"/>
  <c r="O39" s="1"/>
  <c r="I36"/>
  <c r="GX36" s="1"/>
  <c r="I34"/>
  <c r="GX34" s="1"/>
  <c r="CJ41" s="1"/>
  <c r="CR31"/>
  <c r="Q31" s="1"/>
  <c r="CP31" s="1"/>
  <c r="O31" s="1"/>
  <c r="CX52" i="3"/>
  <c r="CX48"/>
  <c r="CX44"/>
  <c r="CX40"/>
  <c r="CX36"/>
  <c r="CX32"/>
  <c r="CX28"/>
  <c r="CX24"/>
  <c r="CX20"/>
  <c r="CX16"/>
  <c r="CX12"/>
  <c r="CX55"/>
  <c r="CX47"/>
  <c r="CX39"/>
  <c r="CX31"/>
  <c r="CX27"/>
  <c r="CX19"/>
  <c r="G204" i="5" l="1"/>
  <c r="G202"/>
  <c r="O202" s="1"/>
  <c r="G329" s="1"/>
  <c r="W252"/>
  <c r="G27" s="1"/>
  <c r="W131"/>
  <c r="G321"/>
  <c r="J208"/>
  <c r="J204"/>
  <c r="J266"/>
  <c r="G32"/>
  <c r="J321"/>
  <c r="G100"/>
  <c r="J329"/>
  <c r="J325"/>
  <c r="J100"/>
  <c r="G266"/>
  <c r="GN39" i="1"/>
  <c r="GM39"/>
  <c r="CJ161"/>
  <c r="BA174"/>
  <c r="GN172"/>
  <c r="GM172"/>
  <c r="GN214"/>
  <c r="GM214"/>
  <c r="HD214" s="1"/>
  <c r="GN89"/>
  <c r="GM89"/>
  <c r="GN165"/>
  <c r="GM165"/>
  <c r="BA41"/>
  <c r="CJ28"/>
  <c r="CJ77"/>
  <c r="BA99"/>
  <c r="GN93"/>
  <c r="GM93"/>
  <c r="CB216"/>
  <c r="AZ41"/>
  <c r="CI28"/>
  <c r="F51"/>
  <c r="AQ28"/>
  <c r="AX28"/>
  <c r="F48"/>
  <c r="GN38"/>
  <c r="GM38"/>
  <c r="GN84"/>
  <c r="GM84"/>
  <c r="AO161"/>
  <c r="F178"/>
  <c r="AO77"/>
  <c r="F103"/>
  <c r="AO129"/>
  <c r="AE206"/>
  <c r="R216"/>
  <c r="BD77"/>
  <c r="BD129"/>
  <c r="F124"/>
  <c r="AQ161"/>
  <c r="F184"/>
  <c r="GN91"/>
  <c r="GM91"/>
  <c r="F192"/>
  <c r="AT161"/>
  <c r="BC206"/>
  <c r="F232"/>
  <c r="CI161"/>
  <c r="AZ174"/>
  <c r="AI206"/>
  <c r="V216"/>
  <c r="W206"/>
  <c r="F240"/>
  <c r="AQ206"/>
  <c r="F226"/>
  <c r="P34"/>
  <c r="W36"/>
  <c r="R92"/>
  <c r="AE99" s="1"/>
  <c r="Q166"/>
  <c r="AD174" s="1"/>
  <c r="V36"/>
  <c r="GM37"/>
  <c r="GN79"/>
  <c r="AB164"/>
  <c r="CY209"/>
  <c r="X209" s="1"/>
  <c r="V92"/>
  <c r="AI99" s="1"/>
  <c r="W166"/>
  <c r="AJ174" s="1"/>
  <c r="CY97"/>
  <c r="X97" s="1"/>
  <c r="P92"/>
  <c r="U166"/>
  <c r="AH174" s="1"/>
  <c r="S166"/>
  <c r="GN96"/>
  <c r="CP211"/>
  <c r="O211" s="1"/>
  <c r="GM212"/>
  <c r="GM213"/>
  <c r="HD213" s="1"/>
  <c r="CM216" s="1"/>
  <c r="F57"/>
  <c r="BC28"/>
  <c r="GN83"/>
  <c r="GM83"/>
  <c r="AB36"/>
  <c r="CR36"/>
  <c r="Q36" s="1"/>
  <c r="CP80"/>
  <c r="O80" s="1"/>
  <c r="AC99"/>
  <c r="AB34"/>
  <c r="CR34"/>
  <c r="Q34" s="1"/>
  <c r="AT28"/>
  <c r="F59"/>
  <c r="AX174"/>
  <c r="CG161"/>
  <c r="GN82"/>
  <c r="GM82"/>
  <c r="BB77"/>
  <c r="BB129"/>
  <c r="F112"/>
  <c r="CZ31"/>
  <c r="Y31" s="1"/>
  <c r="CY31"/>
  <c r="X31" s="1"/>
  <c r="GM31" s="1"/>
  <c r="GN170"/>
  <c r="GM170"/>
  <c r="AU206"/>
  <c r="F235"/>
  <c r="GO210"/>
  <c r="GM210"/>
  <c r="CG206"/>
  <c r="AX216"/>
  <c r="P36"/>
  <c r="S36"/>
  <c r="CP168"/>
  <c r="O168" s="1"/>
  <c r="R36"/>
  <c r="AE41" s="1"/>
  <c r="CZ209"/>
  <c r="Y209" s="1"/>
  <c r="Q92"/>
  <c r="AB95"/>
  <c r="V166"/>
  <c r="AI174" s="1"/>
  <c r="AB166"/>
  <c r="S92"/>
  <c r="T166"/>
  <c r="AG174" s="1"/>
  <c r="AB211"/>
  <c r="AP28"/>
  <c r="F50"/>
  <c r="GM35"/>
  <c r="GN35"/>
  <c r="AT77"/>
  <c r="F117"/>
  <c r="AT129"/>
  <c r="GN88"/>
  <c r="GM88"/>
  <c r="GN164"/>
  <c r="GM164"/>
  <c r="AD206"/>
  <c r="Q216"/>
  <c r="BC161"/>
  <c r="F190"/>
  <c r="GM97"/>
  <c r="GN97"/>
  <c r="AO206"/>
  <c r="F220"/>
  <c r="GN163"/>
  <c r="GM163"/>
  <c r="AQ77"/>
  <c r="AQ129"/>
  <c r="F109"/>
  <c r="GN171"/>
  <c r="GM171"/>
  <c r="BB206"/>
  <c r="F229"/>
  <c r="BA206"/>
  <c r="F236"/>
  <c r="AG206"/>
  <c r="T216"/>
  <c r="U36"/>
  <c r="AD99"/>
  <c r="U34"/>
  <c r="AH41" s="1"/>
  <c r="W34"/>
  <c r="AJ41" s="1"/>
  <c r="AB168"/>
  <c r="AL216"/>
  <c r="R166"/>
  <c r="AE174" s="1"/>
  <c r="CY90"/>
  <c r="X90" s="1"/>
  <c r="CY94"/>
  <c r="X94" s="1"/>
  <c r="GN94" s="1"/>
  <c r="T92"/>
  <c r="AG99" s="1"/>
  <c r="CY211"/>
  <c r="X211" s="1"/>
  <c r="AK216" s="1"/>
  <c r="AC216"/>
  <c r="AB32"/>
  <c r="CR32"/>
  <c r="Q32" s="1"/>
  <c r="CP32" s="1"/>
  <c r="O32" s="1"/>
  <c r="AU28"/>
  <c r="F60"/>
  <c r="GN86"/>
  <c r="GM86"/>
  <c r="AB30"/>
  <c r="CR30"/>
  <c r="Q30" s="1"/>
  <c r="BB28"/>
  <c r="F54"/>
  <c r="BB246"/>
  <c r="BC77"/>
  <c r="F115"/>
  <c r="BC129"/>
  <c r="AP77"/>
  <c r="AP129"/>
  <c r="F108"/>
  <c r="BD161"/>
  <c r="F199"/>
  <c r="CI77"/>
  <c r="AZ99"/>
  <c r="F193"/>
  <c r="AU161"/>
  <c r="CI206"/>
  <c r="AZ216"/>
  <c r="CG77"/>
  <c r="AX99"/>
  <c r="GN169"/>
  <c r="GM169"/>
  <c r="AP161"/>
  <c r="F183"/>
  <c r="AP206"/>
  <c r="F225"/>
  <c r="AU77"/>
  <c r="F118"/>
  <c r="AU129"/>
  <c r="AU246" s="1"/>
  <c r="AH206"/>
  <c r="U216"/>
  <c r="AF206"/>
  <c r="S216"/>
  <c r="V34"/>
  <c r="AI41" s="1"/>
  <c r="T36"/>
  <c r="T34"/>
  <c r="AG41" s="1"/>
  <c r="CP95"/>
  <c r="O95" s="1"/>
  <c r="P166"/>
  <c r="CP166" s="1"/>
  <c r="O166" s="1"/>
  <c r="AB174" s="1"/>
  <c r="AF41"/>
  <c r="S34"/>
  <c r="CP81"/>
  <c r="O81" s="1"/>
  <c r="AC174"/>
  <c r="W92"/>
  <c r="AJ99" s="1"/>
  <c r="CZ90"/>
  <c r="Y90" s="1"/>
  <c r="U92"/>
  <c r="AH99" s="1"/>
  <c r="CP208"/>
  <c r="O208" s="1"/>
  <c r="G26" i="5" l="1"/>
  <c r="G208"/>
  <c r="G325"/>
  <c r="AU22" i="1"/>
  <c r="F265"/>
  <c r="AU276"/>
  <c r="AB161"/>
  <c r="O174"/>
  <c r="AH28"/>
  <c r="U41"/>
  <c r="AE77"/>
  <c r="R99"/>
  <c r="AG28"/>
  <c r="T41"/>
  <c r="Q174"/>
  <c r="AD161"/>
  <c r="AK206"/>
  <c r="X216"/>
  <c r="AE28"/>
  <c r="R41"/>
  <c r="GN81"/>
  <c r="GM81"/>
  <c r="S206"/>
  <c r="F231"/>
  <c r="CF174"/>
  <c r="P174"/>
  <c r="CE174"/>
  <c r="AC161"/>
  <c r="CH174"/>
  <c r="BB22"/>
  <c r="BB276"/>
  <c r="F259"/>
  <c r="AQ73"/>
  <c r="F139"/>
  <c r="GN168"/>
  <c r="GM168"/>
  <c r="BB73"/>
  <c r="F142"/>
  <c r="GN80"/>
  <c r="GM80"/>
  <c r="CM206"/>
  <c r="BD216"/>
  <c r="CZ166"/>
  <c r="Y166" s="1"/>
  <c r="AL174" s="1"/>
  <c r="CY166"/>
  <c r="X166" s="1"/>
  <c r="AK174" s="1"/>
  <c r="AF174"/>
  <c r="V206"/>
  <c r="F239"/>
  <c r="GM90"/>
  <c r="GN31"/>
  <c r="AH77"/>
  <c r="U99"/>
  <c r="AI28"/>
  <c r="V41"/>
  <c r="AZ206"/>
  <c r="F227"/>
  <c r="GO208"/>
  <c r="GM208"/>
  <c r="AB216"/>
  <c r="AD41"/>
  <c r="CP30"/>
  <c r="O30" s="1"/>
  <c r="T206"/>
  <c r="F237"/>
  <c r="AC77"/>
  <c r="CH99"/>
  <c r="CF99"/>
  <c r="P99"/>
  <c r="CE99"/>
  <c r="GO209"/>
  <c r="GM209"/>
  <c r="CP34"/>
  <c r="O34" s="1"/>
  <c r="AC41"/>
  <c r="R206"/>
  <c r="F230"/>
  <c r="GN90"/>
  <c r="GN95"/>
  <c r="GM95"/>
  <c r="AU73"/>
  <c r="F148"/>
  <c r="GN166"/>
  <c r="CB174" s="1"/>
  <c r="GM166"/>
  <c r="AC206"/>
  <c r="CF216"/>
  <c r="P216"/>
  <c r="CE216"/>
  <c r="CH216"/>
  <c r="AF28"/>
  <c r="S41"/>
  <c r="U206"/>
  <c r="F238"/>
  <c r="AP73"/>
  <c r="F138"/>
  <c r="AL206"/>
  <c r="Y216"/>
  <c r="Q206"/>
  <c r="F228"/>
  <c r="CY92"/>
  <c r="X92" s="1"/>
  <c r="AK99" s="1"/>
  <c r="CZ92"/>
  <c r="Y92" s="1"/>
  <c r="AL99" s="1"/>
  <c r="AF99"/>
  <c r="AX206"/>
  <c r="F223"/>
  <c r="AJ77"/>
  <c r="W99"/>
  <c r="CZ34"/>
  <c r="Y34" s="1"/>
  <c r="AL41" s="1"/>
  <c r="CY34"/>
  <c r="X34" s="1"/>
  <c r="AX77"/>
  <c r="F106"/>
  <c r="AX129"/>
  <c r="AZ77"/>
  <c r="AZ129"/>
  <c r="F110"/>
  <c r="GN32"/>
  <c r="GM32"/>
  <c r="AG77"/>
  <c r="T99"/>
  <c r="R174"/>
  <c r="AE161"/>
  <c r="T174"/>
  <c r="AG161"/>
  <c r="GM211"/>
  <c r="GO211"/>
  <c r="AI77"/>
  <c r="V99"/>
  <c r="AZ161"/>
  <c r="F185"/>
  <c r="CB206"/>
  <c r="AS216"/>
  <c r="BA28"/>
  <c r="F61"/>
  <c r="GM94"/>
  <c r="CA174"/>
  <c r="AP246"/>
  <c r="CP36"/>
  <c r="O36" s="1"/>
  <c r="CP92"/>
  <c r="O92" s="1"/>
  <c r="AB99" s="1"/>
  <c r="BC73"/>
  <c r="F145"/>
  <c r="AJ28"/>
  <c r="W41"/>
  <c r="AD77"/>
  <c r="Q99"/>
  <c r="AT73"/>
  <c r="F147"/>
  <c r="V174"/>
  <c r="AI161"/>
  <c r="CZ36"/>
  <c r="Y36" s="1"/>
  <c r="CY36"/>
  <c r="X36" s="1"/>
  <c r="F181"/>
  <c r="AX161"/>
  <c r="U174"/>
  <c r="AH161"/>
  <c r="AJ161"/>
  <c r="W174"/>
  <c r="BD73"/>
  <c r="F154"/>
  <c r="BD246"/>
  <c r="AO73"/>
  <c r="F133"/>
  <c r="AO246"/>
  <c r="AZ28"/>
  <c r="F52"/>
  <c r="AZ246"/>
  <c r="BA77"/>
  <c r="F119"/>
  <c r="BA129"/>
  <c r="BA161"/>
  <c r="F194"/>
  <c r="BC246"/>
  <c r="AQ246"/>
  <c r="AK77" l="1"/>
  <c r="X99"/>
  <c r="AL77"/>
  <c r="Y99"/>
  <c r="AB77"/>
  <c r="O99"/>
  <c r="CB161"/>
  <c r="AS174"/>
  <c r="CA161"/>
  <c r="AR174"/>
  <c r="AX73"/>
  <c r="F136"/>
  <c r="AX246"/>
  <c r="AL28"/>
  <c r="Y41"/>
  <c r="S28"/>
  <c r="F56"/>
  <c r="P206"/>
  <c r="F219"/>
  <c r="CF41"/>
  <c r="AC28"/>
  <c r="P41"/>
  <c r="CE41"/>
  <c r="CH41"/>
  <c r="CE77"/>
  <c r="AV99"/>
  <c r="AD28"/>
  <c r="Q41"/>
  <c r="U77"/>
  <c r="U129"/>
  <c r="F121"/>
  <c r="X174"/>
  <c r="AK161"/>
  <c r="CH161"/>
  <c r="AY174"/>
  <c r="CF161"/>
  <c r="AW174"/>
  <c r="F62"/>
  <c r="T28"/>
  <c r="O161"/>
  <c r="F176"/>
  <c r="Q77"/>
  <c r="F111"/>
  <c r="Q129"/>
  <c r="CE206"/>
  <c r="AV216"/>
  <c r="CH77"/>
  <c r="AY99"/>
  <c r="GN30"/>
  <c r="GM30"/>
  <c r="AB41"/>
  <c r="AF161"/>
  <c r="S174"/>
  <c r="P161"/>
  <c r="F177"/>
  <c r="X206"/>
  <c r="F242"/>
  <c r="Q161"/>
  <c r="F186"/>
  <c r="R77"/>
  <c r="F113"/>
  <c r="R129"/>
  <c r="AK41"/>
  <c r="CC216"/>
  <c r="BC22"/>
  <c r="BC276"/>
  <c r="F262"/>
  <c r="BD22"/>
  <c r="F271"/>
  <c r="BD276"/>
  <c r="F197"/>
  <c r="V161"/>
  <c r="F188"/>
  <c r="R161"/>
  <c r="BA73"/>
  <c r="F149"/>
  <c r="W161"/>
  <c r="F198"/>
  <c r="AP22"/>
  <c r="AP276"/>
  <c r="F255"/>
  <c r="G16" i="2" s="1"/>
  <c r="G18" s="1"/>
  <c r="AQ22" i="1"/>
  <c r="AQ276"/>
  <c r="F256"/>
  <c r="AZ22"/>
  <c r="F257"/>
  <c r="AZ276"/>
  <c r="F196"/>
  <c r="U161"/>
  <c r="GN36"/>
  <c r="GM36"/>
  <c r="T161"/>
  <c r="F195"/>
  <c r="AZ73"/>
  <c r="F140"/>
  <c r="Y206"/>
  <c r="F243"/>
  <c r="CH206"/>
  <c r="AY216"/>
  <c r="CF77"/>
  <c r="AW99"/>
  <c r="V28"/>
  <c r="F64"/>
  <c r="V246"/>
  <c r="BD206"/>
  <c r="F241"/>
  <c r="BB18"/>
  <c r="F289"/>
  <c r="CE161"/>
  <c r="AV174"/>
  <c r="AU18"/>
  <c r="F295"/>
  <c r="BA246"/>
  <c r="CA216"/>
  <c r="AO22"/>
  <c r="AO276"/>
  <c r="F250"/>
  <c r="F65"/>
  <c r="W28"/>
  <c r="GM92"/>
  <c r="GN92"/>
  <c r="CB99" s="1"/>
  <c r="AS206"/>
  <c r="F233"/>
  <c r="V77"/>
  <c r="F122"/>
  <c r="V129"/>
  <c r="T77"/>
  <c r="T129"/>
  <c r="T246" s="1"/>
  <c r="F120"/>
  <c r="W77"/>
  <c r="F123"/>
  <c r="W129"/>
  <c r="W246" s="1"/>
  <c r="AF77"/>
  <c r="S99"/>
  <c r="CF206"/>
  <c r="AW216"/>
  <c r="GN34"/>
  <c r="GM34"/>
  <c r="P77"/>
  <c r="F102"/>
  <c r="P129"/>
  <c r="AB206"/>
  <c r="O216"/>
  <c r="Y174"/>
  <c r="AL161"/>
  <c r="R28"/>
  <c r="F55"/>
  <c r="R246"/>
  <c r="F63"/>
  <c r="U28"/>
  <c r="U246"/>
  <c r="CA99"/>
  <c r="W22" l="1"/>
  <c r="W276"/>
  <c r="F270"/>
  <c r="T22"/>
  <c r="T276"/>
  <c r="F267"/>
  <c r="CA77"/>
  <c r="AR99"/>
  <c r="CA206"/>
  <c r="AR216"/>
  <c r="BD18"/>
  <c r="F301"/>
  <c r="BC18"/>
  <c r="F292"/>
  <c r="AK28"/>
  <c r="X41"/>
  <c r="AB28"/>
  <c r="O41"/>
  <c r="X161"/>
  <c r="F200"/>
  <c r="Q28"/>
  <c r="F53"/>
  <c r="Q246"/>
  <c r="CH28"/>
  <c r="AY41"/>
  <c r="AW41"/>
  <c r="CF28"/>
  <c r="AX22"/>
  <c r="F253"/>
  <c r="AX276"/>
  <c r="CB77"/>
  <c r="AS99"/>
  <c r="AV161"/>
  <c r="F179"/>
  <c r="S77"/>
  <c r="F114"/>
  <c r="S129"/>
  <c r="V73"/>
  <c r="F152"/>
  <c r="AY206"/>
  <c r="F224"/>
  <c r="AZ18"/>
  <c r="F287"/>
  <c r="AQ18"/>
  <c r="F286"/>
  <c r="CC206"/>
  <c r="AT216"/>
  <c r="AY77"/>
  <c r="F107"/>
  <c r="AY129"/>
  <c r="Q73"/>
  <c r="F141"/>
  <c r="F180"/>
  <c r="AW161"/>
  <c r="AR161"/>
  <c r="F202"/>
  <c r="O77"/>
  <c r="F101"/>
  <c r="O129"/>
  <c r="X77"/>
  <c r="X129"/>
  <c r="F125"/>
  <c r="R22"/>
  <c r="F260"/>
  <c r="R276"/>
  <c r="P73"/>
  <c r="F132"/>
  <c r="U22"/>
  <c r="F268"/>
  <c r="U276"/>
  <c r="O206"/>
  <c r="F218"/>
  <c r="AO18"/>
  <c r="F280"/>
  <c r="V22"/>
  <c r="F269"/>
  <c r="V276"/>
  <c r="AP18"/>
  <c r="F285"/>
  <c r="I29" i="5" s="1"/>
  <c r="F189" i="1"/>
  <c r="S161"/>
  <c r="U73"/>
  <c r="F151"/>
  <c r="AV77"/>
  <c r="AV129"/>
  <c r="F104"/>
  <c r="P28"/>
  <c r="F44"/>
  <c r="P246"/>
  <c r="Y28"/>
  <c r="F68"/>
  <c r="CB41"/>
  <c r="F201"/>
  <c r="Y161"/>
  <c r="AW206"/>
  <c r="F222"/>
  <c r="W73"/>
  <c r="F153"/>
  <c r="T73"/>
  <c r="F150"/>
  <c r="BA22"/>
  <c r="BA276"/>
  <c r="F266"/>
  <c r="H16" i="2" s="1"/>
  <c r="H18" s="1"/>
  <c r="AW77" i="1"/>
  <c r="F105"/>
  <c r="AW129"/>
  <c r="R73"/>
  <c r="F143"/>
  <c r="AV206"/>
  <c r="F221"/>
  <c r="AY161"/>
  <c r="F182"/>
  <c r="AV41"/>
  <c r="CE28"/>
  <c r="F191"/>
  <c r="AS161"/>
  <c r="Y77"/>
  <c r="Y129"/>
  <c r="F126"/>
  <c r="CA41"/>
  <c r="AS41" l="1"/>
  <c r="CB28"/>
  <c r="P22"/>
  <c r="F249"/>
  <c r="P276"/>
  <c r="AV73"/>
  <c r="F134"/>
  <c r="V18"/>
  <c r="F299"/>
  <c r="R18"/>
  <c r="F290"/>
  <c r="X73"/>
  <c r="F155"/>
  <c r="S73"/>
  <c r="F144"/>
  <c r="S246"/>
  <c r="F49"/>
  <c r="AY28"/>
  <c r="AY246"/>
  <c r="T18"/>
  <c r="F297"/>
  <c r="U18"/>
  <c r="F298"/>
  <c r="AY73"/>
  <c r="F137"/>
  <c r="AX18"/>
  <c r="F283"/>
  <c r="F47"/>
  <c r="AW28"/>
  <c r="AW246"/>
  <c r="F43"/>
  <c r="O28"/>
  <c r="O246"/>
  <c r="AR206"/>
  <c r="F244"/>
  <c r="W18"/>
  <c r="F300"/>
  <c r="AR41"/>
  <c r="CA28"/>
  <c r="F46"/>
  <c r="AV28"/>
  <c r="AV246"/>
  <c r="Y73"/>
  <c r="F156"/>
  <c r="AW73"/>
  <c r="F135"/>
  <c r="BA18"/>
  <c r="F296"/>
  <c r="I30" i="5" s="1"/>
  <c r="O73" i="1"/>
  <c r="F131"/>
  <c r="AT206"/>
  <c r="F234"/>
  <c r="AT246"/>
  <c r="Q22"/>
  <c r="F258"/>
  <c r="Q276"/>
  <c r="AS77"/>
  <c r="F116"/>
  <c r="AS129"/>
  <c r="F67"/>
  <c r="X28"/>
  <c r="X246"/>
  <c r="AR77"/>
  <c r="F127"/>
  <c r="AR129"/>
  <c r="Y246"/>
  <c r="I31" i="5" l="1"/>
  <c r="G31" s="1"/>
  <c r="AT22" i="1"/>
  <c r="F264"/>
  <c r="F16" i="2" s="1"/>
  <c r="F18" s="1"/>
  <c r="AT276" i="1"/>
  <c r="O22"/>
  <c r="F248"/>
  <c r="O276"/>
  <c r="P18"/>
  <c r="F279"/>
  <c r="AS28"/>
  <c r="F58"/>
  <c r="AS246"/>
  <c r="Y22"/>
  <c r="F273"/>
  <c r="Y276"/>
  <c r="AV22"/>
  <c r="AV276"/>
  <c r="F251"/>
  <c r="AR28"/>
  <c r="F69"/>
  <c r="AR246"/>
  <c r="AW22"/>
  <c r="F252"/>
  <c r="AW276"/>
  <c r="AR73"/>
  <c r="F157"/>
  <c r="X22"/>
  <c r="X276"/>
  <c r="F272"/>
  <c r="AS73"/>
  <c r="F146"/>
  <c r="AY22"/>
  <c r="AY276"/>
  <c r="F254"/>
  <c r="Q18"/>
  <c r="F288"/>
  <c r="S22"/>
  <c r="F261"/>
  <c r="J16" i="2" s="1"/>
  <c r="J18" s="1"/>
  <c r="S276" i="1"/>
  <c r="O18" l="1"/>
  <c r="F278"/>
  <c r="Y18"/>
  <c r="F303"/>
  <c r="X18"/>
  <c r="F302"/>
  <c r="AW18"/>
  <c r="F282"/>
  <c r="AS22"/>
  <c r="F263"/>
  <c r="E16" i="2" s="1"/>
  <c r="AS276" i="1"/>
  <c r="AT18"/>
  <c r="F294"/>
  <c r="I28" i="5" s="1"/>
  <c r="S18" i="1"/>
  <c r="F291"/>
  <c r="I32" i="5" s="1"/>
  <c r="AY18" i="1"/>
  <c r="F284"/>
  <c r="AR22"/>
  <c r="AR276"/>
  <c r="F274"/>
  <c r="AV18"/>
  <c r="F281"/>
  <c r="I16" i="2" l="1"/>
  <c r="I18" s="1"/>
  <c r="E18"/>
  <c r="AS18" i="1"/>
  <c r="F293"/>
  <c r="I27" i="5" s="1"/>
  <c r="AR18" i="1"/>
  <c r="F304"/>
  <c r="F305" l="1"/>
  <c r="F306" s="1"/>
  <c r="I26" i="5" s="1"/>
</calcChain>
</file>

<file path=xl/sharedStrings.xml><?xml version="1.0" encoding="utf-8"?>
<sst xmlns="http://schemas.openxmlformats.org/spreadsheetml/2006/main" count="5321" uniqueCount="686">
  <si>
    <t>Smeta.RU  (495) 974-1589</t>
  </si>
  <si>
    <t>_PS_</t>
  </si>
  <si>
    <t>Smeta.RU</t>
  </si>
  <si>
    <t/>
  </si>
  <si>
    <t>Новый объект</t>
  </si>
  <si>
    <t>Спортивный зал Ильинский Погост 2021.</t>
  </si>
  <si>
    <t>Сметные нормы списания</t>
  </si>
  <si>
    <t>Коды ценников</t>
  </si>
  <si>
    <t>ТСНБ-2001 Московской области (Версия 15.0)</t>
  </si>
  <si>
    <t>ТР для Версии 10: Центральные регионы (с уч. п-ма 2536-ИП/12/ГС от 27.11.12, 01/57049-ЮЛ от 27.04.2018) от 30.08.2018 г</t>
  </si>
  <si>
    <t>ТСНБ-2001 Московской области (редакция 2014 г версия 15.0)</t>
  </si>
  <si>
    <t>Поправки  для НБ 2014 года от 28.11.2019</t>
  </si>
  <si>
    <t>Новая локальная смета</t>
  </si>
  <si>
    <t>Ремонт спорт зала</t>
  </si>
  <si>
    <t>Новый раздел</t>
  </si>
  <si>
    <t>Демонтаж</t>
  </si>
  <si>
    <t>1</t>
  </si>
  <si>
    <t>57-1-3</t>
  </si>
  <si>
    <t>Разборка оснований покрытия полов простильных полов</t>
  </si>
  <si>
    <t>100 м2 основания</t>
  </si>
  <si>
    <t>ТЕРр Московской обл., 57-1-3, приказ Минстроя России №675/пр от 21.09.2015 г.</t>
  </si>
  <si>
    <t>Ремонтно-строительные работы</t>
  </si>
  <si>
    <t>Полы</t>
  </si>
  <si>
    <t>рФЕР-57</t>
  </si>
  <si>
    <t>1,1</t>
  </si>
  <si>
    <t>509-9900</t>
  </si>
  <si>
    <t>Строительный мусор</t>
  </si>
  <si>
    <t>т</t>
  </si>
  <si>
    <t>ТССЦ Московской обл., 509-9900, приказ Минстроя России №675/пр от 21.09.2015 г.</t>
  </si>
  <si>
    <t>3</t>
  </si>
  <si>
    <t>46-02-009-2</t>
  </si>
  <si>
    <t>Отбивка штукатурки с поверхностей стен и потолков кирпичных</t>
  </si>
  <si>
    <t>100 м2</t>
  </si>
  <si>
    <t>ТЕР Московской обл., 46-02-009-2, приказ Минстроя России №675/пр от 21.09.2015 г.</t>
  </si>
  <si>
    <t>Общестроительные работы</t>
  </si>
  <si>
    <t>Реконструкция зданий и сооружений</t>
  </si>
  <si>
    <t>ФЕР-46</t>
  </si>
  <si>
    <t>*0,9</t>
  </si>
  <si>
    <t>*0,85</t>
  </si>
  <si>
    <t>4</t>
  </si>
  <si>
    <t>57-1-2</t>
  </si>
  <si>
    <t>Разборка оснований покрытия полов лаг из досок и брусков</t>
  </si>
  <si>
    <t>ТЕРр Московской обл., 57-1-2, приказ Минстроя России №675/пр от 21.09.2015 г.</t>
  </si>
  <si>
    <t>4,1</t>
  </si>
  <si>
    <t>5</t>
  </si>
  <si>
    <t>57-3-1</t>
  </si>
  <si>
    <t>Разборка плинтусов деревянных и из пластмассовых материалов</t>
  </si>
  <si>
    <t>100 М ПЛИНТУСА</t>
  </si>
  <si>
    <t>ТЕРр Московской обл., 57-3-1, приказ Минстроя России №675/пр от 21.09.2015 г.</t>
  </si>
  <si>
    <t>5,1</t>
  </si>
  <si>
    <t>7</t>
  </si>
  <si>
    <t>67-4-1</t>
  </si>
  <si>
    <t>Демонтаж выключателей, розеток</t>
  </si>
  <si>
    <t>100 шт.</t>
  </si>
  <si>
    <t>ТЕРр Московской обл., 67-4-1, приказ Минстроя России №675/пр от 21.09.2015 г.</t>
  </si>
  <si>
    <t>Электромонтажные работы</t>
  </si>
  <si>
    <t>рФЕР-67</t>
  </si>
  <si>
    <t>8</t>
  </si>
  <si>
    <t>67-2-11</t>
  </si>
  <si>
    <t>Демонтаж винипластовых труб, проложенных на скобах диаметром до 25 мм</t>
  </si>
  <si>
    <t>100 м труб</t>
  </si>
  <si>
    <t>ТЕРр Московской обл., 67-2-11, приказ Минстроя России №675/пр от 21.09.2015 г.</t>
  </si>
  <si>
    <t>10</t>
  </si>
  <si>
    <t>67-4-5</t>
  </si>
  <si>
    <t>Демонтаж светильников для люминесцентных ламп</t>
  </si>
  <si>
    <t>ТЕРр Московской обл., 67-4-5, приказ Минстроя России №675/пр от 21.09.2015 г.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</si>
  <si>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</si>
  <si>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</si>
  <si>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</si>
  <si>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</si>
  <si>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</si>
  <si>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</si>
  <si>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</si>
  <si>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</si>
  <si>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</si>
  <si>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</si>
  <si>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</si>
  <si>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</si>
  <si>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</si>
  <si>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</si>
  <si>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</si>
  <si>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</si>
  <si>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</si>
  <si>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</si>
  <si>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</si>
  <si>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</si>
  <si>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</si>
  <si>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</si>
  <si>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</si>
  <si>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</si>
  <si>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</si>
  <si>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</si>
  <si>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</si>
  <si>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</si>
  <si>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</si>
  <si>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</si>
  <si>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</si>
  <si>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</si>
  <si>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</si>
  <si>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</si>
  <si>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</si>
  <si>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</si>
  <si>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</si>
  <si>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</si>
  <si>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</si>
  <si>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</si>
  <si>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</si>
  <si>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</si>
  <si>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</si>
  <si>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</si>
  <si>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</si>
  <si>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</si>
  <si>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Перевозка</t>
  </si>
  <si>
    <t>Перевозка грузов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</si>
  <si>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</si>
  <si>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</si>
  <si>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</si>
  <si>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</si>
  <si>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</si>
  <si>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</si>
  <si>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Новый подраздел</t>
  </si>
  <si>
    <t>стены</t>
  </si>
  <si>
    <t>61-1-9</t>
  </si>
  <si>
    <t>Сплошное выравнивание штукатурки внутри здания (однослойная штукатурка) сухой растворной смесью (типа «Ветонит») толщиной до 10 мм для последующей окраски или оклейки обоями стен</t>
  </si>
  <si>
    <t>100 м2 поверхности</t>
  </si>
  <si>
    <t>ТЕРр Московской обл., 61-1-9, приказ Минстроя России №675/пр от 21.09.2015 г.</t>
  </si>
  <si>
    <t>Штукатрурные работы</t>
  </si>
  <si>
    <t>рФЕР-61</t>
  </si>
  <si>
    <t>3,2</t>
  </si>
  <si>
    <t>402-9544</t>
  </si>
  <si>
    <t>Смеси сухие растворные типа «Ветонит»</t>
  </si>
  <si>
    <t>ТССЦ Московской обл., 402-9544, приказ Минстроя России №675/пр от 21.09.2015 г.</t>
  </si>
  <si>
    <t>3,3</t>
  </si>
  <si>
    <t>402-0447</t>
  </si>
  <si>
    <t>Смесь штукатурная с повышенной паропроницаемостью "БИРСС 43" (марка М25)</t>
  </si>
  <si>
    <t>ТССЦ Московской обл., 402-0447, приказ Минстроя России №675/пр от 21.09.2015 г.</t>
  </si>
  <si>
    <t>101-3451</t>
  </si>
  <si>
    <t>Грунтовка акриловая ВД-АК-133</t>
  </si>
  <si>
    <t>ТССЦ Московской обл., 101-3451, приказ Минстроя России №675/пр от 21.09.2015 г.</t>
  </si>
  <si>
    <t>Материалы строительные</t>
  </si>
  <si>
    <t>Материалы и конструкции ( строительные ) по ценникам и каталогом</t>
  </si>
  <si>
    <t>ФССЦст</t>
  </si>
  <si>
    <t>15-04-025-8</t>
  </si>
  <si>
    <t>Улучшенная окраска масляными составами по штукатурке стен</t>
  </si>
  <si>
    <t>100 м2 окрашиваемой поверхности</t>
  </si>
  <si>
    <t>ТЕР Московской обл., 15-04-025-8, приказ Минстроя России №675/пр от 21.09.2015 г.</t>
  </si>
  <si>
    <t>)*1,25</t>
  </si>
  <si>
    <t>)*1,15</t>
  </si>
  <si>
    <t>Отделочные работы</t>
  </si>
  <si>
    <t>ФЕР-15</t>
  </si>
  <si>
    <t>Поправка: МДС 81-35.2004, п.4.7</t>
  </si>
  <si>
    <t>113-8029</t>
  </si>
  <si>
    <t>Эмаль ПФ-115 цветная</t>
  </si>
  <si>
    <t>кг</t>
  </si>
  <si>
    <t>ТССЦ Московской обл., 113-8029, приказ Минстроя России №675/пр от 21.09.2015 г.</t>
  </si>
  <si>
    <t>потолок</t>
  </si>
  <si>
    <t>6</t>
  </si>
  <si>
    <t>15-04-005-2</t>
  </si>
  <si>
    <t>Окраска поливинилацетатными водоэмульсионными составами простая по штукатурке и сборным конструкциям потолков, подготовленным под окраску</t>
  </si>
  <si>
    <t>ТЕР Московской обл., 15-04-005-2, приказ Минстроя России №675/пр от 21.09.2015 г.</t>
  </si>
  <si>
    <t>пол</t>
  </si>
  <si>
    <t>11-01-012-3</t>
  </si>
  <si>
    <t>Укладка лаг по плитам перекрытий</t>
  </si>
  <si>
    <t>100 м2 пола</t>
  </si>
  <si>
    <t>ТЕР Московской обл., 11-01-012-3, приказ Минстроя России №675/пр от 21.09.2015 г.</t>
  </si>
  <si>
    <t>ФЕР-11</t>
  </si>
  <si>
    <t>9</t>
  </si>
  <si>
    <t>11-01-033-1</t>
  </si>
  <si>
    <t>Устройство покрытий дощатых толщиной 28 мм</t>
  </si>
  <si>
    <t>100 м2 покрытия</t>
  </si>
  <si>
    <t>ТЕР Московской обл., 11-01-033-1, приказ Минстроя России №675/пр от 21.09.2015 г.</t>
  </si>
  <si>
    <t>11-01-053-2</t>
  </si>
  <si>
    <t>Устройство оснований полов из фанеры в один слой площадью свыше 20 м2</t>
  </si>
  <si>
    <t>ТЕР Московской обл., 11-01-053-2, приказ Минстроя России №675/пр от 21.09.2015 г.</t>
  </si>
  <si>
    <t>*1,25</t>
  </si>
  <si>
    <t>*1,15</t>
  </si>
  <si>
    <t>11</t>
  </si>
  <si>
    <t>11-01-057-1</t>
  </si>
  <si>
    <t>Устройство гетерогенного и гомогенного покрытия на клее со свариванием полотнищ в стыках</t>
  </si>
  <si>
    <t>ТСНБ-2001 Московской области, 11-01-057-1, протокол от 29.07.2020 г. № 07</t>
  </si>
  <si>
    <t>11,1</t>
  </si>
  <si>
    <t>101-7181</t>
  </si>
  <si>
    <t>Линолеум спортивный гетерогенный "ТАРКЕТТ OMNISPORTS SPEED" (толщина 3,45 мм, толщина защитного слоя 0,65 мм, пож. безопасность Г1, В2, РП1, Д2, Т2)</t>
  </si>
  <si>
    <t>м2</t>
  </si>
  <si>
    <t>ТССЦ Московской обл., 101-7181, приказ Минстроя России №675/пр от 21.09.2015 г.</t>
  </si>
  <si>
    <t>11,2</t>
  </si>
  <si>
    <t>101-9877</t>
  </si>
  <si>
    <t>Линолеум без подосновы</t>
  </si>
  <si>
    <t>ТСНБ-2001 Московской области, 101-9877, протокол от 29.07.2020 г. № 07</t>
  </si>
  <si>
    <t>13</t>
  </si>
  <si>
    <t>11-01-040-1</t>
  </si>
  <si>
    <t>Устройство плинтусов поливинилхлоридных на клее КН-2</t>
  </si>
  <si>
    <t>ТЕР Московской обл., 11-01-040-1, приказ Минстроя России №675/пр от 21.09.2015 г.</t>
  </si>
  <si>
    <t>14</t>
  </si>
  <si>
    <t>09-06-001-3</t>
  </si>
  <si>
    <t>Монтаж стеллажей и других конструкций, закрепляемых на фундаментах внутри зданий</t>
  </si>
  <si>
    <t>1 т конструкций</t>
  </si>
  <si>
    <t>ТЕР Московской обл., 09-06-001-3, приказ Минстроя России №675/пр от 21.09.2015 г.</t>
  </si>
  <si>
    <t>=0</t>
  </si>
  <si>
    <t>Металлические конструкции</t>
  </si>
  <si>
    <t>ФЕР-09</t>
  </si>
  <si>
    <t>14,1</t>
  </si>
  <si>
    <t>116-0360</t>
  </si>
  <si>
    <t>Спортивный комплекс: 3 турника, 3 шведских стенки; размеры 2900х1900х2500 мм</t>
  </si>
  <si>
    <t>компл.</t>
  </si>
  <si>
    <t>ТССЦ Московской обл., 116-0360, приказ Минстроя России №675/пр от 21.09.2015 г.</t>
  </si>
  <si>
    <t>14,3</t>
  </si>
  <si>
    <t>Цена поставщика</t>
  </si>
  <si>
    <t>Стеллаж для спортивного инвентаря</t>
  </si>
  <si>
    <t>шт.</t>
  </si>
  <si>
    <t>занесена вручную</t>
  </si>
  <si>
    <t>сантехнические работы</t>
  </si>
  <si>
    <t>2</t>
  </si>
  <si>
    <t>65-19-1</t>
  </si>
  <si>
    <t>Демонтаж радиаторов весом до 80 кг</t>
  </si>
  <si>
    <t>ТЕРр Московской обл., 65-19-1, приказ Минстроя России №675/пр от 21.09.2015 г.</t>
  </si>
  <si>
    <t>Внтуренниие с/техработы:  демонтаж, разборка, промывка</t>
  </si>
  <si>
    <t>рФЕР-65</t>
  </si>
  <si>
    <t>65-14-3</t>
  </si>
  <si>
    <t>Разборка трубопроводов из водогазопроводных труб в зданиях и сооружениях на сварке диаметром до 50 мм</t>
  </si>
  <si>
    <t>100 м трубопровода</t>
  </si>
  <si>
    <t>ТЕРр Московской обл., 65-14-3, приказ Минстроя России №675/пр от 21.09.2015 г.</t>
  </si>
  <si>
    <t>18-03-001-2</t>
  </si>
  <si>
    <t>Установка радиаторов стальных</t>
  </si>
  <si>
    <t>100 кВт радиаторов и конвекторов</t>
  </si>
  <si>
    <t>ТЕР Московской обл., 18-03-001-2, приказ Минстроя России №675/пр от 21.09.2015 г.</t>
  </si>
  <si>
    <t>Отопление - внутренние устройства</t>
  </si>
  <si>
    <t>ФЕР-18</t>
  </si>
  <si>
    <t>301-1018</t>
  </si>
  <si>
    <t>Радиаторы биметаллические, марка «Rifar-A 500», количество секций 11, мощность 1815 Вт</t>
  </si>
  <si>
    <t>ТССЦ Московской обл., 301-1018, приказ Минстроя России №675/пр от 21.09.2015 г.</t>
  </si>
  <si>
    <t>5,2</t>
  </si>
  <si>
    <t>301-0559</t>
  </si>
  <si>
    <t>Радиаторы стальные панельные РСВ2-1, РСВ2-6 однорядные</t>
  </si>
  <si>
    <t>квт</t>
  </si>
  <si>
    <t>ТССЦ Московской обл., 301-0559, приказ Минстроя России №675/пр от 21.09.2015 г.</t>
  </si>
  <si>
    <t>16-04-005-1</t>
  </si>
  <si>
    <t>Прокладка внутренних трубопроводов водоснабжения и отопления из многослойных полипропиленовых труб, из заранее собранных узлов, наружным диаметром: 20 мм</t>
  </si>
  <si>
    <t>100 м</t>
  </si>
  <si>
    <t>ТСНБ-2001 Московской области, 16-04-005-1, протокол от 29.07.2020 г. № 07</t>
  </si>
  <si>
    <t>Трубопроводы внутренние</t>
  </si>
  <si>
    <t>ФЕР-16</t>
  </si>
  <si>
    <t>7,2</t>
  </si>
  <si>
    <t>507-4572</t>
  </si>
  <si>
    <t>Трубы гибкие из молекулярно-сшитого полиэтилена для отопления и водоснабжения БИР ПЕКС "Стандарт УФ-стоп" (PEX-b), размером 25х3,5 мм</t>
  </si>
  <si>
    <t>м</t>
  </si>
  <si>
    <t>ТССЦ Московской обл., 507-4572, приказ Минстроя России №675/пр от 21.09.2015 г.</t>
  </si>
  <si>
    <t>301-1224</t>
  </si>
  <si>
    <t>Крепления для трубопроводов: кронштейны, планки, хомуты</t>
  </si>
  <si>
    <t>ТССЦ Московской обл., 301-1224, приказ Минстроя России №675/пр от 21.09.2015 г.</t>
  </si>
  <si>
    <t>302-0062</t>
  </si>
  <si>
    <t>Кран шаровый муфтовый Valtec для воды диаметром 15 мм, тип в/в</t>
  </si>
  <si>
    <t>ТССЦ Московской обл., 302-0062, приказ Минстроя России №675/пр от 21.09.2015 г.</t>
  </si>
  <si>
    <t>12</t>
  </si>
  <si>
    <t>46-03-017-1</t>
  </si>
  <si>
    <t>Заделка отверстий, гнезд и борозд в перекрытиях железобетонных площадью до 0,1 м2</t>
  </si>
  <si>
    <t>1 м3 заделки</t>
  </si>
  <si>
    <t>ТЕР Московской обл., 46-03-017-1, приказ Минстроя России №675/пр от 21.09.2015 г.</t>
  </si>
  <si>
    <t>электромонтажные работы</t>
  </si>
  <si>
    <t>м08-03-591-4</t>
  </si>
  <si>
    <t>Выключатель двухклавишный неутопленного типа при открытой проводке</t>
  </si>
  <si>
    <t>ТЕРм Московской обл., м08-03-591-4, приказ Минстроя России №675/пр от 21.09.2015 г.</t>
  </si>
  <si>
    <t>Монтажные работы</t>
  </si>
  <si>
    <t>Электромонтажные работы ,  отдел 01-03 : ( на АЭС  НР = 110% ) - (работы по упр. авиа.- движением:  СП=55% (  {АВИА}=1; обычные работы : СП=65 - {AВИА}=0), при работе на АЭС СП= 68% )</t>
  </si>
  <si>
    <t>мФЕР-08</t>
  </si>
  <si>
    <t>м08-03-591-8</t>
  </si>
  <si>
    <t>Розетка штепсельная неутопленного типа при открытой проводке</t>
  </si>
  <si>
    <t>ТЕРм Московской обл., м08-03-591-8, приказ Минстроя России №675/пр от 21.09.2015 г.</t>
  </si>
  <si>
    <t>501-8190</t>
  </si>
  <si>
    <t>Кабель силовой с медными жилами с поливинилхлоридной изоляцией в поливинилхлоридной оболочке без защитного покрова ВВГ, напряжением 0,66 Кв, число жил – 3 и сечением 1,5 мм2</t>
  </si>
  <si>
    <t>1000 м</t>
  </si>
  <si>
    <t>ТССЦ Московской обл., 501-8190, приказ Минстроя России №675/пр от 21.09.2015 г.</t>
  </si>
  <si>
    <t>1000 М</t>
  </si>
  <si>
    <t>Материалы монтажные</t>
  </si>
  <si>
    <t>Материалы и конструкции ( монтажные )  по ценникам и каталогам</t>
  </si>
  <si>
    <t>ФССЦм</t>
  </si>
  <si>
    <t>м08-02-390-1</t>
  </si>
  <si>
    <t>Короба пластмассовые шириной до 40 мм</t>
  </si>
  <si>
    <t>ТЕРм Московской обл., м08-02-390-1, приказ Минстроя России №675/пр от 21.09.2015 г.</t>
  </si>
  <si>
    <t>м08-02-399-1</t>
  </si>
  <si>
    <t>Провод в коробах, сечением до 6 мм2</t>
  </si>
  <si>
    <t>ТЕРм Московской обл., м08-02-399-1, приказ Минстроя России №675/пр от 21.09.2015 г.</t>
  </si>
  <si>
    <t>Поправка: МДС 81-35.2004, п.4.9</t>
  </si>
  <si>
    <t>т01-01-01-041</t>
  </si>
  <si>
    <t>Погрузка при автомобильных перевозках мусора строительного с погрузкой вручную</t>
  </si>
  <si>
    <t>1 Т ГРУЗА</t>
  </si>
  <si>
    <t>ТССЦпг Московской обл., т01-01-001-41, приказ Минстроя России №675/пр от 21.09.2015 г.</t>
  </si>
  <si>
    <t>Погрузочно-разгрузочные работы</t>
  </si>
  <si>
    <t>Перевозка грузов , (ФССЦпр 2011-изм. № 4-6, раздел 1):  погрузочно-разгрузочные работы  (НР и СП в прям. затратах )</t>
  </si>
  <si>
    <t>ФССЦпр  пог. а/п (2011,изм. 4-6)</t>
  </si>
  <si>
    <t>т03-21-01-030</t>
  </si>
  <si>
    <t>Перевозка грузов I класса автомобилями-самосвалами грузоподъемностью 10 т работающих вне карьера на расстояние до 30 км</t>
  </si>
  <si>
    <t>ТССЦпг Московской обл., т03-21-001-30, приказ Минстроя России №675/пр от 21.09.2015 г.</t>
  </si>
  <si>
    <t>Перевозка грузов авто/транспортом</t>
  </si>
  <si>
    <t>Перевозка грузов. Автомобильные перевозки  ( 2003 г., ч.1;  ФССЦпр-2011-изм. № 4-6 , раздел 3; )</t>
  </si>
  <si>
    <t>ФССЦ а/п (2003/2011 изм. 4-6)</t>
  </si>
  <si>
    <t>Итог 1</t>
  </si>
  <si>
    <t>с НДС 20%</t>
  </si>
  <si>
    <t>Итог 2</t>
  </si>
  <si>
    <t>Всего с НДС 20%</t>
  </si>
  <si>
    <t>СТР_РЕК</t>
  </si>
  <si>
    <t>СТРОИТЕЛЬСТВО и РЕКОНСТРУКЦИЯ  зданий и сооружений всех назначений</t>
  </si>
  <si>
    <t>РЕМ_ЖИЛ</t>
  </si>
  <si>
    <t>КАП. РЕМ. ЖИЛЫХ И ОБЩЕСТВЕННЫХ ЗДАНИЙ</t>
  </si>
  <si>
    <t>РЕМ_ПР</t>
  </si>
  <si>
    <t>КАП. РЕМ. ПРОИЗВОДСТВЕННЫХ ЗД, и СООРУЖЕНИЙ,  НАРУЖНЫХ ИНЖЕНЕРНЫХ СЕТЕЙ, УЛИЦ И ДОРОГ МЕСТНОГО ЗНАЧЕНИЯ, МОСТОВ И ПУТЕПРОВОДОВ</t>
  </si>
  <si>
    <t>УПР</t>
  </si>
  <si>
    <t>{вкл} - УПРОЩЕННОЕ НАЛОГООБЛОЖЕНИЕ</t>
  </si>
  <si>
    <t>Для всех  расценок. (  при применении упрощенной системы налогообложения)  · {УПР} - ( вкл.)    -  при упрощенной системе   ;  к = 0,9 к СП ( к= 0,7 к НР отменен с 1.01.11)  · {УПР} - ( выкл.) -  при  обычной системе налогообложения</t>
  </si>
  <si>
    <t>ХОЗ</t>
  </si>
  <si>
    <t>{вкл} - ХОЗЯЙСТВЕННЫЙ СПОСОБ</t>
  </si>
  <si>
    <t>Для всех  расценок. (  при хозяйственном способе производства работ):  · {ХОЗ} - ( вкл.)    -  при  хоз. способе (к=0,6 к НР )  · {ХОЗ} - ( выкл.) -  при обычном способе производства работ</t>
  </si>
  <si>
    <t>СЛЖ</t>
  </si>
  <si>
    <t>{вкл} -  При  РЕКОНСТРУКЦИИ сложных объектов, РЕКОНСТРУКЦИИ и КАП. РЕМОНТЕ объектов с дейст. яд. реакторами</t>
  </si>
  <si>
    <t>Для сборников ФЕР ( при производстве работ на технически сложных объектах ):  ·  { СЛЖ } - (вкл.)    - работа на сложных объектах  (к=1,2 к НР)           ·  { СЛЖ } - (выкл.) - работа на обычных объектах</t>
  </si>
  <si>
    <t>ТЕК_М/Т/Я</t>
  </si>
  <si>
    <t>При работе в тек. уровне цен с 27.04.2018 г. (письмо № 01/57049-ЮЛ от 27.04.2018 Минюст РФ), коэффициенты к НР =0,85 и к СП-0,8 не назначаются. До 27.04.2018 г. только для мостов, тоннелей, метро, АЭС, объектов с ядерным топливом (см. прим.)</t>
  </si>
  <si>
    <t>ОПТ/В</t>
  </si>
  <si>
    <t>{вкл}    - Прокладка  МЕЖДУГОРОДНИХ  ВОЛОКОННО-ОПТИЧЕСКИХ ЛИНИЙ (для ФЕРм10, отд. 6 разд.3)  {выкл} - Прокладка  ГОРОДСКИХ               ВОЛОКОННО-ОПТИТЕСКИХ ЛИНИЙ  (для ФЕРм10, отд. 6 разд.3)</t>
  </si>
  <si>
    <t>Для сборников ФЕРм-10  ( волоконно-оптические линии связи ): ·  {М_ГОР_опт} -  ( вкл.)  - междугородные сети связи ( НР=120% , СП=70% )           ·  {М_ГОР_опт} - ( выкл.) - городские сети связи  ( НР=100%; СП=65%)</t>
  </si>
  <si>
    <t>ЗАКР</t>
  </si>
  <si>
    <t>{вкл}   -  Обслуживающие и сопутстующие работы в тоннелях при  производве работ ЗАКРЫТЫМ СПОСОБОМ   {выкл} - Обслуживающие и сопутстующие работы в тоннелях при  производве работ  ОТКРЫТЫМ                       (ФЕР-29, разд.04 )</t>
  </si>
  <si>
    <t>Для сборника ФЕР -29 ( сопутствующие работы в тоннелях и метро. ): ·  {ЗАКР} - (вкл.)     -  при выполнении работ в тоннелях  и метро закрытым способом  (НР=145% , СП=75%); ·                {ЗАКР} - (выкл.) -   при выполнении работ в тоннелях и метро  отк</t>
  </si>
  <si>
    <t>АВИ</t>
  </si>
  <si>
    <t>(вкл)   -  При работах по ДИСПЕТЧЕРЕЗАЦИИ управления движением АВИАТРАНСПОРТОМ {вкл}  (монтажные работы )</t>
  </si>
  <si>
    <t>Для сборников ФЕРм 08;10;11 :    · {мАВИА} -  (вкл.)     -  производство монтажных  работы по диспетчеризации управления  движением авиатранспортном (НР=95%, СП=55%) ;    ·            {мАВИА} -  (выкл. ) -  при производстве работ на прочих объектах , кром</t>
  </si>
  <si>
    <t>АЭС</t>
  </si>
  <si>
    <t>(вкл)  -  Производство эл./монт. работ на АЭС ( ФЕРм -08 , отдел 01-03 ),  и контроль свар. швов  на АЭС {вкл}  (ФЕРм-39, отд. 02 и 03 )  (вык) -  Произовдство эл./монт. работ  и и контроль свар. швов на ОБЫЧНЫХ СООРУЖ,</t>
  </si>
  <si>
    <t>Для сборника ФЕРм -39  и ФЕРМ-08  ( при работах по контролю сварных соединений) :    {мАЭС} - ( вкл.)  -     при выполнении работ по на АЭС  (HР=101%; СП= 68%;             {мАЭС} - (выкл.) -  при выполнении работ  на обычных объектах</t>
  </si>
  <si>
    <t>Инд_исп.Сводный</t>
  </si>
  <si>
    <t>Используется Индекс "по сводному"</t>
  </si>
  <si>
    <t>К_НР_РЕМ</t>
  </si>
  <si>
    <t>при ремонте жилых и общественных зданий если  ( если {РЕМ_ЖИЛ}= [вкл.]</t>
  </si>
  <si>
    <t>Для сборников  ФЕР и  ФЕРмр :  · Значение {_МДСрем_НР}= 0,90 -  при ремонте зданий жилого и гражданского назначений ( 0,90 к НР) ;  · Значение {_МДСрем_НР}= 1,00  - при строительстве  и реконструкции  объектов всех назначений</t>
  </si>
  <si>
    <t>К_СП_РЕМ</t>
  </si>
  <si>
    <t>к нормам СП при капитальном ремонте зданий и сооружений всех назначений ( если или {РЕМ_ЖИЛ}=[вкл] , или (РЕМ_ПР}=[вкл] )</t>
  </si>
  <si>
    <t>Для сборников  ФЕР и  ФЕРмр :   · Значение {_МДСрем_СП} = 0.85  -  при ремонте зданий всех назначений ( 0,85 к СП);   · Значение {_МДСрем_СП} = 1,00 -  при строительстве  и реконструкции  объектов всех назначений</t>
  </si>
  <si>
    <t>К_НР_05</t>
  </si>
  <si>
    <t>К нормам НР  с 1.01.2005 по 1.01.2011</t>
  </si>
  <si>
    <t>Для норм НР с 1.01.2011 года:  · {_ТЕК_НР} = 0.85  -  Коэффициент   учитывающий изменение нормы страховых взносов с  1.01.1 - (при расчете в текущем уровне цен  индексами по статьям затрат )  · {_ТЕК_НР} = 1,00  -  при расчет в текущем уровне цен и при уп</t>
  </si>
  <si>
    <t>К_НР_11</t>
  </si>
  <si>
    <t>Коэфф.  к НР для текущего уровня цен с 01.01.2011  при обычном и упрощенном налогообложении  при постатейной индексации</t>
  </si>
  <si>
    <t>К_СП_11</t>
  </si>
  <si>
    <t>Коэф. к  СП в текущем уровне цен  с 01.01.2011</t>
  </si>
  <si>
    <t>Для норм СП с 1.01.2011 года:  · {_ТЕК_СП} = 0.80  -  Коэффициент   учитывающий изменение нормы страховых взносов с  1.01.11 - (при расчете в текущем уровне цен  индексами по статьям затрат )  · {_ТЕК_СП} = 1,00  -  без учета</t>
  </si>
  <si>
    <t>К_НР_12</t>
  </si>
  <si>
    <t>Корректировка НР с 03.12.12 до 27.04.18 если (ТЕК_М/Т/Я) = {выкл.}</t>
  </si>
  <si>
    <t>К_СП_12</t>
  </si>
  <si>
    <t>Корректировка СП с 03.12.12 до 27.04.18 в текущем уровне цен по письму  2536-ИП/12/ГС от 27.11.12  ( если (ТЕК_М/Т/Я) = {выкл.} )</t>
  </si>
  <si>
    <t>К_НР_УПР</t>
  </si>
  <si>
    <t>Коэф. к  НР при упрощенном налогообложении    ( если {УПР} = [вкл] )</t>
  </si>
  <si>
    <t>К_СП_УПР</t>
  </si>
  <si>
    <t>Коэф. к СП при упрощенном налогообложении    ( если {УПР} = [вкл] )</t>
  </si>
  <si>
    <t>К_НР_ХОЗ</t>
  </si>
  <si>
    <t>Коэф. к НР при хозяйственном способе производства работ   ( если {ХОЗ}= {вкл} )</t>
  </si>
  <si>
    <t>К_НР_СЛЖ</t>
  </si>
  <si>
    <t>Коэф.  при реконструкции сложных объектов (мосты, метро, путепроводы)  и  кап. ремонте АЭС, объектов с яд. реакторами   ( если {СЛЖ} = [вкл] )</t>
  </si>
  <si>
    <t>Р_ОКР</t>
  </si>
  <si>
    <t>Разрядность округления результата расчета НР и СП  ( с 01.01.2011 - до целых )</t>
  </si>
  <si>
    <t>К_НР_УПР_ПУ</t>
  </si>
  <si>
    <t>Коэф. к НР при упрощенном налогообложении ( если {УПР} = [вкл] ) для расценок на изготовление материалов, полуфабрикатов, а также металлических и трубопроводных заготовок, изготовляемых в построечных условиях</t>
  </si>
  <si>
    <t>Уровень цен</t>
  </si>
  <si>
    <t>Сборник индексов</t>
  </si>
  <si>
    <t>ТСНБ-2001 МО (редакция 2014 г)</t>
  </si>
  <si>
    <t>Вид цен</t>
  </si>
  <si>
    <t>Московская область Каталог текущих цен на материалы, декабрь 2020 г</t>
  </si>
  <si>
    <t>_OBSM_</t>
  </si>
  <si>
    <t>1-1020-90</t>
  </si>
  <si>
    <t>Рабочий строитель среднего разряда 2</t>
  </si>
  <si>
    <t>чел.-ч</t>
  </si>
  <si>
    <t>1-1025-90</t>
  </si>
  <si>
    <t>Рабочий строитель среднего разряда 2,5</t>
  </si>
  <si>
    <t>1-1023-90</t>
  </si>
  <si>
    <t>Рабочий строитель среднего разряда 2,3</t>
  </si>
  <si>
    <t>Затраты труда машинистов</t>
  </si>
  <si>
    <t>чел.час</t>
  </si>
  <si>
    <t>030954</t>
  </si>
  <si>
    <t>ТСЭМ Московской обл., 030954, приказ Минстроя России №675/пр от 21.09.2015 г.</t>
  </si>
  <si>
    <t>Подъемники грузоподъемностью до 500 кг одномачтовые, высота подъема 45 м</t>
  </si>
  <si>
    <t>маш.-ч</t>
  </si>
  <si>
    <t>1-1041-90</t>
  </si>
  <si>
    <t>Рабочий строитель среднего разряда 4,1</t>
  </si>
  <si>
    <t>110901</t>
  </si>
  <si>
    <t>ТСЭМ Московской обл., 110901, приказ Минстроя России №675/пр от 21.09.2015 г.</t>
  </si>
  <si>
    <t>Растворосмесители передвижные 65 л</t>
  </si>
  <si>
    <t>101-1944</t>
  </si>
  <si>
    <t>ТССЦ Московской обл., 101-1944, приказ Минстроя России №675/пр от 21.09.2015 г.</t>
  </si>
  <si>
    <t>Грунтовка для внутренних работ ВАК-01-У</t>
  </si>
  <si>
    <t>411-0001</t>
  </si>
  <si>
    <t>ТССЦ Московской обл., 411-0001, приказ Минстроя России №675/пр от 21.09.2015 г.</t>
  </si>
  <si>
    <t>Вода</t>
  </si>
  <si>
    <t>м3</t>
  </si>
  <si>
    <t>1-1035-90</t>
  </si>
  <si>
    <t>Рабочий строитель среднего разряда 3,5</t>
  </si>
  <si>
    <t>400001</t>
  </si>
  <si>
    <t>ТСЭМ Московской обл., 400001, приказ Минстроя России №675/пр от 21.09.2015 г.</t>
  </si>
  <si>
    <t>Автомобили бортовые, грузоподъемность до 5 т</t>
  </si>
  <si>
    <t>101-0456</t>
  </si>
  <si>
    <t>ТССЦ Московской обл., 101-0456, приказ Минстроя России №675/пр от 21.09.2015 г.</t>
  </si>
  <si>
    <t>Краски цветные, готовые к применению для внутренних работ МА-25 розово-бежевая, светло-бежевая, светло-серая</t>
  </si>
  <si>
    <t>101-1596</t>
  </si>
  <si>
    <t>ТССЦ Московской обл., 101-1596, приказ Минстроя России №675/пр от 21.09.2015 г.</t>
  </si>
  <si>
    <t>Шкурка шлифовальная двухслойная с зернистостью 40-25</t>
  </si>
  <si>
    <t>101-1667</t>
  </si>
  <si>
    <t>ТССЦ Московской обл., 101-1667, приказ Минстроя России №675/пр от 21.09.2015 г.</t>
  </si>
  <si>
    <t>Шпатлевка масляно-клеевая</t>
  </si>
  <si>
    <t>101-1757</t>
  </si>
  <si>
    <t>ТССЦ Московской обл., 101-1757, приказ Минстроя России №675/пр от 21.09.2015 г.</t>
  </si>
  <si>
    <t>Ветошь</t>
  </si>
  <si>
    <t>101-1823</t>
  </si>
  <si>
    <t>ТССЦ Московской обл., 101-1823, приказ Минстроя России №675/пр от 21.09.2015 г.</t>
  </si>
  <si>
    <t>Грунтовка масляная готовая к применению</t>
  </si>
  <si>
    <t>101-1824</t>
  </si>
  <si>
    <t>ТССЦ Московской обл., 101-1824, приказ Минстроя России №675/пр от 21.09.2015 г.</t>
  </si>
  <si>
    <t>Олифа для улучшенной окраски (10% натуральной, 90% комбинированной)</t>
  </si>
  <si>
    <t>409-0639</t>
  </si>
  <si>
    <t>ТССЦ Московской обл., 409-0639, приказ Минстроя России №675/пр от 21.09.2015 г.</t>
  </si>
  <si>
    <t>Пемза шлаковая (щебень пористый из металлургического шлака), марка 600, фракция 5-10 мм</t>
  </si>
  <si>
    <t>1-1034-90</t>
  </si>
  <si>
    <t>Рабочий строитель среднего разряда 3,4</t>
  </si>
  <si>
    <t>101-1712</t>
  </si>
  <si>
    <t>ТССЦ Московской обл., 101-1712, приказ Минстроя России №675/пр от 21.09.2015 г.</t>
  </si>
  <si>
    <t>Шпатлевка клеевая</t>
  </si>
  <si>
    <t>101-1959</t>
  </si>
  <si>
    <t>ТССЦ Московской обл., 101-1959, приказ Минстроя России №675/пр от 21.09.2015 г.</t>
  </si>
  <si>
    <t>Краска водоэмульсионная ВЭАК-1180</t>
  </si>
  <si>
    <t>1-1030-90</t>
  </si>
  <si>
    <t>Рабочий строитель среднего разряда 3</t>
  </si>
  <si>
    <t>331531</t>
  </si>
  <si>
    <t>ТСЭМ Московской обл., 331531, приказ Минстроя России №675/пр от 21.09.2015 г.</t>
  </si>
  <si>
    <t>Пила дисковая электрическая</t>
  </si>
  <si>
    <t>101-1742</t>
  </si>
  <si>
    <t>ТССЦ Московской обл., 101-1742, приказ Минстроя России №675/пр от 21.09.2015 г.</t>
  </si>
  <si>
    <t>Толь с крупнозернистой посыпкой гидроизоляционный марки ТГ-350</t>
  </si>
  <si>
    <t>203-0399</t>
  </si>
  <si>
    <t>ТССЦ Московской обл., 203-0399, приказ Минстроя России №675/пр от 21.09.2015 г.</t>
  </si>
  <si>
    <t>Лаги половые антисептированные, применяемые в строительстве жилых, общественных и производственных зданий при производстве деревянных полов тип II, сечением 100х40; 100х60; 120х60; 100-150х40-60 мм</t>
  </si>
  <si>
    <t>340311</t>
  </si>
  <si>
    <t>ТСЭМ Московской обл., 340311, приказ Минстроя России №675/пр от 21.09.2015 г.</t>
  </si>
  <si>
    <t>Машина для острожки деревянных полов</t>
  </si>
  <si>
    <t>101-1805</t>
  </si>
  <si>
    <t>ТССЦ Московской обл., 101-1805, приказ Минстроя России №675/пр от 21.09.2015 г.</t>
  </si>
  <si>
    <t>Гвозди строительные</t>
  </si>
  <si>
    <t>203-0344</t>
  </si>
  <si>
    <t>ТССЦ Московской обл., 203-0344, приказ Минстроя России №675/пр от 21.09.2015 г.</t>
  </si>
  <si>
    <t>Доски для покрытия полов со шпунтом и гребнем из древесины антисептированные тип ДП-27 толщиной 27 мм, шириной без гребня от 100 до 140 мм</t>
  </si>
  <si>
    <t>050101</t>
  </si>
  <si>
    <t>ТСЭМ Московской обл., 050101, приказ Минстроя России №675/пр от 21.09.2015 г.</t>
  </si>
  <si>
    <t>Компрессоры передвижные с двигателем внутреннего сгорания давлением до 686 кПа (7 ат), производительность  до 5 м3/мин</t>
  </si>
  <si>
    <t>134041</t>
  </si>
  <si>
    <t>ТСЭМ Московской обл., 134041, приказ Минстроя России №675/пр от 21.09.2015 г.</t>
  </si>
  <si>
    <t>Шуруповерт</t>
  </si>
  <si>
    <t>101-1480</t>
  </si>
  <si>
    <t>ТССЦ Московской обл., 101-1480, приказ Минстроя России №675/пр от 21.09.2015 г.</t>
  </si>
  <si>
    <t>Шурупы с полукруглой головкой 3,5х35 мм</t>
  </si>
  <si>
    <t>102-0443</t>
  </si>
  <si>
    <t>ТССЦ Московской обл., 102-0443, приказ Минстроя России №675/пр от 21.09.2015 г.</t>
  </si>
  <si>
    <t>Фанера общего назначения из шпона лиственных пород водостойкая марки ФК, сорт 2/4, толщина 12 мм</t>
  </si>
  <si>
    <t>1-100-30-90</t>
  </si>
  <si>
    <t>Рабочий среднего разряда 3,0</t>
  </si>
  <si>
    <t>ТСНБ-2001 Московской области, 030954, протокол от 29.07.2020 г. № 07</t>
  </si>
  <si>
    <t>331305</t>
  </si>
  <si>
    <t>ТСНБ-2001 Московской области, 331305, протокол от 29.07.2020 г. № 07</t>
  </si>
  <si>
    <t>Пылесосы промышленные</t>
  </si>
  <si>
    <t>ТСНБ-2001 Московской области, 400001, протокол от 29.07.2020 г. № 07</t>
  </si>
  <si>
    <t>101-2025</t>
  </si>
  <si>
    <t>ТСНБ-2001 Московской области, 101-2025, протокол от 29.07.2020 г. № 07</t>
  </si>
  <si>
    <t>Лента полимерная (фторопластовая) для сварки линолеума</t>
  </si>
  <si>
    <t>113-0626</t>
  </si>
  <si>
    <t>ТСНБ-2001 Московской области, 113-0626, протокол от 29.07.2020 г. № 07</t>
  </si>
  <si>
    <t>Клей Forbo 522, для укладки ПВХ-покрытий</t>
  </si>
  <si>
    <t>101-0609</t>
  </si>
  <si>
    <t>ТССЦ Московской обл., 101-0609, приказ Минстроя России №675/пр от 21.09.2015 г.</t>
  </si>
  <si>
    <t>Мастика клеящая каучуковая, марки КН-2</t>
  </si>
  <si>
    <t>101-4852</t>
  </si>
  <si>
    <t>ТССЦ Московской обл., 101-4852, приказ Минстроя России №675/пр от 21.09.2015 г.</t>
  </si>
  <si>
    <t>Плинтуса для полов пластиковые, 19х48 мм</t>
  </si>
  <si>
    <t>021141</t>
  </si>
  <si>
    <t>ТСЭМ Московской обл., 021141, приказ Минстроя России №675/пр от 21.09.2015 г.</t>
  </si>
  <si>
    <t>Краны на автомобильном ходу при работе на других видах строительства 10 т</t>
  </si>
  <si>
    <t>040504</t>
  </si>
  <si>
    <t>ТСЭМ Московской обл., 040504, приказ Минстроя России №675/пр от 21.09.2015 г.</t>
  </si>
  <si>
    <t>Аппарат для газовой сварки и резки</t>
  </si>
  <si>
    <t>041000</t>
  </si>
  <si>
    <t>ТСЭМ Московской обл., 041000, приказ Минстроя России №675/пр от 21.09.2015 г.</t>
  </si>
  <si>
    <t>Преобразователи сварочные с номинальным сварочным током 315-500 А</t>
  </si>
  <si>
    <t>041400</t>
  </si>
  <si>
    <t>ТСЭМ Московской обл., 041400, приказ Минстроя России №675/пр от 21.09.2015 г.</t>
  </si>
  <si>
    <t>Электрические печи для сушки сварочных материалов с регулированием температуры в пределах от 80 °С до 500 °С</t>
  </si>
  <si>
    <t>330301</t>
  </si>
  <si>
    <t>ТСЭМ Московской обл., 330301, приказ Минстроя России №675/пр от 21.09.2015 г.</t>
  </si>
  <si>
    <t>Машины шлифовальные электрические</t>
  </si>
  <si>
    <t>101-0309</t>
  </si>
  <si>
    <t>ТССЦ Московской обл., 101-0309, приказ Минстроя России №675/пр от 21.09.2015 г.</t>
  </si>
  <si>
    <t>Канаты пеньковые пропитанные</t>
  </si>
  <si>
    <t>101-0324</t>
  </si>
  <si>
    <t>ТССЦ Московской обл., 101-0324, приказ Минстроя России №675/пр от 21.09.2015 г.</t>
  </si>
  <si>
    <t>Кислород технический газообразный</t>
  </si>
  <si>
    <t>101-0797</t>
  </si>
  <si>
    <t>ТССЦ Московской обл., 101-0797, приказ Минстроя России №675/пр от 21.09.2015 г.</t>
  </si>
  <si>
    <t>Проволока горячекатаная в мотках, диаметром 6,3-6,5 мм</t>
  </si>
  <si>
    <t>101-1019</t>
  </si>
  <si>
    <t>ТССЦ Московской обл., 101-1019, приказ Минстроя России №675/пр от 21.09.2015 г.</t>
  </si>
  <si>
    <t>Швеллеры № 40 из стали марки Ст0</t>
  </si>
  <si>
    <t>101-1515</t>
  </si>
  <si>
    <t>ТССЦ Московской обл., 101-1515, приказ Минстроя России №675/пр от 21.09.2015 г.</t>
  </si>
  <si>
    <t>Электроды диаметром 4 мм Э46</t>
  </si>
  <si>
    <t>101-2278</t>
  </si>
  <si>
    <t>ТССЦ Московской обл., 101-2278, приказ Минстроя России №675/пр от 21.09.2015 г.</t>
  </si>
  <si>
    <t>Пропан-бутан, смесь техническая</t>
  </si>
  <si>
    <t>101-2467</t>
  </si>
  <si>
    <t>ТССЦ Московской обл., 101-2467, приказ Минстроя России №675/пр от 21.09.2015 г.</t>
  </si>
  <si>
    <t>Растворитель марки Р-4</t>
  </si>
  <si>
    <t>113-0021</t>
  </si>
  <si>
    <t>ТССЦ Московской обл., 113-0021, приказ Минстроя России №675/пр от 21.09.2015 г.</t>
  </si>
  <si>
    <t>Грунтовка ГФ-021 красно-коричневая</t>
  </si>
  <si>
    <t>508-0097</t>
  </si>
  <si>
    <t>ТССЦ Московской обл., 508-0097, приказ Минстроя России №675/пр от 21.09.2015 г.</t>
  </si>
  <si>
    <t>Канат двойной свивки типа ТК, конструкции 6х19(1+6+12)+1 о.с., оцинкованный из проволок марки В, маркировочная группа 1770 н/мм2, диаметром 5,5 мм</t>
  </si>
  <si>
    <t>10 м</t>
  </si>
  <si>
    <t>1-1021-90</t>
  </si>
  <si>
    <t>Рабочий строитель среднего разряда 2,1</t>
  </si>
  <si>
    <t>101-1602</t>
  </si>
  <si>
    <t>ТССЦ Московской обл., 101-1602, приказ Минстроя России №675/пр от 21.09.2015 г.</t>
  </si>
  <si>
    <t>Ацетилен газообразный технический</t>
  </si>
  <si>
    <t>042900</t>
  </si>
  <si>
    <t>ТСЭМ Московской обл., 042900, приказ Минстроя России №675/пр от 21.09.2015 г.</t>
  </si>
  <si>
    <t>Установки для гидравлических испытаний трубопроводов, давление нагнетания низкое 0,1 МПа (1 кгс/см2), высокое 10 МПа (100 кгс/см2)</t>
  </si>
  <si>
    <t>330206</t>
  </si>
  <si>
    <t>ТСЭМ Московской обл., 330206, приказ Минстроя России №675/пр от 21.09.2015 г.</t>
  </si>
  <si>
    <t>Дрели электрические</t>
  </si>
  <si>
    <t>101-1488</t>
  </si>
  <si>
    <t>ТССЦ Московской обл., 101-1488, приказ Минстроя России №675/пр от 21.09.2015 г.</t>
  </si>
  <si>
    <t>Шурупы с шестигранной головкой 12х70 мм</t>
  </si>
  <si>
    <t>101-2201</t>
  </si>
  <si>
    <t>ТССЦ Московской обл., 101-2201, приказ Минстроя России №675/пр от 21.09.2015 г.</t>
  </si>
  <si>
    <t>Дюбели распорные полиэтиленовые 6х30 мм</t>
  </si>
  <si>
    <t>10 шт.</t>
  </si>
  <si>
    <t>301-1225</t>
  </si>
  <si>
    <t>ТССЦ Московской обл., 301-1225, приказ Минстроя России №675/пр от 21.09.2015 г.</t>
  </si>
  <si>
    <t>Кронштейны для радиаторов стальных спаренных марки КР1-РС</t>
  </si>
  <si>
    <t>301-3361</t>
  </si>
  <si>
    <t>ТССЦ Московской обл., 301-3361, приказ Минстроя России №675/пр от 21.09.2015 г.</t>
  </si>
  <si>
    <t>Водный раствор нитрата и карбоната</t>
  </si>
  <si>
    <t>1-100-38-90</t>
  </si>
  <si>
    <t>Рабочий среднего разряда 3,8</t>
  </si>
  <si>
    <t>ТСНБ-2001 Московской области, 042900, протокол от 29.07.2020 г. № 07</t>
  </si>
  <si>
    <t>Установки для гидравлических испытаний трубопроводов, давление нагнетания: низкое 0,1 МПа (1 кгс/см2), высокое 10 МПа (100 кгс/см2)</t>
  </si>
  <si>
    <t>101-1381</t>
  </si>
  <si>
    <t>ТСНБ-2001 Московской области, 101-1381, протокол от 29.07.2020 г. № 07</t>
  </si>
  <si>
    <t>Шпильки оцинкованные стяжные диаметром: 10 мм длиной 100 мм</t>
  </si>
  <si>
    <t>101-2205</t>
  </si>
  <si>
    <t>ТСНБ-2001 Московской области, 101-2205, протокол от 29.07.2020 г. № 07</t>
  </si>
  <si>
    <t>Дюбели распорные полиэтиленовые: 10х40 мм</t>
  </si>
  <si>
    <t>1000 шт.</t>
  </si>
  <si>
    <t>ТСНБ-2001 Московской области, 411-0001, протокол от 29.07.2020 г. № 07</t>
  </si>
  <si>
    <t>1-1024-90</t>
  </si>
  <si>
    <t>Рабочий строитель среднего разряда 2,4</t>
  </si>
  <si>
    <t>030401</t>
  </si>
  <si>
    <t>ТСЭМ Московской обл., 030401, приказ Минстроя России №675/пр от 21.09.2015 г.</t>
  </si>
  <si>
    <t>Лебедки электрические тяговым усилием до 5,79 кН (0,59 т)</t>
  </si>
  <si>
    <t>101-0816</t>
  </si>
  <si>
    <t>ТССЦ Московской обл., 101-0816, приказ Минстроя России №675/пр от 21.09.2015 г.</t>
  </si>
  <si>
    <t>Проволока светлая диаметром 1,1 мм</t>
  </si>
  <si>
    <t>102-0057</t>
  </si>
  <si>
    <t>ТССЦ Московской обл., 102-0057, приказ Минстроя России №675/пр от 21.09.2015 г.</t>
  </si>
  <si>
    <t>Доски обрезные хвойных пород длиной 4-6,5 м, шириной 75-150 мм, толщиной 32-40 мм, III сорта</t>
  </si>
  <si>
    <t>204-0100</t>
  </si>
  <si>
    <t>ТССЦ Московской обл., 204-0100, приказ Минстроя России №675/пр от 21.09.2015 г.</t>
  </si>
  <si>
    <t>Горячекатаная арматурная сталь класса А-I, А-II, А-III</t>
  </si>
  <si>
    <t>401-0066</t>
  </si>
  <si>
    <t>ТССЦ Московской обл., 401-0066, приказ Минстроя России №675/пр от 21.09.2015 г.</t>
  </si>
  <si>
    <t>Бетон тяжелый, крупность заполнителя 20 мм, класс В15 (М200)</t>
  </si>
  <si>
    <t>405-0253</t>
  </si>
  <si>
    <t>ТССЦ Московской обл., 405-0253, приказ Минстроя России №675/пр от 21.09.2015 г.</t>
  </si>
  <si>
    <t>Известь строительная негашеная комовая, сорт I</t>
  </si>
  <si>
    <t>1-2042-90</t>
  </si>
  <si>
    <t>Рабочий монтажник среднего разряда 4,2</t>
  </si>
  <si>
    <t>021102</t>
  </si>
  <si>
    <t>ТСЭМ Московской обл., 021102, приказ Минстроя России №675/пр от 21.09.2015 г.</t>
  </si>
  <si>
    <t>Краны на автомобильном ходу при работе на монтаже технологического оборудования 10 т</t>
  </si>
  <si>
    <t>101-1477</t>
  </si>
  <si>
    <t>ТССЦ Московской обл., 101-1477, приказ Минстроя России №675/пр от 21.09.2015 г.</t>
  </si>
  <si>
    <t>Шурупы с полукруглой головкой 2,5х20 мм</t>
  </si>
  <si>
    <t>101-1481</t>
  </si>
  <si>
    <t>ТССЦ Московской обл., 101-1481, приказ Минстроя России №675/пр от 21.09.2015 г.</t>
  </si>
  <si>
    <t>Шурупы с полукруглой головкой 4x40 мм</t>
  </si>
  <si>
    <t>101-3914</t>
  </si>
  <si>
    <t>ТССЦ Московской обл., 101-3914, приказ Минстроя России №675/пр от 21.09.2015 г.</t>
  </si>
  <si>
    <t>Дюбели распорные полипропиленовые</t>
  </si>
  <si>
    <t>999-9950</t>
  </si>
  <si>
    <t>ТССЦ Московской обл., 999-9950, приказ Минстроя России №675/пр от 21.09.2015 г.</t>
  </si>
  <si>
    <t>Вспомогательные ненормируемые материалы (2% от ОЗП)</t>
  </si>
  <si>
    <t>РУБ</t>
  </si>
  <si>
    <t>101-2499</t>
  </si>
  <si>
    <t>ТССЦ Московской обл., 101-2499, приказ Минстроя России №675/пр от 21.09.2015 г.</t>
  </si>
  <si>
    <t>Лента изоляционная прорезиненная односторонняя ширина 20 мм, толщина 0,25-0,35 мм</t>
  </si>
  <si>
    <t>1-1039-90</t>
  </si>
  <si>
    <t>Рабочий строитель среднего разряда 3,9</t>
  </si>
  <si>
    <t>331451</t>
  </si>
  <si>
    <t>ТСЭМ Московской обл., 331451, приказ Минстроя России №675/пр от 21.09.2015 г.</t>
  </si>
  <si>
    <t>Перфораторы электрические</t>
  </si>
  <si>
    <t>101-2202</t>
  </si>
  <si>
    <t>ТССЦ Московской обл., 101-2202, приказ Минстроя России №675/пр от 21.09.2015 г.</t>
  </si>
  <si>
    <t>Дюбели распорные полиэтиленовые 6х40 мм</t>
  </si>
  <si>
    <t>1-2038-90</t>
  </si>
  <si>
    <t>Рабочий монтажник среднего разряда 3,8</t>
  </si>
  <si>
    <t>101-2143</t>
  </si>
  <si>
    <t>ТССЦ Московской обл., 101-2143, приказ Минстроя России №675/пр от 21.09.2015 г.</t>
  </si>
  <si>
    <t>Краска</t>
  </si>
  <si>
    <t>101-2478</t>
  </si>
  <si>
    <t>ТССЦ Московской обл., 101-2478, приказ Минстроя России №675/пр от 21.09.2015 г.</t>
  </si>
  <si>
    <t>Лента К226</t>
  </si>
  <si>
    <t>201-9002</t>
  </si>
  <si>
    <t>ТССЦ Московской обл., 201-9002, приказ Минстроя России №675/пр от 21.09.2015 г.</t>
  </si>
  <si>
    <t>Конструкции стальные</t>
  </si>
  <si>
    <t>01.7.17.09/4</t>
  </si>
  <si>
    <t>ТСНБ-2001 Московской области, 01.7.17.09/4, протокол от 29.07.2020 г. № 07</t>
  </si>
  <si>
    <t>Буры</t>
  </si>
  <si>
    <t>ШТ</t>
  </si>
  <si>
    <t>103-9911</t>
  </si>
  <si>
    <t>ТСНБ-2001 Московской области, 103-9911, протокол от 29.07.2020 г. № 07</t>
  </si>
  <si>
    <t>Фасонные и соединительные части к полипропиленовым трубам</t>
  </si>
  <si>
    <t>301-9690</t>
  </si>
  <si>
    <t>ТСНБ-2001 Московской области, 301-9690, протокол от 29.07.2020 г. № 07</t>
  </si>
  <si>
    <t>Хомуты для крепления труб</t>
  </si>
  <si>
    <t>302-9008</t>
  </si>
  <si>
    <t>ТСНБ-2001 Московской области, 302-9008, протокол от 29.07.2020 г. № 07</t>
  </si>
  <si>
    <t>Арматура трубопроводная муфтовая</t>
  </si>
  <si>
    <t>507-9004</t>
  </si>
  <si>
    <t>ТСНБ-2001 Московской области, 507-9004, протокол от 29.07.2020 г. № 07</t>
  </si>
  <si>
    <t>Трубы пластмассовые</t>
  </si>
  <si>
    <t>Поправка: МДС 81-35.2004, п.4.7  Наименование: Работы, выполняемые при реконструкции зданий и сооружений работы, аналогичные технологическим процессам в новом строительстве (в том числе возведение новых конструктивных элементов) стоимость которых определена по соответствующим сборникам ФЕР, кроме сборника № 46 «Работы при реконструкции зданий и сооружений»</t>
  </si>
  <si>
    <t>Поправка: МДС 81-35.2004, п.4.9  Наименование: По работам, в технологии производства которых предусмотрена сварка металлоконструкций, металлопроката, стальных труб, листового металла, закладных деталей и др. металлоизделий, элементные сметные нормы и единичные расценки разработаны из условия применения углеродистой стали.При применении нержавеющей стали</t>
  </si>
  <si>
    <t>"СОГЛАСОВАНО"</t>
  </si>
  <si>
    <t>"УТВЕРЖДАЮ"</t>
  </si>
  <si>
    <t>"_____"________________ 2021 г.</t>
  </si>
  <si>
    <t>(наименование стройки)</t>
  </si>
  <si>
    <t xml:space="preserve">Номер заказа   </t>
  </si>
  <si>
    <t>(наименование работ и затрат, наименование объекта)</t>
  </si>
  <si>
    <t>базовая цена</t>
  </si>
  <si>
    <t>текущая цена</t>
  </si>
  <si>
    <t>Сметная стоимость</t>
  </si>
  <si>
    <t>тыс. руб.</t>
  </si>
  <si>
    <t xml:space="preserve">     Строительные работы</t>
  </si>
  <si>
    <t xml:space="preserve">     Монтажные работы</t>
  </si>
  <si>
    <t xml:space="preserve">     Оборудование</t>
  </si>
  <si>
    <t xml:space="preserve">     Прочие работы</t>
  </si>
  <si>
    <t>Нормативная трудоемкость</t>
  </si>
  <si>
    <t>чел. -ч.</t>
  </si>
  <si>
    <t>Средства на оплату труда</t>
  </si>
  <si>
    <t>Строительный объем:</t>
  </si>
  <si>
    <t>Стоимость ед.стр.объема:</t>
  </si>
  <si>
    <t>№ п/п</t>
  </si>
  <si>
    <t>Шифр расценки и коды ресурсов</t>
  </si>
  <si>
    <t>Наименование работ и затрат</t>
  </si>
  <si>
    <t>Ед. изм.</t>
  </si>
  <si>
    <t>Кол-во единиц</t>
  </si>
  <si>
    <t>Цена на ед. изм.</t>
  </si>
  <si>
    <t>Попра-вочные коэфф.</t>
  </si>
  <si>
    <t>Стоимость в ценах 2001г.</t>
  </si>
  <si>
    <t>Пункт коэфф. пересчета</t>
  </si>
  <si>
    <t>Коэфф. пересчета</t>
  </si>
  <si>
    <t>Стоимость в текущих ценах</t>
  </si>
  <si>
    <t>ЗТР всего чел.-час</t>
  </si>
  <si>
    <t>Составлена в ценах ТСНБ-2001 МО (редакция 2014 г) февраль 2021 года и Московская область Каталог текущих цен на материалы, декабрь 2020 г</t>
  </si>
  <si>
    <t>Зарплата</t>
  </si>
  <si>
    <t>НР от ФОТ</t>
  </si>
  <si>
    <t>%</t>
  </si>
  <si>
    <t>СП от ФОТ</t>
  </si>
  <si>
    <t>Затраты труда</t>
  </si>
  <si>
    <t>чел-ч</t>
  </si>
  <si>
    <t>в т.ч. зарплата машинистов</t>
  </si>
  <si>
    <t>Материальные ресурсы</t>
  </si>
  <si>
    <r>
      <t>11-01-033-1</t>
    </r>
    <r>
      <rPr>
        <i/>
        <sz val="10"/>
        <rFont val="Arial"/>
        <family val="2"/>
        <charset val="204"/>
      </rPr>
      <t xml:space="preserve">
Поправка: МДС 81-35.2004, п.4.7</t>
    </r>
  </si>
  <si>
    <r>
      <t>18-03-001-2</t>
    </r>
    <r>
      <rPr>
        <i/>
        <sz val="10"/>
        <rFont val="Arial"/>
        <family val="2"/>
        <charset val="204"/>
      </rPr>
      <t xml:space="preserve">
Поправка: МДС 81-35.2004, п.4.7</t>
    </r>
  </si>
  <si>
    <r>
      <t>16-04-005-1</t>
    </r>
    <r>
      <rPr>
        <i/>
        <sz val="10"/>
        <rFont val="Arial"/>
        <family val="2"/>
        <charset val="204"/>
      </rPr>
      <t xml:space="preserve">
Поправка: МДС 81-35.2004, п.4.7</t>
    </r>
  </si>
  <si>
    <r>
      <t>м08-02-399-1</t>
    </r>
    <r>
      <rPr>
        <i/>
        <sz val="10"/>
        <rFont val="Arial"/>
        <family val="2"/>
        <charset val="204"/>
      </rPr>
      <t xml:space="preserve">
Поправка: МДС 81-35.2004, п.4.9</t>
    </r>
  </si>
  <si>
    <t xml:space="preserve">   </t>
  </si>
  <si>
    <t xml:space="preserve">Объемы согласовал  </t>
  </si>
  <si>
    <t>[должность,подпись(инициалы,фамилия)]</t>
  </si>
  <si>
    <t xml:space="preserve">Составил  </t>
  </si>
  <si>
    <t xml:space="preserve">Проверил  </t>
  </si>
  <si>
    <r>
      <t>15-04-005-03</t>
    </r>
    <r>
      <rPr>
        <i/>
        <sz val="10"/>
        <rFont val="Arial"/>
        <family val="2"/>
        <charset val="204"/>
      </rPr>
      <t xml:space="preserve">
</t>
    </r>
  </si>
  <si>
    <t xml:space="preserve">Окраска поливинилацетатными водоэмульсионными составами улучшенная: по штукатурке стен — 100 м2. </t>
  </si>
  <si>
    <t>15-04-005-03</t>
  </si>
</sst>
</file>

<file path=xl/styles.xml><?xml version="1.0" encoding="utf-8"?>
<styleSheet xmlns="http://schemas.openxmlformats.org/spreadsheetml/2006/main">
  <numFmts count="2">
    <numFmt numFmtId="164" formatCode="#,##0.00;[Red]\-\ #,##0.00"/>
    <numFmt numFmtId="165" formatCode="#,##0.00####;[Red]\-\ #,##0.00####"/>
  </numFmts>
  <fonts count="20">
    <font>
      <sz val="10"/>
      <name val="Arial"/>
      <charset val="204"/>
    </font>
    <font>
      <b/>
      <sz val="10"/>
      <color indexed="12"/>
      <name val="Arial"/>
      <charset val="204"/>
    </font>
    <font>
      <b/>
      <sz val="10"/>
      <color indexed="16"/>
      <name val="Arial"/>
      <charset val="204"/>
    </font>
    <font>
      <b/>
      <sz val="10"/>
      <color indexed="20"/>
      <name val="Arial"/>
      <charset val="204"/>
    </font>
    <font>
      <b/>
      <sz val="10"/>
      <color indexed="17"/>
      <name val="Arial"/>
      <charset val="204"/>
    </font>
    <font>
      <sz val="10"/>
      <color indexed="17"/>
      <name val="Arial"/>
      <charset val="204"/>
    </font>
    <font>
      <sz val="10"/>
      <color indexed="12"/>
      <name val="Arial"/>
      <charset val="204"/>
    </font>
    <font>
      <sz val="10"/>
      <color indexed="14"/>
      <name val="Arial"/>
      <charset val="204"/>
    </font>
    <font>
      <b/>
      <sz val="10"/>
      <color indexed="14"/>
      <name val="Arial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1"/>
      <name val="Arial"/>
      <family val="2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i/>
      <sz val="11"/>
      <name val="Arial"/>
      <family val="2"/>
      <charset val="204"/>
    </font>
    <font>
      <i/>
      <sz val="10"/>
      <name val="Arial"/>
      <family val="2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11" fillId="0" borderId="0" xfId="0" applyFont="1" applyAlignment="1">
      <alignment horizontal="right"/>
    </xf>
    <xf numFmtId="0" fontId="11" fillId="0" borderId="0" xfId="0" applyFont="1"/>
    <xf numFmtId="0" fontId="12" fillId="0" borderId="0" xfId="0" applyFont="1" applyAlignment="1"/>
    <xf numFmtId="0" fontId="11" fillId="0" borderId="0" xfId="0" applyFont="1" applyAlignment="1"/>
    <xf numFmtId="0" fontId="11" fillId="0" borderId="0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Border="1" applyAlignment="1">
      <alignment wrapText="1"/>
    </xf>
    <xf numFmtId="0" fontId="11" fillId="0" borderId="0" xfId="0" applyFont="1" applyBorder="1"/>
    <xf numFmtId="0" fontId="11" fillId="0" borderId="0" xfId="0" applyFont="1" applyAlignment="1">
      <alignment wrapText="1"/>
    </xf>
    <xf numFmtId="0" fontId="14" fillId="0" borderId="0" xfId="0" applyFont="1" applyAlignment="1">
      <alignment vertical="center" wrapText="1"/>
    </xf>
    <xf numFmtId="0" fontId="13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 vertical="top"/>
    </xf>
    <xf numFmtId="0" fontId="14" fillId="0" borderId="0" xfId="0" applyFont="1" applyAlignment="1">
      <alignment horizontal="right"/>
    </xf>
    <xf numFmtId="0" fontId="11" fillId="0" borderId="0" xfId="0" applyFont="1" applyAlignment="1">
      <alignment horizontal="right" vertical="top"/>
    </xf>
    <xf numFmtId="0" fontId="16" fillId="0" borderId="0" xfId="0" applyFont="1" applyAlignment="1">
      <alignment horizontal="right" vertical="top"/>
    </xf>
    <xf numFmtId="0" fontId="16" fillId="0" borderId="0" xfId="0" applyFont="1" applyAlignment="1">
      <alignment horizontal="left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9" fillId="0" borderId="0" xfId="0" applyFont="1" applyAlignment="1">
      <alignment vertical="top" wrapText="1"/>
    </xf>
    <xf numFmtId="164" fontId="0" fillId="0" borderId="0" xfId="0" applyNumberFormat="1"/>
    <xf numFmtId="0" fontId="11" fillId="0" borderId="2" xfId="0" applyFont="1" applyBorder="1"/>
    <xf numFmtId="0" fontId="0" fillId="0" borderId="2" xfId="0" applyBorder="1"/>
    <xf numFmtId="0" fontId="9" fillId="0" borderId="2" xfId="0" applyFont="1" applyBorder="1" applyAlignment="1">
      <alignment vertical="top" wrapText="1"/>
    </xf>
    <xf numFmtId="0" fontId="11" fillId="0" borderId="0" xfId="0" applyFont="1" applyAlignment="1">
      <alignment vertical="center"/>
    </xf>
    <xf numFmtId="0" fontId="14" fillId="0" borderId="0" xfId="0" applyFont="1"/>
    <xf numFmtId="0" fontId="11" fillId="0" borderId="0" xfId="0" applyFont="1" applyAlignment="1">
      <alignment horizontal="left" wrapText="1"/>
    </xf>
    <xf numFmtId="0" fontId="17" fillId="0" borderId="0" xfId="0" applyFont="1" applyAlignment="1">
      <alignment horizontal="right" wrapText="1"/>
    </xf>
    <xf numFmtId="165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right" wrapText="1"/>
    </xf>
    <xf numFmtId="164" fontId="11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0" fontId="9" fillId="0" borderId="0" xfId="0" applyFont="1" applyAlignment="1">
      <alignment horizontal="right" wrapText="1"/>
    </xf>
    <xf numFmtId="164" fontId="10" fillId="0" borderId="0" xfId="0" applyNumberFormat="1" applyFont="1" applyAlignment="1">
      <alignment horizontal="right"/>
    </xf>
    <xf numFmtId="0" fontId="17" fillId="0" borderId="2" xfId="0" applyFont="1" applyBorder="1" applyAlignment="1">
      <alignment horizontal="right" wrapText="1"/>
    </xf>
    <xf numFmtId="0" fontId="11" fillId="0" borderId="2" xfId="0" applyFont="1" applyBorder="1" applyAlignment="1">
      <alignment horizontal="right"/>
    </xf>
    <xf numFmtId="165" fontId="11" fillId="0" borderId="2" xfId="0" applyNumberFormat="1" applyFont="1" applyBorder="1" applyAlignment="1">
      <alignment horizontal="right"/>
    </xf>
    <xf numFmtId="0" fontId="11" fillId="0" borderId="2" xfId="0" quotePrefix="1" applyFont="1" applyBorder="1" applyAlignment="1">
      <alignment horizontal="right" wrapText="1"/>
    </xf>
    <xf numFmtId="164" fontId="11" fillId="0" borderId="2" xfId="0" applyNumberFormat="1" applyFont="1" applyBorder="1" applyAlignment="1">
      <alignment horizontal="right"/>
    </xf>
    <xf numFmtId="0" fontId="11" fillId="0" borderId="2" xfId="0" applyFont="1" applyBorder="1" applyAlignment="1">
      <alignment horizontal="right" wrapText="1"/>
    </xf>
    <xf numFmtId="0" fontId="10" fillId="0" borderId="2" xfId="0" applyFont="1" applyBorder="1" applyAlignment="1">
      <alignment horizontal="right"/>
    </xf>
    <xf numFmtId="164" fontId="19" fillId="0" borderId="0" xfId="0" applyNumberFormat="1" applyFont="1" applyAlignment="1">
      <alignment horizontal="right"/>
    </xf>
    <xf numFmtId="164" fontId="10" fillId="0" borderId="2" xfId="0" applyNumberFormat="1" applyFont="1" applyBorder="1" applyAlignment="1">
      <alignment horizontal="right"/>
    </xf>
    <xf numFmtId="164" fontId="17" fillId="0" borderId="0" xfId="0" applyNumberFormat="1" applyFont="1" applyAlignment="1">
      <alignment horizontal="right"/>
    </xf>
    <xf numFmtId="0" fontId="11" fillId="0" borderId="0" xfId="0" quotePrefix="1" applyFont="1" applyAlignment="1">
      <alignment horizontal="right" wrapText="1"/>
    </xf>
    <xf numFmtId="0" fontId="11" fillId="0" borderId="0" xfId="0" applyFont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11" fillId="0" borderId="2" xfId="0" applyFont="1" applyBorder="1" applyAlignment="1">
      <alignment horizontal="left" vertical="top" wrapText="1"/>
    </xf>
    <xf numFmtId="165" fontId="9" fillId="0" borderId="0" xfId="0" applyNumberFormat="1" applyFont="1" applyAlignment="1">
      <alignment horizontal="left"/>
    </xf>
    <xf numFmtId="0" fontId="14" fillId="0" borderId="0" xfId="0" applyFont="1" applyAlignment="1">
      <alignment horizontal="left" wrapText="1"/>
    </xf>
    <xf numFmtId="4" fontId="11" fillId="0" borderId="0" xfId="0" applyNumberFormat="1" applyFont="1"/>
    <xf numFmtId="0" fontId="9" fillId="0" borderId="0" xfId="0" applyFont="1"/>
    <xf numFmtId="0" fontId="11" fillId="0" borderId="0" xfId="0" applyFont="1" applyAlignment="1">
      <alignment vertical="top"/>
    </xf>
    <xf numFmtId="0" fontId="9" fillId="0" borderId="0" xfId="0" applyFont="1" applyAlignment="1">
      <alignment horizontal="right"/>
    </xf>
    <xf numFmtId="164" fontId="14" fillId="0" borderId="0" xfId="0" applyNumberFormat="1" applyFont="1" applyAlignment="1">
      <alignment horizontal="right"/>
    </xf>
    <xf numFmtId="0" fontId="14" fillId="0" borderId="0" xfId="0" applyFont="1" applyAlignment="1">
      <alignment horizontal="left" wrapText="1"/>
    </xf>
    <xf numFmtId="164" fontId="14" fillId="0" borderId="1" xfId="0" applyNumberFormat="1" applyFont="1" applyBorder="1" applyAlignment="1">
      <alignment horizontal="righ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 wrapText="1"/>
    </xf>
    <xf numFmtId="0" fontId="12" fillId="0" borderId="0" xfId="0" applyFont="1" applyAlignment="1">
      <alignment horizontal="center" wrapText="1"/>
    </xf>
    <xf numFmtId="0" fontId="10" fillId="0" borderId="1" xfId="0" applyFont="1" applyBorder="1" applyAlignment="1">
      <alignment horizontal="center" vertical="top"/>
    </xf>
    <xf numFmtId="0" fontId="11" fillId="0" borderId="2" xfId="0" applyFont="1" applyBorder="1" applyAlignment="1">
      <alignment horizontal="left"/>
    </xf>
    <xf numFmtId="0" fontId="11" fillId="0" borderId="0" xfId="0" applyFont="1" applyAlignment="1">
      <alignment horizontal="left" wrapText="1"/>
    </xf>
    <xf numFmtId="164" fontId="11" fillId="0" borderId="0" xfId="0" applyNumberFormat="1" applyFont="1" applyAlignment="1">
      <alignment horizontal="right"/>
    </xf>
    <xf numFmtId="0" fontId="14" fillId="0" borderId="0" xfId="0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right"/>
    </xf>
    <xf numFmtId="0" fontId="10" fillId="0" borderId="0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11" fillId="0" borderId="0" xfId="0" applyFont="1" applyBorder="1" applyAlignment="1">
      <alignment horizontal="left" wrapText="1"/>
    </xf>
    <xf numFmtId="0" fontId="13" fillId="0" borderId="0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top" wrapText="1"/>
    </xf>
    <xf numFmtId="0" fontId="13" fillId="0" borderId="0" xfId="0" applyFont="1" applyAlignment="1">
      <alignment horizontal="left"/>
    </xf>
    <xf numFmtId="0" fontId="15" fillId="0" borderId="0" xfId="0" applyFont="1" applyBorder="1" applyAlignment="1">
      <alignment horizontal="center" wrapText="1"/>
    </xf>
    <xf numFmtId="0" fontId="15" fillId="0" borderId="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342"/>
  <sheetViews>
    <sheetView tabSelected="1" topLeftCell="A215" zoomScaleNormal="100" workbookViewId="0">
      <selection activeCell="C332" sqref="C332:I332"/>
    </sheetView>
  </sheetViews>
  <sheetFormatPr defaultRowHeight="12.75"/>
  <cols>
    <col min="1" max="1" width="5.7109375" customWidth="1"/>
    <col min="2" max="2" width="14.42578125" customWidth="1"/>
    <col min="3" max="3" width="40.7109375" customWidth="1"/>
    <col min="4" max="5" width="10.7109375" customWidth="1"/>
    <col min="6" max="8" width="12.7109375" customWidth="1"/>
    <col min="9" max="9" width="17.7109375" customWidth="1"/>
    <col min="10" max="10" width="8.7109375" customWidth="1"/>
    <col min="11" max="11" width="13.7109375" customWidth="1"/>
    <col min="12" max="12" width="9.7109375" customWidth="1"/>
    <col min="15" max="31" width="0" hidden="1" customWidth="1"/>
    <col min="32" max="32" width="91.7109375" hidden="1" customWidth="1"/>
    <col min="33" max="36" width="0" hidden="1" customWidth="1"/>
  </cols>
  <sheetData>
    <row r="1" spans="1:12">
      <c r="A1" s="9" t="str">
        <f>Source!B1</f>
        <v>Smeta.RU  (495) 974-1589</v>
      </c>
    </row>
    <row r="2" spans="1:12" ht="14.25">
      <c r="A2" s="10"/>
      <c r="B2" s="10"/>
      <c r="C2" s="10"/>
      <c r="D2" s="10"/>
      <c r="E2" s="10"/>
      <c r="F2" s="10"/>
      <c r="G2" s="10"/>
      <c r="H2" s="10"/>
      <c r="I2" s="10"/>
      <c r="J2" s="10"/>
      <c r="K2" s="11"/>
      <c r="L2" s="11"/>
    </row>
    <row r="3" spans="1:12" ht="16.5">
      <c r="A3" s="12"/>
      <c r="B3" s="84" t="s">
        <v>634</v>
      </c>
      <c r="C3" s="84"/>
      <c r="D3" s="84"/>
      <c r="E3" s="84"/>
      <c r="F3" s="11"/>
      <c r="G3" s="11"/>
      <c r="H3" s="84" t="s">
        <v>635</v>
      </c>
      <c r="I3" s="84"/>
      <c r="J3" s="84"/>
      <c r="K3" s="84"/>
      <c r="L3" s="84"/>
    </row>
    <row r="4" spans="1:12" ht="14.25">
      <c r="A4" s="11"/>
      <c r="B4" s="69"/>
      <c r="C4" s="69"/>
      <c r="D4" s="69"/>
      <c r="E4" s="69"/>
      <c r="F4" s="11"/>
      <c r="G4" s="11"/>
      <c r="H4" s="69"/>
      <c r="I4" s="69"/>
      <c r="J4" s="69"/>
      <c r="K4" s="69"/>
      <c r="L4" s="69"/>
    </row>
    <row r="5" spans="1:12" ht="14.25">
      <c r="A5" s="13"/>
      <c r="B5" s="13"/>
      <c r="C5" s="14"/>
      <c r="D5" s="14"/>
      <c r="E5" s="14"/>
      <c r="F5" s="11"/>
      <c r="G5" s="11"/>
      <c r="H5" s="15"/>
      <c r="I5" s="14"/>
      <c r="J5" s="14"/>
      <c r="K5" s="14"/>
      <c r="L5" s="15"/>
    </row>
    <row r="6" spans="1:12" ht="14.25">
      <c r="A6" s="15"/>
      <c r="B6" s="69" t="str">
        <f>CONCATENATE("______________________ ", IF(Source!AL12&lt;&gt;"", Source!AL12, ""))</f>
        <v xml:space="preserve">______________________ </v>
      </c>
      <c r="C6" s="69"/>
      <c r="D6" s="69"/>
      <c r="E6" s="69"/>
      <c r="F6" s="11"/>
      <c r="G6" s="11"/>
      <c r="H6" s="69" t="str">
        <f>CONCATENATE("______________________ ", IF(Source!AH12&lt;&gt;"", Source!AH12, ""))</f>
        <v xml:space="preserve">______________________ </v>
      </c>
      <c r="I6" s="69"/>
      <c r="J6" s="69"/>
      <c r="K6" s="69"/>
      <c r="L6" s="69"/>
    </row>
    <row r="7" spans="1:12" ht="14.25">
      <c r="A7" s="16"/>
      <c r="B7" s="81" t="s">
        <v>636</v>
      </c>
      <c r="C7" s="81"/>
      <c r="D7" s="81"/>
      <c r="E7" s="81"/>
      <c r="F7" s="11"/>
      <c r="G7" s="11"/>
      <c r="H7" s="81" t="s">
        <v>636</v>
      </c>
      <c r="I7" s="81"/>
      <c r="J7" s="81"/>
      <c r="K7" s="81"/>
      <c r="L7" s="81"/>
    </row>
    <row r="10" spans="1:12" ht="15.75">
      <c r="A10" s="16"/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16"/>
    </row>
    <row r="11" spans="1:12" ht="14.25">
      <c r="A11" s="17"/>
      <c r="B11" s="83" t="s">
        <v>637</v>
      </c>
      <c r="C11" s="83"/>
      <c r="D11" s="83"/>
      <c r="E11" s="83"/>
      <c r="F11" s="83"/>
      <c r="G11" s="83"/>
      <c r="H11" s="83"/>
      <c r="I11" s="83"/>
      <c r="J11" s="83"/>
      <c r="K11" s="83"/>
      <c r="L11" s="16"/>
    </row>
    <row r="12" spans="1:12" ht="14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</row>
    <row r="13" spans="1:12" ht="14.25">
      <c r="A13" s="11"/>
      <c r="B13" s="11"/>
      <c r="C13" s="11"/>
      <c r="D13" s="11"/>
      <c r="E13" s="11"/>
      <c r="F13" s="70" t="s">
        <v>638</v>
      </c>
      <c r="G13" s="70"/>
      <c r="H13" s="74" t="str">
        <f>IF(Source!F12&lt;&gt;"Новый объект", Source!F12, "")</f>
        <v/>
      </c>
      <c r="I13" s="74"/>
      <c r="J13" s="74"/>
      <c r="K13" s="74"/>
      <c r="L13" s="18"/>
    </row>
    <row r="14" spans="1:12" ht="14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pans="1:12" ht="15.75">
      <c r="A15" s="19"/>
      <c r="B15" s="82" t="str">
        <f>CONCATENATE( "ЛОКАЛЬНАЯ СМЕТА № ",IF(Source!F12&lt;&gt;"Новый объект", Source!F12, ""))</f>
        <v xml:space="preserve">ЛОКАЛЬНАЯ СМЕТА № </v>
      </c>
      <c r="C15" s="82"/>
      <c r="D15" s="82"/>
      <c r="E15" s="82"/>
      <c r="F15" s="82"/>
      <c r="G15" s="82"/>
      <c r="H15" s="82"/>
      <c r="I15" s="82"/>
      <c r="J15" s="82"/>
      <c r="K15" s="82"/>
      <c r="L15" s="19"/>
    </row>
    <row r="16" spans="1:12" ht="15.75">
      <c r="A16" s="19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19"/>
    </row>
    <row r="17" spans="1:12" ht="18" hidden="1">
      <c r="A17" s="19"/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19"/>
    </row>
    <row r="18" spans="1:12" ht="14.25" hidden="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</row>
    <row r="19" spans="1:12" ht="18">
      <c r="A19" s="11"/>
      <c r="B19" s="86" t="str">
        <f>IF(Source!G12&lt;&gt;"Новый объект", Source!G12, "")</f>
        <v>Спортивный зал Ильинский Погост 2021.</v>
      </c>
      <c r="C19" s="86"/>
      <c r="D19" s="86"/>
      <c r="E19" s="86"/>
      <c r="F19" s="86"/>
      <c r="G19" s="86"/>
      <c r="H19" s="86"/>
      <c r="I19" s="86"/>
      <c r="J19" s="86"/>
      <c r="K19" s="86"/>
      <c r="L19" s="21"/>
    </row>
    <row r="20" spans="1:12" ht="14.25">
      <c r="A20" s="11"/>
      <c r="B20" s="79" t="s">
        <v>639</v>
      </c>
      <c r="C20" s="79"/>
      <c r="D20" s="79"/>
      <c r="E20" s="79"/>
      <c r="F20" s="79"/>
      <c r="G20" s="79"/>
      <c r="H20" s="79"/>
      <c r="I20" s="79"/>
      <c r="J20" s="79"/>
      <c r="K20" s="79"/>
      <c r="L20" s="16"/>
    </row>
    <row r="21" spans="1:12" ht="14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</row>
    <row r="22" spans="1:12" ht="14.25">
      <c r="A22" s="74" t="str">
        <f>CONCATENATE("Основание: ", Source!J12)</f>
        <v xml:space="preserve">Основание: </v>
      </c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</row>
    <row r="23" spans="1:12" ht="14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</row>
    <row r="24" spans="1:12" ht="14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spans="1:12" ht="14.25">
      <c r="A25" s="11"/>
      <c r="B25" s="11"/>
      <c r="C25" s="11"/>
      <c r="D25" s="11"/>
      <c r="E25" s="22"/>
      <c r="F25" s="22"/>
      <c r="G25" s="80" t="s">
        <v>640</v>
      </c>
      <c r="H25" s="80"/>
      <c r="I25" s="80" t="s">
        <v>641</v>
      </c>
      <c r="J25" s="80"/>
      <c r="K25" s="11"/>
      <c r="L25" s="11"/>
    </row>
    <row r="26" spans="1:12" ht="15">
      <c r="A26" s="11"/>
      <c r="B26" s="11"/>
      <c r="C26" s="76" t="s">
        <v>642</v>
      </c>
      <c r="D26" s="76"/>
      <c r="E26" s="76"/>
      <c r="F26" s="76"/>
      <c r="G26" s="75">
        <f>SUM(O1:O330)/1000</f>
        <v>91.456999999999979</v>
      </c>
      <c r="H26" s="75"/>
      <c r="I26" s="75">
        <f>(Source!F306/1000)</f>
        <v>816.94504000000006</v>
      </c>
      <c r="J26" s="75"/>
      <c r="K26" s="77" t="s">
        <v>643</v>
      </c>
      <c r="L26" s="77"/>
    </row>
    <row r="27" spans="1:12" ht="14.25">
      <c r="A27" s="11"/>
      <c r="B27" s="11"/>
      <c r="C27" s="78" t="s">
        <v>644</v>
      </c>
      <c r="D27" s="78"/>
      <c r="E27" s="78"/>
      <c r="F27" s="78"/>
      <c r="G27" s="75">
        <f>SUM(W1:W330)/1000</f>
        <v>90.393259999999998</v>
      </c>
      <c r="H27" s="75"/>
      <c r="I27" s="75">
        <f>(Source!F293)/1000</f>
        <v>659.4214300000001</v>
      </c>
      <c r="J27" s="75"/>
      <c r="K27" s="77" t="s">
        <v>643</v>
      </c>
      <c r="L27" s="77"/>
    </row>
    <row r="28" spans="1:12" ht="14.25">
      <c r="A28" s="11"/>
      <c r="B28" s="11"/>
      <c r="C28" s="78" t="s">
        <v>645</v>
      </c>
      <c r="D28" s="78"/>
      <c r="E28" s="78"/>
      <c r="F28" s="78"/>
      <c r="G28" s="75">
        <f>SUM(X1:X330)/1000</f>
        <v>1.0637399999999999</v>
      </c>
      <c r="H28" s="75"/>
      <c r="I28" s="75">
        <f>(Source!F294)/1000</f>
        <v>21.366099999999999</v>
      </c>
      <c r="J28" s="75"/>
      <c r="K28" s="77" t="s">
        <v>643</v>
      </c>
      <c r="L28" s="77"/>
    </row>
    <row r="29" spans="1:12" ht="14.25">
      <c r="A29" s="11"/>
      <c r="B29" s="11"/>
      <c r="C29" s="78" t="s">
        <v>646</v>
      </c>
      <c r="D29" s="78"/>
      <c r="E29" s="78"/>
      <c r="F29" s="78"/>
      <c r="G29" s="75">
        <f>SUM(Y1:Y330)/1000</f>
        <v>0</v>
      </c>
      <c r="H29" s="75"/>
      <c r="I29" s="75">
        <f>(Source!F285)/1000</f>
        <v>0</v>
      </c>
      <c r="J29" s="75"/>
      <c r="K29" s="77" t="s">
        <v>643</v>
      </c>
      <c r="L29" s="77"/>
    </row>
    <row r="30" spans="1:12" ht="14.25">
      <c r="A30" s="11"/>
      <c r="B30" s="11"/>
      <c r="C30" s="78" t="s">
        <v>647</v>
      </c>
      <c r="D30" s="78"/>
      <c r="E30" s="78"/>
      <c r="F30" s="78"/>
      <c r="G30" s="75">
        <f>SUM(Z1:Z330)/1000</f>
        <v>0</v>
      </c>
      <c r="H30" s="75"/>
      <c r="I30" s="75">
        <f>(Source!F295+Source!F296)/1000</f>
        <v>0</v>
      </c>
      <c r="J30" s="75"/>
      <c r="K30" s="77" t="s">
        <v>643</v>
      </c>
      <c r="L30" s="77"/>
    </row>
    <row r="31" spans="1:12" ht="15">
      <c r="A31" s="11"/>
      <c r="B31" s="11"/>
      <c r="C31" s="76" t="s">
        <v>648</v>
      </c>
      <c r="D31" s="76"/>
      <c r="E31" s="76"/>
      <c r="F31" s="76"/>
      <c r="G31" s="75">
        <f>I31</f>
        <v>495.29314799999997</v>
      </c>
      <c r="H31" s="75"/>
      <c r="I31" s="75">
        <f>(Source!F298+Source!F299)</f>
        <v>495.29314799999997</v>
      </c>
      <c r="J31" s="75"/>
      <c r="K31" s="77" t="s">
        <v>649</v>
      </c>
      <c r="L31" s="77"/>
    </row>
    <row r="32" spans="1:12" ht="15">
      <c r="A32" s="11"/>
      <c r="B32" s="11"/>
      <c r="C32" s="76" t="s">
        <v>650</v>
      </c>
      <c r="D32" s="76"/>
      <c r="E32" s="76"/>
      <c r="F32" s="76"/>
      <c r="G32" s="75">
        <f>SUM(R1:R330)/1000</f>
        <v>4.39107</v>
      </c>
      <c r="H32" s="75"/>
      <c r="I32" s="75">
        <f>(Source!F291+ Source!F290)/1000</f>
        <v>145.12492</v>
      </c>
      <c r="J32" s="75"/>
      <c r="K32" s="77" t="s">
        <v>643</v>
      </c>
      <c r="L32" s="77"/>
    </row>
    <row r="33" spans="1:22" ht="14.25" hidden="1">
      <c r="A33" s="11"/>
      <c r="B33" s="11"/>
      <c r="C33" s="78" t="s">
        <v>105</v>
      </c>
      <c r="D33" s="78"/>
      <c r="E33" s="78"/>
      <c r="F33" s="78"/>
      <c r="G33" s="75"/>
      <c r="H33" s="75"/>
      <c r="I33" s="75"/>
      <c r="J33" s="75"/>
      <c r="K33" s="23" t="s">
        <v>643</v>
      </c>
      <c r="L33" s="11"/>
    </row>
    <row r="34" spans="1:22" ht="15">
      <c r="A34" s="11"/>
      <c r="B34" s="11"/>
      <c r="C34" s="24"/>
      <c r="D34" s="24"/>
      <c r="E34" s="24"/>
      <c r="F34" s="15"/>
      <c r="G34" s="25"/>
      <c r="H34" s="25"/>
      <c r="I34" s="25"/>
      <c r="J34" s="25"/>
      <c r="K34" s="25"/>
      <c r="L34" s="25"/>
    </row>
    <row r="35" spans="1:22" ht="15" hidden="1">
      <c r="A35" s="15" t="s">
        <v>651</v>
      </c>
      <c r="B35" s="11"/>
      <c r="C35" s="11"/>
      <c r="D35" s="13"/>
      <c r="E35" s="11"/>
      <c r="F35" s="11"/>
      <c r="G35" s="26"/>
      <c r="H35" s="26"/>
      <c r="I35" s="27"/>
      <c r="J35" s="26"/>
      <c r="K35" s="26"/>
      <c r="L35" s="26"/>
    </row>
    <row r="36" spans="1:22" ht="15" hidden="1">
      <c r="A36" s="15" t="s">
        <v>652</v>
      </c>
      <c r="B36" s="11"/>
      <c r="C36" s="11"/>
      <c r="D36" s="13"/>
      <c r="E36" s="11"/>
      <c r="F36" s="11"/>
      <c r="G36" s="26"/>
      <c r="H36" s="26"/>
      <c r="I36" s="27"/>
      <c r="J36" s="26"/>
      <c r="K36" s="26"/>
      <c r="L36" s="26"/>
    </row>
    <row r="37" spans="1:22" ht="15" hidden="1">
      <c r="A37" s="11"/>
      <c r="B37" s="11"/>
      <c r="C37" s="10"/>
      <c r="D37" s="10"/>
      <c r="E37" s="10"/>
      <c r="F37" s="10"/>
      <c r="G37" s="26"/>
      <c r="H37" s="26"/>
      <c r="I37" s="27"/>
      <c r="J37" s="26"/>
      <c r="K37" s="26"/>
      <c r="L37" s="26"/>
    </row>
    <row r="38" spans="1:22" ht="14.25">
      <c r="A38" s="73" t="s">
        <v>665</v>
      </c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</row>
    <row r="39" spans="1:22" ht="57">
      <c r="A39" s="28" t="s">
        <v>653</v>
      </c>
      <c r="B39" s="28" t="s">
        <v>654</v>
      </c>
      <c r="C39" s="28" t="s">
        <v>655</v>
      </c>
      <c r="D39" s="28" t="s">
        <v>656</v>
      </c>
      <c r="E39" s="28" t="s">
        <v>657</v>
      </c>
      <c r="F39" s="28" t="s">
        <v>658</v>
      </c>
      <c r="G39" s="28" t="s">
        <v>659</v>
      </c>
      <c r="H39" s="28" t="s">
        <v>660</v>
      </c>
      <c r="I39" s="28" t="s">
        <v>661</v>
      </c>
      <c r="J39" s="28" t="s">
        <v>662</v>
      </c>
      <c r="K39" s="28" t="s">
        <v>663</v>
      </c>
      <c r="L39" s="28" t="s">
        <v>664</v>
      </c>
    </row>
    <row r="40" spans="1:22" ht="14.25">
      <c r="A40" s="29">
        <v>1</v>
      </c>
      <c r="B40" s="29">
        <v>2</v>
      </c>
      <c r="C40" s="29">
        <v>3</v>
      </c>
      <c r="D40" s="29">
        <v>4</v>
      </c>
      <c r="E40" s="29">
        <v>5</v>
      </c>
      <c r="F40" s="29">
        <v>6</v>
      </c>
      <c r="G40" s="29">
        <v>7</v>
      </c>
      <c r="H40" s="29">
        <v>8</v>
      </c>
      <c r="I40" s="29">
        <v>9</v>
      </c>
      <c r="J40" s="29">
        <v>10</v>
      </c>
      <c r="K40" s="29">
        <v>11</v>
      </c>
      <c r="L40" s="30">
        <v>12</v>
      </c>
    </row>
    <row r="42" spans="1:22" ht="16.5">
      <c r="A42" s="71" t="str">
        <f>CONCATENATE("Локальная смета: ",IF(Source!G20&lt;&gt;"Новая локальная смета", Source!G20, ""))</f>
        <v xml:space="preserve">Локальная смета: </v>
      </c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</row>
    <row r="44" spans="1:22" ht="16.5">
      <c r="A44" s="71" t="str">
        <f>CONCATENATE("Раздел: ",IF(Source!G26&lt;&gt;"Новый раздел", Source!G26, ""))</f>
        <v>Раздел: Демонтаж</v>
      </c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</row>
    <row r="45" spans="1:22" ht="42.75">
      <c r="A45" s="23" t="str">
        <f>Source!E30</f>
        <v>1</v>
      </c>
      <c r="B45" s="57" t="str">
        <f>Source!F30</f>
        <v>57-1-3</v>
      </c>
      <c r="C45" s="57" t="str">
        <f>Source!G30</f>
        <v>Разборка оснований покрытия полов простильных полов</v>
      </c>
      <c r="D45" s="39" t="str">
        <f>Source!H30</f>
        <v>100 м2 основания</v>
      </c>
      <c r="E45" s="10">
        <f>Source!I30</f>
        <v>0.90800000000000003</v>
      </c>
      <c r="F45" s="40">
        <f>Source!AL30+Source!AM30+Source!AO30</f>
        <v>136.03</v>
      </c>
      <c r="G45" s="41"/>
      <c r="H45" s="42"/>
      <c r="I45" s="41" t="str">
        <f>Source!BO30</f>
        <v>57-1-3</v>
      </c>
      <c r="J45" s="41"/>
      <c r="K45" s="42"/>
      <c r="L45" s="43"/>
      <c r="S45">
        <f>ROUND((Source!FX30/100)*((ROUND(Source!AF30*Source!I30, 2)+ROUND(Source!AE30*Source!I30, 2))), 2)</f>
        <v>98.82</v>
      </c>
      <c r="T45">
        <f>Source!X30</f>
        <v>3265.74</v>
      </c>
      <c r="U45">
        <f>ROUND((Source!FY30/100)*((ROUND(Source!AF30*Source!I30, 2)+ROUND(Source!AE30*Source!I30, 2))), 2)</f>
        <v>83.99</v>
      </c>
      <c r="V45">
        <f>Source!Y30</f>
        <v>2775.88</v>
      </c>
    </row>
    <row r="46" spans="1:22">
      <c r="C46" s="31" t="str">
        <f>"Объем: "&amp;Source!I30&amp;"=90,8/"&amp;"100"</f>
        <v>Объем: 0,908=90,8/100</v>
      </c>
    </row>
    <row r="47" spans="1:22" ht="14.25">
      <c r="A47" s="23"/>
      <c r="B47" s="57"/>
      <c r="C47" s="57" t="s">
        <v>666</v>
      </c>
      <c r="D47" s="39"/>
      <c r="E47" s="10"/>
      <c r="F47" s="40">
        <f>Source!AO30</f>
        <v>136.03</v>
      </c>
      <c r="G47" s="41" t="str">
        <f>Source!DG30</f>
        <v/>
      </c>
      <c r="H47" s="42">
        <f>ROUND(Source!AF30*Source!I30, 2)</f>
        <v>123.52</v>
      </c>
      <c r="I47" s="41"/>
      <c r="J47" s="41">
        <f>IF(Source!BA30&lt;&gt; 0, Source!BA30, 1)</f>
        <v>33.049999999999997</v>
      </c>
      <c r="K47" s="42">
        <f>Source!S30</f>
        <v>4082.18</v>
      </c>
      <c r="L47" s="43"/>
      <c r="R47">
        <f>H47</f>
        <v>123.52</v>
      </c>
    </row>
    <row r="48" spans="1:22" ht="14.25">
      <c r="A48" s="23"/>
      <c r="B48" s="57"/>
      <c r="C48" s="57" t="s">
        <v>667</v>
      </c>
      <c r="D48" s="39" t="s">
        <v>668</v>
      </c>
      <c r="E48" s="10">
        <f>Source!BZ30</f>
        <v>80</v>
      </c>
      <c r="F48" s="60"/>
      <c r="G48" s="41"/>
      <c r="H48" s="42">
        <f>SUM(S45:S51)</f>
        <v>98.82</v>
      </c>
      <c r="I48" s="44"/>
      <c r="J48" s="38">
        <f>Source!AT30</f>
        <v>80</v>
      </c>
      <c r="K48" s="42">
        <f>SUM(T45:T51)</f>
        <v>3265.74</v>
      </c>
      <c r="L48" s="43"/>
    </row>
    <row r="49" spans="1:26" ht="14.25">
      <c r="A49" s="23"/>
      <c r="B49" s="57"/>
      <c r="C49" s="57" t="s">
        <v>669</v>
      </c>
      <c r="D49" s="39" t="s">
        <v>668</v>
      </c>
      <c r="E49" s="10">
        <f>Source!CA30</f>
        <v>68</v>
      </c>
      <c r="F49" s="60"/>
      <c r="G49" s="41"/>
      <c r="H49" s="42">
        <f>SUM(U45:U51)</f>
        <v>83.99</v>
      </c>
      <c r="I49" s="44"/>
      <c r="J49" s="38">
        <f>Source!AU30</f>
        <v>68</v>
      </c>
      <c r="K49" s="42">
        <f>SUM(V45:V51)</f>
        <v>2775.88</v>
      </c>
      <c r="L49" s="43"/>
    </row>
    <row r="50" spans="1:26" ht="14.25">
      <c r="A50" s="23"/>
      <c r="B50" s="57"/>
      <c r="C50" s="57" t="s">
        <v>670</v>
      </c>
      <c r="D50" s="39" t="s">
        <v>671</v>
      </c>
      <c r="E50" s="10">
        <f>Source!AQ30</f>
        <v>17.440000000000001</v>
      </c>
      <c r="F50" s="40"/>
      <c r="G50" s="41" t="str">
        <f>Source!DI30</f>
        <v/>
      </c>
      <c r="H50" s="42"/>
      <c r="I50" s="41"/>
      <c r="J50" s="41"/>
      <c r="K50" s="42"/>
      <c r="L50" s="45">
        <f>Source!U30</f>
        <v>15.835520000000002</v>
      </c>
    </row>
    <row r="51" spans="1:26" ht="14.25">
      <c r="A51" s="58" t="str">
        <f>Source!E31</f>
        <v>1,1</v>
      </c>
      <c r="B51" s="59" t="str">
        <f>Source!F31</f>
        <v>509-9900</v>
      </c>
      <c r="C51" s="59" t="str">
        <f>Source!G31</f>
        <v>Строительный мусор</v>
      </c>
      <c r="D51" s="46" t="str">
        <f>Source!H31</f>
        <v>т</v>
      </c>
      <c r="E51" s="47">
        <f>Source!I31</f>
        <v>4.2403599999999999</v>
      </c>
      <c r="F51" s="48">
        <f>Source!AL31+Source!AM31+Source!AO31</f>
        <v>0</v>
      </c>
      <c r="G51" s="49" t="s">
        <v>3</v>
      </c>
      <c r="H51" s="50">
        <f>ROUND(Source!AC31*Source!I31, 2)+ROUND(Source!AD31*Source!I31, 2)+ROUND(Source!AF31*Source!I31, 2)</f>
        <v>0</v>
      </c>
      <c r="I51" s="51"/>
      <c r="J51" s="51">
        <f>IF(Source!BC31&lt;&gt; 0, Source!BC31, 1)</f>
        <v>1</v>
      </c>
      <c r="K51" s="50">
        <f>Source!O31</f>
        <v>0</v>
      </c>
      <c r="L51" s="52"/>
      <c r="S51">
        <f>ROUND((Source!FX31/100)*((ROUND(Source!AF31*Source!I31, 2)+ROUND(Source!AE31*Source!I31, 2))), 2)</f>
        <v>0</v>
      </c>
      <c r="T51">
        <f>Source!X31</f>
        <v>0</v>
      </c>
      <c r="U51">
        <f>ROUND((Source!FY31/100)*((ROUND(Source!AF31*Source!I31, 2)+ROUND(Source!AE31*Source!I31, 2))), 2)</f>
        <v>0</v>
      </c>
      <c r="V51">
        <f>Source!Y31</f>
        <v>0</v>
      </c>
      <c r="W51">
        <f>IF(Source!BI31&lt;=1,H51, 0)</f>
        <v>0</v>
      </c>
      <c r="X51">
        <f>IF(Source!BI31=2,H51, 0)</f>
        <v>0</v>
      </c>
      <c r="Y51">
        <f>IF(Source!BI31=3,H51, 0)</f>
        <v>0</v>
      </c>
      <c r="Z51">
        <f>IF(Source!BI31=4,H51, 0)</f>
        <v>0</v>
      </c>
    </row>
    <row r="52" spans="1:26" ht="15">
      <c r="G52" s="68">
        <f>H47+H48+H49+SUM(H51:H51)</f>
        <v>306.33</v>
      </c>
      <c r="H52" s="68"/>
      <c r="J52" s="68">
        <f>K47+K48+K49+SUM(K51:K51)</f>
        <v>10123.799999999999</v>
      </c>
      <c r="K52" s="68"/>
      <c r="L52" s="53">
        <f>Source!U30</f>
        <v>15.835520000000002</v>
      </c>
      <c r="O52" s="32">
        <f>G52</f>
        <v>306.33</v>
      </c>
      <c r="P52" s="32">
        <f>J52</f>
        <v>10123.799999999999</v>
      </c>
      <c r="Q52" s="32">
        <f>L52</f>
        <v>15.835520000000002</v>
      </c>
      <c r="W52">
        <f>IF(Source!BI30&lt;=1,H47+H48+H49, 0)</f>
        <v>306.33</v>
      </c>
      <c r="X52">
        <f>IF(Source!BI30=2,H47+H48+H49, 0)</f>
        <v>0</v>
      </c>
      <c r="Y52">
        <f>IF(Source!BI30=3,H47+H48+H49, 0)</f>
        <v>0</v>
      </c>
      <c r="Z52">
        <f>IF(Source!BI30=4,H47+H48+H49, 0)</f>
        <v>0</v>
      </c>
    </row>
    <row r="53" spans="1:26" ht="28.5">
      <c r="A53" s="23" t="str">
        <f>Source!E32</f>
        <v>3</v>
      </c>
      <c r="B53" s="57" t="str">
        <f>Source!F32</f>
        <v>46-02-009-2</v>
      </c>
      <c r="C53" s="57" t="str">
        <f>Source!G32</f>
        <v>Отбивка штукатурки с поверхностей стен и потолков кирпичных</v>
      </c>
      <c r="D53" s="39" t="str">
        <f>Source!H32</f>
        <v>100 м2</v>
      </c>
      <c r="E53" s="10">
        <f>Source!I32</f>
        <v>1.298</v>
      </c>
      <c r="F53" s="40">
        <f>Source!AL32+Source!AM32+Source!AO32</f>
        <v>178</v>
      </c>
      <c r="G53" s="41"/>
      <c r="H53" s="42"/>
      <c r="I53" s="41" t="str">
        <f>Source!BO32</f>
        <v>46-02-009-2</v>
      </c>
      <c r="J53" s="41"/>
      <c r="K53" s="42"/>
      <c r="L53" s="43"/>
      <c r="S53">
        <f>ROUND((Source!FX32/100)*((ROUND(Source!AF32*Source!I32, 2)+ROUND(Source!AE32*Source!I32, 2))), 2)</f>
        <v>228.73</v>
      </c>
      <c r="T53">
        <f>Source!X32</f>
        <v>7559.64</v>
      </c>
      <c r="U53">
        <f>ROUND((Source!FY32/100)*((ROUND(Source!AF32*Source!I32, 2)+ROUND(Source!AE32*Source!I32, 2))), 2)</f>
        <v>137.47</v>
      </c>
      <c r="V53">
        <f>Source!Y32</f>
        <v>4581.6000000000004</v>
      </c>
    </row>
    <row r="54" spans="1:26">
      <c r="C54" s="31" t="str">
        <f>"Объем: "&amp;Source!I32&amp;"=129,8/"&amp;"100"</f>
        <v>Объем: 1,298=129,8/100</v>
      </c>
    </row>
    <row r="55" spans="1:26" ht="14.25">
      <c r="A55" s="23"/>
      <c r="B55" s="57"/>
      <c r="C55" s="57" t="s">
        <v>666</v>
      </c>
      <c r="D55" s="39"/>
      <c r="E55" s="10"/>
      <c r="F55" s="40">
        <f>Source!AO32</f>
        <v>178</v>
      </c>
      <c r="G55" s="41" t="str">
        <f>Source!DG32</f>
        <v/>
      </c>
      <c r="H55" s="42">
        <f>ROUND(Source!AF32*Source!I32, 2)</f>
        <v>231.04</v>
      </c>
      <c r="I55" s="41"/>
      <c r="J55" s="41">
        <f>IF(Source!BA32&lt;&gt; 0, Source!BA32, 1)</f>
        <v>33.049999999999997</v>
      </c>
      <c r="K55" s="42">
        <f>Source!S32</f>
        <v>7636</v>
      </c>
      <c r="L55" s="43"/>
      <c r="R55">
        <f>H55</f>
        <v>231.04</v>
      </c>
    </row>
    <row r="56" spans="1:26" ht="14.25">
      <c r="A56" s="23"/>
      <c r="B56" s="57"/>
      <c r="C56" s="57" t="s">
        <v>667</v>
      </c>
      <c r="D56" s="39" t="s">
        <v>668</v>
      </c>
      <c r="E56" s="10">
        <f>Source!BZ32</f>
        <v>110</v>
      </c>
      <c r="F56" s="69" t="str">
        <f>CONCATENATE(" )", Source!DL32, Source!FT32, "=", Source!FX32)</f>
        <v xml:space="preserve"> )*0,9=99</v>
      </c>
      <c r="G56" s="70"/>
      <c r="H56" s="42">
        <f>SUM(S53:S58)</f>
        <v>228.73</v>
      </c>
      <c r="I56" s="44"/>
      <c r="J56" s="38">
        <f>Source!AT32</f>
        <v>99</v>
      </c>
      <c r="K56" s="42">
        <f>SUM(T53:T58)</f>
        <v>7559.64</v>
      </c>
      <c r="L56" s="43"/>
    </row>
    <row r="57" spans="1:26" ht="14.25">
      <c r="A57" s="23"/>
      <c r="B57" s="57"/>
      <c r="C57" s="57" t="s">
        <v>669</v>
      </c>
      <c r="D57" s="39" t="s">
        <v>668</v>
      </c>
      <c r="E57" s="10">
        <f>Source!CA32</f>
        <v>70</v>
      </c>
      <c r="F57" s="69" t="str">
        <f>CONCATENATE(" )", Source!DM32, Source!FU32, "=", Source!FY32)</f>
        <v xml:space="preserve"> )*0,85=59,5</v>
      </c>
      <c r="G57" s="70"/>
      <c r="H57" s="42">
        <f>SUM(U53:U58)</f>
        <v>137.47</v>
      </c>
      <c r="I57" s="44"/>
      <c r="J57" s="38">
        <f>Source!AU32</f>
        <v>60</v>
      </c>
      <c r="K57" s="42">
        <f>SUM(V53:V58)</f>
        <v>4581.6000000000004</v>
      </c>
      <c r="L57" s="43"/>
    </row>
    <row r="58" spans="1:26" ht="14.25">
      <c r="A58" s="58"/>
      <c r="B58" s="59"/>
      <c r="C58" s="59" t="s">
        <v>670</v>
      </c>
      <c r="D58" s="46" t="s">
        <v>671</v>
      </c>
      <c r="E58" s="47">
        <f>Source!AQ32</f>
        <v>22.82</v>
      </c>
      <c r="F58" s="48"/>
      <c r="G58" s="51" t="str">
        <f>Source!DI32</f>
        <v/>
      </c>
      <c r="H58" s="50"/>
      <c r="I58" s="51"/>
      <c r="J58" s="51"/>
      <c r="K58" s="50"/>
      <c r="L58" s="54">
        <f>Source!U32</f>
        <v>29.620360000000002</v>
      </c>
    </row>
    <row r="59" spans="1:26" ht="15">
      <c r="G59" s="68">
        <f>H55+H56+H57</f>
        <v>597.24</v>
      </c>
      <c r="H59" s="68"/>
      <c r="J59" s="68">
        <f>K55+K56+K57</f>
        <v>19777.239999999998</v>
      </c>
      <c r="K59" s="68"/>
      <c r="L59" s="53">
        <f>Source!U32</f>
        <v>29.620360000000002</v>
      </c>
      <c r="O59" s="32">
        <f>G59</f>
        <v>597.24</v>
      </c>
      <c r="P59" s="32">
        <f>J59</f>
        <v>19777.239999999998</v>
      </c>
      <c r="Q59" s="32">
        <f>L59</f>
        <v>29.620360000000002</v>
      </c>
      <c r="W59">
        <f>IF(Source!BI32&lt;=1,H55+H56+H57, 0)</f>
        <v>597.24</v>
      </c>
      <c r="X59">
        <f>IF(Source!BI32=2,H55+H56+H57, 0)</f>
        <v>0</v>
      </c>
      <c r="Y59">
        <f>IF(Source!BI32=3,H55+H56+H57, 0)</f>
        <v>0</v>
      </c>
      <c r="Z59">
        <f>IF(Source!BI32=4,H55+H56+H57, 0)</f>
        <v>0</v>
      </c>
    </row>
    <row r="60" spans="1:26" ht="42.75">
      <c r="A60" s="23" t="str">
        <f>Source!E33</f>
        <v>4</v>
      </c>
      <c r="B60" s="57" t="str">
        <f>Source!F33</f>
        <v>57-1-2</v>
      </c>
      <c r="C60" s="57" t="str">
        <f>Source!G33</f>
        <v>Разборка оснований покрытия полов лаг из досок и брусков</v>
      </c>
      <c r="D60" s="39" t="str">
        <f>Source!H33</f>
        <v>100 м2 основания</v>
      </c>
      <c r="E60" s="10">
        <f>Source!I33</f>
        <v>0.90800000000000003</v>
      </c>
      <c r="F60" s="40">
        <f>Source!AL33+Source!AM33+Source!AO33</f>
        <v>59.83</v>
      </c>
      <c r="G60" s="41"/>
      <c r="H60" s="42"/>
      <c r="I60" s="41" t="str">
        <f>Source!BO33</f>
        <v>57-1-2</v>
      </c>
      <c r="J60" s="41"/>
      <c r="K60" s="42"/>
      <c r="L60" s="43"/>
      <c r="S60">
        <f>ROUND((Source!FX33/100)*((ROUND(Source!AF33*Source!I33, 2)+ROUND(Source!AE33*Source!I33, 2))), 2)</f>
        <v>43.46</v>
      </c>
      <c r="T60">
        <f>Source!X33</f>
        <v>1436.37</v>
      </c>
      <c r="U60">
        <f>ROUND((Source!FY33/100)*((ROUND(Source!AF33*Source!I33, 2)+ROUND(Source!AE33*Source!I33, 2))), 2)</f>
        <v>36.94</v>
      </c>
      <c r="V60">
        <f>Source!Y33</f>
        <v>1220.9100000000001</v>
      </c>
    </row>
    <row r="61" spans="1:26">
      <c r="C61" s="31" t="str">
        <f>"Объем: "&amp;Source!I33&amp;"=90,8/"&amp;"100"</f>
        <v>Объем: 0,908=90,8/100</v>
      </c>
    </row>
    <row r="62" spans="1:26" ht="14.25">
      <c r="A62" s="23"/>
      <c r="B62" s="57"/>
      <c r="C62" s="57" t="s">
        <v>666</v>
      </c>
      <c r="D62" s="39"/>
      <c r="E62" s="10"/>
      <c r="F62" s="40">
        <f>Source!AO33</f>
        <v>59.83</v>
      </c>
      <c r="G62" s="41" t="str">
        <f>Source!DG33</f>
        <v/>
      </c>
      <c r="H62" s="42">
        <f>ROUND(Source!AF33*Source!I33, 2)</f>
        <v>54.33</v>
      </c>
      <c r="I62" s="41"/>
      <c r="J62" s="41">
        <f>IF(Source!BA33&lt;&gt; 0, Source!BA33, 1)</f>
        <v>33.049999999999997</v>
      </c>
      <c r="K62" s="42">
        <f>Source!S33</f>
        <v>1795.46</v>
      </c>
      <c r="L62" s="43"/>
      <c r="R62">
        <f>H62</f>
        <v>54.33</v>
      </c>
    </row>
    <row r="63" spans="1:26" ht="14.25">
      <c r="A63" s="23"/>
      <c r="B63" s="57"/>
      <c r="C63" s="57" t="s">
        <v>667</v>
      </c>
      <c r="D63" s="39" t="s">
        <v>668</v>
      </c>
      <c r="E63" s="10">
        <f>Source!BZ33</f>
        <v>80</v>
      </c>
      <c r="F63" s="60"/>
      <c r="G63" s="41"/>
      <c r="H63" s="42">
        <f>SUM(S60:S66)</f>
        <v>43.46</v>
      </c>
      <c r="I63" s="44"/>
      <c r="J63" s="38">
        <f>Source!AT33</f>
        <v>80</v>
      </c>
      <c r="K63" s="42">
        <f>SUM(T60:T66)</f>
        <v>1436.37</v>
      </c>
      <c r="L63" s="43"/>
    </row>
    <row r="64" spans="1:26" ht="14.25">
      <c r="A64" s="23"/>
      <c r="B64" s="57"/>
      <c r="C64" s="57" t="s">
        <v>669</v>
      </c>
      <c r="D64" s="39" t="s">
        <v>668</v>
      </c>
      <c r="E64" s="10">
        <f>Source!CA33</f>
        <v>68</v>
      </c>
      <c r="F64" s="60"/>
      <c r="G64" s="41"/>
      <c r="H64" s="42">
        <f>SUM(U60:U66)</f>
        <v>36.94</v>
      </c>
      <c r="I64" s="44"/>
      <c r="J64" s="38">
        <f>Source!AU33</f>
        <v>68</v>
      </c>
      <c r="K64" s="42">
        <f>SUM(V60:V66)</f>
        <v>1220.9100000000001</v>
      </c>
      <c r="L64" s="43"/>
    </row>
    <row r="65" spans="1:26" ht="14.25">
      <c r="A65" s="23"/>
      <c r="B65" s="57"/>
      <c r="C65" s="57" t="s">
        <v>670</v>
      </c>
      <c r="D65" s="39" t="s">
        <v>671</v>
      </c>
      <c r="E65" s="10">
        <f>Source!AQ33</f>
        <v>7.67</v>
      </c>
      <c r="F65" s="40"/>
      <c r="G65" s="41" t="str">
        <f>Source!DI33</f>
        <v/>
      </c>
      <c r="H65" s="42"/>
      <c r="I65" s="41"/>
      <c r="J65" s="41"/>
      <c r="K65" s="42"/>
      <c r="L65" s="45">
        <f>Source!U33</f>
        <v>6.9643600000000001</v>
      </c>
    </row>
    <row r="66" spans="1:26" ht="14.25">
      <c r="A66" s="58" t="str">
        <f>Source!E34</f>
        <v>4,1</v>
      </c>
      <c r="B66" s="59" t="str">
        <f>Source!F34</f>
        <v>509-9900</v>
      </c>
      <c r="C66" s="59" t="str">
        <f>Source!G34</f>
        <v>Строительный мусор</v>
      </c>
      <c r="D66" s="46" t="str">
        <f>Source!H34</f>
        <v>т</v>
      </c>
      <c r="E66" s="47">
        <f>Source!I34</f>
        <v>0.63559999999999994</v>
      </c>
      <c r="F66" s="48">
        <f>Source!AL34+Source!AM34+Source!AO34</f>
        <v>0</v>
      </c>
      <c r="G66" s="49" t="s">
        <v>3</v>
      </c>
      <c r="H66" s="50">
        <f>ROUND(Source!AC34*Source!I34, 2)+ROUND(Source!AD34*Source!I34, 2)+ROUND(Source!AF34*Source!I34, 2)</f>
        <v>0</v>
      </c>
      <c r="I66" s="51"/>
      <c r="J66" s="51">
        <f>IF(Source!BC34&lt;&gt; 0, Source!BC34, 1)</f>
        <v>1</v>
      </c>
      <c r="K66" s="50">
        <f>Source!O34</f>
        <v>0</v>
      </c>
      <c r="L66" s="52"/>
      <c r="S66">
        <f>ROUND((Source!FX34/100)*((ROUND(Source!AF34*Source!I34, 2)+ROUND(Source!AE34*Source!I34, 2))), 2)</f>
        <v>0</v>
      </c>
      <c r="T66">
        <f>Source!X34</f>
        <v>0</v>
      </c>
      <c r="U66">
        <f>ROUND((Source!FY34/100)*((ROUND(Source!AF34*Source!I34, 2)+ROUND(Source!AE34*Source!I34, 2))), 2)</f>
        <v>0</v>
      </c>
      <c r="V66">
        <f>Source!Y34</f>
        <v>0</v>
      </c>
      <c r="W66">
        <f>IF(Source!BI34&lt;=1,H66, 0)</f>
        <v>0</v>
      </c>
      <c r="X66">
        <f>IF(Source!BI34=2,H66, 0)</f>
        <v>0</v>
      </c>
      <c r="Y66">
        <f>IF(Source!BI34=3,H66, 0)</f>
        <v>0</v>
      </c>
      <c r="Z66">
        <f>IF(Source!BI34=4,H66, 0)</f>
        <v>0</v>
      </c>
    </row>
    <row r="67" spans="1:26" ht="15">
      <c r="G67" s="68">
        <f>H62+H63+H64+SUM(H66:H66)</f>
        <v>134.72999999999999</v>
      </c>
      <c r="H67" s="68"/>
      <c r="J67" s="68">
        <f>K62+K63+K64+SUM(K66:K66)</f>
        <v>4452.74</v>
      </c>
      <c r="K67" s="68"/>
      <c r="L67" s="53">
        <f>Source!U33</f>
        <v>6.9643600000000001</v>
      </c>
      <c r="O67" s="32">
        <f>G67</f>
        <v>134.72999999999999</v>
      </c>
      <c r="P67" s="32">
        <f>J67</f>
        <v>4452.74</v>
      </c>
      <c r="Q67" s="32">
        <f>L67</f>
        <v>6.9643600000000001</v>
      </c>
      <c r="W67">
        <f>IF(Source!BI33&lt;=1,H62+H63+H64, 0)</f>
        <v>134.72999999999999</v>
      </c>
      <c r="X67">
        <f>IF(Source!BI33=2,H62+H63+H64, 0)</f>
        <v>0</v>
      </c>
      <c r="Y67">
        <f>IF(Source!BI33=3,H62+H63+H64, 0)</f>
        <v>0</v>
      </c>
      <c r="Z67">
        <f>IF(Source!BI33=4,H62+H63+H64, 0)</f>
        <v>0</v>
      </c>
    </row>
    <row r="68" spans="1:26" ht="42.75">
      <c r="A68" s="23" t="str">
        <f>Source!E35</f>
        <v>5</v>
      </c>
      <c r="B68" s="57" t="str">
        <f>Source!F35</f>
        <v>57-3-1</v>
      </c>
      <c r="C68" s="57" t="str">
        <f>Source!G35</f>
        <v>Разборка плинтусов деревянных и из пластмассовых материалов</v>
      </c>
      <c r="D68" s="39" t="str">
        <f>Source!H35</f>
        <v>100 М ПЛИНТУСА</v>
      </c>
      <c r="E68" s="10">
        <f>Source!I35</f>
        <v>0.46</v>
      </c>
      <c r="F68" s="40">
        <f>Source!AL35+Source!AM35+Source!AO35</f>
        <v>29.41</v>
      </c>
      <c r="G68" s="41"/>
      <c r="H68" s="42"/>
      <c r="I68" s="41" t="str">
        <f>Source!BO35</f>
        <v>57-3-1</v>
      </c>
      <c r="J68" s="41"/>
      <c r="K68" s="42"/>
      <c r="L68" s="43"/>
      <c r="S68">
        <f>ROUND((Source!FX35/100)*((ROUND(Source!AF35*Source!I35, 2)+ROUND(Source!AE35*Source!I35, 2))), 2)</f>
        <v>10.82</v>
      </c>
      <c r="T68">
        <f>Source!X35</f>
        <v>357.7</v>
      </c>
      <c r="U68">
        <f>ROUND((Source!FY35/100)*((ROUND(Source!AF35*Source!I35, 2)+ROUND(Source!AE35*Source!I35, 2))), 2)</f>
        <v>9.1999999999999993</v>
      </c>
      <c r="V68">
        <f>Source!Y35</f>
        <v>304.04000000000002</v>
      </c>
    </row>
    <row r="69" spans="1:26">
      <c r="C69" s="31" t="str">
        <f>"Объем: "&amp;Source!I35&amp;"=46/"&amp;"100"</f>
        <v>Объем: 0,46=46/100</v>
      </c>
    </row>
    <row r="70" spans="1:26" ht="14.25">
      <c r="A70" s="23"/>
      <c r="B70" s="57"/>
      <c r="C70" s="57" t="s">
        <v>666</v>
      </c>
      <c r="D70" s="39"/>
      <c r="E70" s="10"/>
      <c r="F70" s="40">
        <f>Source!AO35</f>
        <v>29.41</v>
      </c>
      <c r="G70" s="41" t="str">
        <f>Source!DG35</f>
        <v/>
      </c>
      <c r="H70" s="42">
        <f>ROUND(Source!AF35*Source!I35, 2)</f>
        <v>13.53</v>
      </c>
      <c r="I70" s="41"/>
      <c r="J70" s="41">
        <f>IF(Source!BA35&lt;&gt; 0, Source!BA35, 1)</f>
        <v>33.049999999999997</v>
      </c>
      <c r="K70" s="42">
        <f>Source!S35</f>
        <v>447.12</v>
      </c>
      <c r="L70" s="43"/>
      <c r="R70">
        <f>H70</f>
        <v>13.53</v>
      </c>
    </row>
    <row r="71" spans="1:26" ht="14.25">
      <c r="A71" s="23"/>
      <c r="B71" s="57"/>
      <c r="C71" s="57" t="s">
        <v>667</v>
      </c>
      <c r="D71" s="39" t="s">
        <v>668</v>
      </c>
      <c r="E71" s="10">
        <f>Source!BZ35</f>
        <v>80</v>
      </c>
      <c r="F71" s="60"/>
      <c r="G71" s="41"/>
      <c r="H71" s="42">
        <f>SUM(S68:S74)</f>
        <v>10.82</v>
      </c>
      <c r="I71" s="44"/>
      <c r="J71" s="38">
        <f>Source!AT35</f>
        <v>80</v>
      </c>
      <c r="K71" s="42">
        <f>SUM(T68:T74)</f>
        <v>357.7</v>
      </c>
      <c r="L71" s="43"/>
    </row>
    <row r="72" spans="1:26" ht="14.25">
      <c r="A72" s="23"/>
      <c r="B72" s="57"/>
      <c r="C72" s="57" t="s">
        <v>669</v>
      </c>
      <c r="D72" s="39" t="s">
        <v>668</v>
      </c>
      <c r="E72" s="10">
        <f>Source!CA35</f>
        <v>68</v>
      </c>
      <c r="F72" s="60"/>
      <c r="G72" s="41"/>
      <c r="H72" s="42">
        <f>SUM(U68:U74)</f>
        <v>9.1999999999999993</v>
      </c>
      <c r="I72" s="44"/>
      <c r="J72" s="38">
        <f>Source!AU35</f>
        <v>68</v>
      </c>
      <c r="K72" s="42">
        <f>SUM(V68:V74)</f>
        <v>304.04000000000002</v>
      </c>
      <c r="L72" s="43"/>
    </row>
    <row r="73" spans="1:26" ht="14.25">
      <c r="A73" s="23"/>
      <c r="B73" s="57"/>
      <c r="C73" s="57" t="s">
        <v>670</v>
      </c>
      <c r="D73" s="39" t="s">
        <v>671</v>
      </c>
      <c r="E73" s="10">
        <f>Source!AQ35</f>
        <v>3.77</v>
      </c>
      <c r="F73" s="40"/>
      <c r="G73" s="41" t="str">
        <f>Source!DI35</f>
        <v/>
      </c>
      <c r="H73" s="42"/>
      <c r="I73" s="41"/>
      <c r="J73" s="41"/>
      <c r="K73" s="42"/>
      <c r="L73" s="45">
        <f>Source!U35</f>
        <v>1.7342000000000002</v>
      </c>
    </row>
    <row r="74" spans="1:26" ht="14.25">
      <c r="A74" s="58" t="str">
        <f>Source!E36</f>
        <v>5,1</v>
      </c>
      <c r="B74" s="59" t="str">
        <f>Source!F36</f>
        <v>509-9900</v>
      </c>
      <c r="C74" s="59" t="str">
        <f>Source!G36</f>
        <v>Строительный мусор</v>
      </c>
      <c r="D74" s="46" t="str">
        <f>Source!H36</f>
        <v>т</v>
      </c>
      <c r="E74" s="47">
        <f>Source!I36</f>
        <v>5.0599999999999999E-2</v>
      </c>
      <c r="F74" s="48">
        <f>Source!AL36+Source!AM36+Source!AO36</f>
        <v>0</v>
      </c>
      <c r="G74" s="49" t="s">
        <v>3</v>
      </c>
      <c r="H74" s="50">
        <f>ROUND(Source!AC36*Source!I36, 2)+ROUND(Source!AD36*Source!I36, 2)+ROUND(Source!AF36*Source!I36, 2)</f>
        <v>0</v>
      </c>
      <c r="I74" s="51"/>
      <c r="J74" s="51">
        <f>IF(Source!BC36&lt;&gt; 0, Source!BC36, 1)</f>
        <v>1</v>
      </c>
      <c r="K74" s="50">
        <f>Source!O36</f>
        <v>0</v>
      </c>
      <c r="L74" s="52"/>
      <c r="S74">
        <f>ROUND((Source!FX36/100)*((ROUND(Source!AF36*Source!I36, 2)+ROUND(Source!AE36*Source!I36, 2))), 2)</f>
        <v>0</v>
      </c>
      <c r="T74">
        <f>Source!X36</f>
        <v>0</v>
      </c>
      <c r="U74">
        <f>ROUND((Source!FY36/100)*((ROUND(Source!AF36*Source!I36, 2)+ROUND(Source!AE36*Source!I36, 2))), 2)</f>
        <v>0</v>
      </c>
      <c r="V74">
        <f>Source!Y36</f>
        <v>0</v>
      </c>
      <c r="W74">
        <f>IF(Source!BI36&lt;=1,H74, 0)</f>
        <v>0</v>
      </c>
      <c r="X74">
        <f>IF(Source!BI36=2,H74, 0)</f>
        <v>0</v>
      </c>
      <c r="Y74">
        <f>IF(Source!BI36=3,H74, 0)</f>
        <v>0</v>
      </c>
      <c r="Z74">
        <f>IF(Source!BI36=4,H74, 0)</f>
        <v>0</v>
      </c>
    </row>
    <row r="75" spans="1:26" ht="15">
      <c r="G75" s="68">
        <f>H70+H71+H72+SUM(H74:H74)</f>
        <v>33.549999999999997</v>
      </c>
      <c r="H75" s="68"/>
      <c r="J75" s="68">
        <f>K70+K71+K72+SUM(K74:K74)</f>
        <v>1108.8599999999999</v>
      </c>
      <c r="K75" s="68"/>
      <c r="L75" s="53">
        <f>Source!U35</f>
        <v>1.7342000000000002</v>
      </c>
      <c r="O75" s="32">
        <f>G75</f>
        <v>33.549999999999997</v>
      </c>
      <c r="P75" s="32">
        <f>J75</f>
        <v>1108.8599999999999</v>
      </c>
      <c r="Q75" s="32">
        <f>L75</f>
        <v>1.7342000000000002</v>
      </c>
      <c r="W75">
        <f>IF(Source!BI35&lt;=1,H70+H71+H72, 0)</f>
        <v>33.549999999999997</v>
      </c>
      <c r="X75">
        <f>IF(Source!BI35=2,H70+H71+H72, 0)</f>
        <v>0</v>
      </c>
      <c r="Y75">
        <f>IF(Source!BI35=3,H70+H71+H72, 0)</f>
        <v>0</v>
      </c>
      <c r="Z75">
        <f>IF(Source!BI35=4,H70+H71+H72, 0)</f>
        <v>0</v>
      </c>
    </row>
    <row r="76" spans="1:26" ht="14.25">
      <c r="A76" s="23" t="str">
        <f>Source!E37</f>
        <v>7</v>
      </c>
      <c r="B76" s="57" t="str">
        <f>Source!F37</f>
        <v>67-4-1</v>
      </c>
      <c r="C76" s="57" t="str">
        <f>Source!G37</f>
        <v>Демонтаж выключателей, розеток</v>
      </c>
      <c r="D76" s="39" t="str">
        <f>Source!H37</f>
        <v>100 шт.</v>
      </c>
      <c r="E76" s="10">
        <f>Source!I37</f>
        <v>0.04</v>
      </c>
      <c r="F76" s="40">
        <f>Source!AL37+Source!AM37+Source!AO37</f>
        <v>45.55</v>
      </c>
      <c r="G76" s="41"/>
      <c r="H76" s="42"/>
      <c r="I76" s="41" t="str">
        <f>Source!BO37</f>
        <v>67-4-1</v>
      </c>
      <c r="J76" s="41"/>
      <c r="K76" s="42"/>
      <c r="L76" s="43"/>
      <c r="S76">
        <f>ROUND((Source!FX37/100)*((ROUND(Source!AF37*Source!I37, 2)+ROUND(Source!AE37*Source!I37, 2))), 2)</f>
        <v>1.55</v>
      </c>
      <c r="T76">
        <f>Source!X37</f>
        <v>51.19</v>
      </c>
      <c r="U76">
        <f>ROUND((Source!FY37/100)*((ROUND(Source!AF37*Source!I37, 2)+ROUND(Source!AE37*Source!I37, 2))), 2)</f>
        <v>1.18</v>
      </c>
      <c r="V76">
        <f>Source!Y37</f>
        <v>39.14</v>
      </c>
    </row>
    <row r="77" spans="1:26">
      <c r="C77" s="31" t="str">
        <f>"Объем: "&amp;Source!I37&amp;"=4/"&amp;"100"</f>
        <v>Объем: 0,04=4/100</v>
      </c>
    </row>
    <row r="78" spans="1:26" ht="14.25">
      <c r="A78" s="23"/>
      <c r="B78" s="57"/>
      <c r="C78" s="57" t="s">
        <v>666</v>
      </c>
      <c r="D78" s="39"/>
      <c r="E78" s="10"/>
      <c r="F78" s="40">
        <f>Source!AO37</f>
        <v>45.55</v>
      </c>
      <c r="G78" s="41" t="str">
        <f>Source!DG37</f>
        <v/>
      </c>
      <c r="H78" s="42">
        <f>ROUND(Source!AF37*Source!I37, 2)</f>
        <v>1.82</v>
      </c>
      <c r="I78" s="41"/>
      <c r="J78" s="41">
        <f>IF(Source!BA37&lt;&gt; 0, Source!BA37, 1)</f>
        <v>33.049999999999997</v>
      </c>
      <c r="K78" s="42">
        <f>Source!S37</f>
        <v>60.22</v>
      </c>
      <c r="L78" s="43"/>
      <c r="R78">
        <f>H78</f>
        <v>1.82</v>
      </c>
    </row>
    <row r="79" spans="1:26" ht="14.25">
      <c r="A79" s="23"/>
      <c r="B79" s="57"/>
      <c r="C79" s="57" t="s">
        <v>667</v>
      </c>
      <c r="D79" s="39" t="s">
        <v>668</v>
      </c>
      <c r="E79" s="10">
        <f>Source!BZ37</f>
        <v>85</v>
      </c>
      <c r="F79" s="60"/>
      <c r="G79" s="41"/>
      <c r="H79" s="42">
        <f>SUM(S76:S81)</f>
        <v>1.55</v>
      </c>
      <c r="I79" s="44"/>
      <c r="J79" s="38">
        <f>Source!AT37</f>
        <v>85</v>
      </c>
      <c r="K79" s="42">
        <f>SUM(T76:T81)</f>
        <v>51.19</v>
      </c>
      <c r="L79" s="43"/>
    </row>
    <row r="80" spans="1:26" ht="14.25">
      <c r="A80" s="23"/>
      <c r="B80" s="57"/>
      <c r="C80" s="57" t="s">
        <v>669</v>
      </c>
      <c r="D80" s="39" t="s">
        <v>668</v>
      </c>
      <c r="E80" s="10">
        <f>Source!CA37</f>
        <v>65</v>
      </c>
      <c r="F80" s="60"/>
      <c r="G80" s="41"/>
      <c r="H80" s="42">
        <f>SUM(U76:U81)</f>
        <v>1.18</v>
      </c>
      <c r="I80" s="44"/>
      <c r="J80" s="38">
        <f>Source!AU37</f>
        <v>65</v>
      </c>
      <c r="K80" s="42">
        <f>SUM(V76:V81)</f>
        <v>39.14</v>
      </c>
      <c r="L80" s="43"/>
    </row>
    <row r="81" spans="1:26" ht="14.25">
      <c r="A81" s="58"/>
      <c r="B81" s="59"/>
      <c r="C81" s="59" t="s">
        <v>670</v>
      </c>
      <c r="D81" s="46" t="s">
        <v>671</v>
      </c>
      <c r="E81" s="47">
        <f>Source!AQ37</f>
        <v>5.84</v>
      </c>
      <c r="F81" s="48"/>
      <c r="G81" s="51" t="str">
        <f>Source!DI37</f>
        <v/>
      </c>
      <c r="H81" s="50"/>
      <c r="I81" s="51"/>
      <c r="J81" s="51"/>
      <c r="K81" s="50"/>
      <c r="L81" s="54">
        <f>Source!U37</f>
        <v>0.2336</v>
      </c>
    </row>
    <row r="82" spans="1:26" ht="15">
      <c r="G82" s="68">
        <f>H78+H79+H80</f>
        <v>4.55</v>
      </c>
      <c r="H82" s="68"/>
      <c r="J82" s="68">
        <f>K78+K79+K80</f>
        <v>150.55000000000001</v>
      </c>
      <c r="K82" s="68"/>
      <c r="L82" s="53">
        <f>Source!U37</f>
        <v>0.2336</v>
      </c>
      <c r="O82" s="32">
        <f>G82</f>
        <v>4.55</v>
      </c>
      <c r="P82" s="32">
        <f>J82</f>
        <v>150.55000000000001</v>
      </c>
      <c r="Q82" s="32">
        <f>L82</f>
        <v>0.2336</v>
      </c>
      <c r="W82">
        <f>IF(Source!BI37&lt;=1,H78+H79+H80, 0)</f>
        <v>4.55</v>
      </c>
      <c r="X82">
        <f>IF(Source!BI37=2,H78+H79+H80, 0)</f>
        <v>0</v>
      </c>
      <c r="Y82">
        <f>IF(Source!BI37=3,H78+H79+H80, 0)</f>
        <v>0</v>
      </c>
      <c r="Z82">
        <f>IF(Source!BI37=4,H78+H79+H80, 0)</f>
        <v>0</v>
      </c>
    </row>
    <row r="83" spans="1:26" ht="42.75">
      <c r="A83" s="23" t="str">
        <f>Source!E38</f>
        <v>8</v>
      </c>
      <c r="B83" s="57" t="str">
        <f>Source!F38</f>
        <v>67-2-11</v>
      </c>
      <c r="C83" s="57" t="str">
        <f>Source!G38</f>
        <v>Демонтаж винипластовых труб, проложенных на скобах диаметром до 25 мм</v>
      </c>
      <c r="D83" s="39" t="str">
        <f>Source!H38</f>
        <v>100 м труб</v>
      </c>
      <c r="E83" s="10">
        <f>Source!I38</f>
        <v>0.3</v>
      </c>
      <c r="F83" s="40">
        <f>Source!AL38+Source!AM38+Source!AO38</f>
        <v>32.520000000000003</v>
      </c>
      <c r="G83" s="41"/>
      <c r="H83" s="42"/>
      <c r="I83" s="41" t="str">
        <f>Source!BO38</f>
        <v>67-2-11</v>
      </c>
      <c r="J83" s="41"/>
      <c r="K83" s="42"/>
      <c r="L83" s="43"/>
      <c r="S83">
        <f>ROUND((Source!FX38/100)*((ROUND(Source!AF38*Source!I38, 2)+ROUND(Source!AE38*Source!I38, 2))), 2)</f>
        <v>8.3000000000000007</v>
      </c>
      <c r="T83">
        <f>Source!X38</f>
        <v>274.07</v>
      </c>
      <c r="U83">
        <f>ROUND((Source!FY38/100)*((ROUND(Source!AF38*Source!I38, 2)+ROUND(Source!AE38*Source!I38, 2))), 2)</f>
        <v>6.34</v>
      </c>
      <c r="V83">
        <f>Source!Y38</f>
        <v>209.59</v>
      </c>
    </row>
    <row r="84" spans="1:26">
      <c r="C84" s="31" t="str">
        <f>"Объем: "&amp;Source!I38&amp;"=30/"&amp;"100"</f>
        <v>Объем: 0,3=30/100</v>
      </c>
    </row>
    <row r="85" spans="1:26" ht="14.25">
      <c r="A85" s="23"/>
      <c r="B85" s="57"/>
      <c r="C85" s="57" t="s">
        <v>666</v>
      </c>
      <c r="D85" s="39"/>
      <c r="E85" s="10"/>
      <c r="F85" s="40">
        <f>Source!AO38</f>
        <v>32.520000000000003</v>
      </c>
      <c r="G85" s="41" t="str">
        <f>Source!DG38</f>
        <v/>
      </c>
      <c r="H85" s="42">
        <f>ROUND(Source!AF38*Source!I38, 2)</f>
        <v>9.76</v>
      </c>
      <c r="I85" s="41"/>
      <c r="J85" s="41">
        <f>IF(Source!BA38&lt;&gt; 0, Source!BA38, 1)</f>
        <v>33.049999999999997</v>
      </c>
      <c r="K85" s="42">
        <f>Source!S38</f>
        <v>322.44</v>
      </c>
      <c r="L85" s="43"/>
      <c r="R85">
        <f>H85</f>
        <v>9.76</v>
      </c>
    </row>
    <row r="86" spans="1:26" ht="14.25">
      <c r="A86" s="23"/>
      <c r="B86" s="57"/>
      <c r="C86" s="57" t="s">
        <v>667</v>
      </c>
      <c r="D86" s="39" t="s">
        <v>668</v>
      </c>
      <c r="E86" s="10">
        <f>Source!BZ38</f>
        <v>85</v>
      </c>
      <c r="F86" s="60"/>
      <c r="G86" s="41"/>
      <c r="H86" s="42">
        <f>SUM(S83:S88)</f>
        <v>8.3000000000000007</v>
      </c>
      <c r="I86" s="44"/>
      <c r="J86" s="38">
        <f>Source!AT38</f>
        <v>85</v>
      </c>
      <c r="K86" s="42">
        <f>SUM(T83:T88)</f>
        <v>274.07</v>
      </c>
      <c r="L86" s="43"/>
    </row>
    <row r="87" spans="1:26" ht="14.25">
      <c r="A87" s="23"/>
      <c r="B87" s="57"/>
      <c r="C87" s="57" t="s">
        <v>669</v>
      </c>
      <c r="D87" s="39" t="s">
        <v>668</v>
      </c>
      <c r="E87" s="10">
        <f>Source!CA38</f>
        <v>65</v>
      </c>
      <c r="F87" s="60"/>
      <c r="G87" s="41"/>
      <c r="H87" s="42">
        <f>SUM(U83:U88)</f>
        <v>6.34</v>
      </c>
      <c r="I87" s="44"/>
      <c r="J87" s="38">
        <f>Source!AU38</f>
        <v>65</v>
      </c>
      <c r="K87" s="42">
        <f>SUM(V83:V88)</f>
        <v>209.59</v>
      </c>
      <c r="L87" s="43"/>
    </row>
    <row r="88" spans="1:26" ht="14.25">
      <c r="A88" s="58"/>
      <c r="B88" s="59"/>
      <c r="C88" s="59" t="s">
        <v>670</v>
      </c>
      <c r="D88" s="46" t="s">
        <v>671</v>
      </c>
      <c r="E88" s="47">
        <f>Source!AQ38</f>
        <v>3.98</v>
      </c>
      <c r="F88" s="48"/>
      <c r="G88" s="51" t="str">
        <f>Source!DI38</f>
        <v/>
      </c>
      <c r="H88" s="50"/>
      <c r="I88" s="51"/>
      <c r="J88" s="51"/>
      <c r="K88" s="50"/>
      <c r="L88" s="54">
        <f>Source!U38</f>
        <v>1.194</v>
      </c>
    </row>
    <row r="89" spans="1:26" ht="15">
      <c r="G89" s="68">
        <f>H85+H86+H87</f>
        <v>24.400000000000002</v>
      </c>
      <c r="H89" s="68"/>
      <c r="J89" s="68">
        <f>K85+K86+K87</f>
        <v>806.1</v>
      </c>
      <c r="K89" s="68"/>
      <c r="L89" s="53">
        <f>Source!U38</f>
        <v>1.194</v>
      </c>
      <c r="O89" s="32">
        <f>G89</f>
        <v>24.400000000000002</v>
      </c>
      <c r="P89" s="32">
        <f>J89</f>
        <v>806.1</v>
      </c>
      <c r="Q89" s="32">
        <f>L89</f>
        <v>1.194</v>
      </c>
      <c r="W89">
        <f>IF(Source!BI38&lt;=1,H85+H86+H87, 0)</f>
        <v>24.400000000000002</v>
      </c>
      <c r="X89">
        <f>IF(Source!BI38=2,H85+H86+H87, 0)</f>
        <v>0</v>
      </c>
      <c r="Y89">
        <f>IF(Source!BI38=3,H85+H86+H87, 0)</f>
        <v>0</v>
      </c>
      <c r="Z89">
        <f>IF(Source!BI38=4,H85+H86+H87, 0)</f>
        <v>0</v>
      </c>
    </row>
    <row r="90" spans="1:26" ht="28.5">
      <c r="A90" s="23" t="str">
        <f>Source!E39</f>
        <v>10</v>
      </c>
      <c r="B90" s="57" t="str">
        <f>Source!F39</f>
        <v>67-4-5</v>
      </c>
      <c r="C90" s="57" t="str">
        <f>Source!G39</f>
        <v>Демонтаж светильников для люминесцентных ламп</v>
      </c>
      <c r="D90" s="39" t="str">
        <f>Source!H39</f>
        <v>100 шт.</v>
      </c>
      <c r="E90" s="10">
        <f>Source!I39</f>
        <v>0.06</v>
      </c>
      <c r="F90" s="40">
        <f>Source!AL39+Source!AM39+Source!AO39</f>
        <v>145.97999999999999</v>
      </c>
      <c r="G90" s="41"/>
      <c r="H90" s="42"/>
      <c r="I90" s="41" t="str">
        <f>Source!BO39</f>
        <v>67-4-5</v>
      </c>
      <c r="J90" s="41"/>
      <c r="K90" s="42"/>
      <c r="L90" s="43"/>
      <c r="S90">
        <f>ROUND((Source!FX39/100)*((ROUND(Source!AF39*Source!I39, 2)+ROUND(Source!AE39*Source!I39, 2))), 2)</f>
        <v>7.37</v>
      </c>
      <c r="T90">
        <f>Source!X39</f>
        <v>243.66</v>
      </c>
      <c r="U90">
        <f>ROUND((Source!FY39/100)*((ROUND(Source!AF39*Source!I39, 2)+ROUND(Source!AE39*Source!I39, 2))), 2)</f>
        <v>5.64</v>
      </c>
      <c r="V90">
        <f>Source!Y39</f>
        <v>186.33</v>
      </c>
    </row>
    <row r="91" spans="1:26">
      <c r="C91" s="31" t="str">
        <f>"Объем: "&amp;Source!I39&amp;"=6/"&amp;"100"</f>
        <v>Объем: 0,06=6/100</v>
      </c>
    </row>
    <row r="92" spans="1:26" ht="14.25">
      <c r="A92" s="23"/>
      <c r="B92" s="57"/>
      <c r="C92" s="57" t="s">
        <v>666</v>
      </c>
      <c r="D92" s="39"/>
      <c r="E92" s="10"/>
      <c r="F92" s="40">
        <f>Source!AO39</f>
        <v>143.47999999999999</v>
      </c>
      <c r="G92" s="41" t="str">
        <f>Source!DG39</f>
        <v/>
      </c>
      <c r="H92" s="42">
        <f>ROUND(Source!AF39*Source!I39, 2)</f>
        <v>8.61</v>
      </c>
      <c r="I92" s="41"/>
      <c r="J92" s="41">
        <f>IF(Source!BA39&lt;&gt; 0, Source!BA39, 1)</f>
        <v>33.049999999999997</v>
      </c>
      <c r="K92" s="42">
        <f>Source!S39</f>
        <v>284.52</v>
      </c>
      <c r="L92" s="43"/>
      <c r="R92">
        <f>H92</f>
        <v>8.61</v>
      </c>
    </row>
    <row r="93" spans="1:26" ht="14.25">
      <c r="A93" s="23"/>
      <c r="B93" s="57"/>
      <c r="C93" s="57" t="s">
        <v>87</v>
      </c>
      <c r="D93" s="39"/>
      <c r="E93" s="10"/>
      <c r="F93" s="40">
        <f>Source!AM39</f>
        <v>2.5</v>
      </c>
      <c r="G93" s="41" t="str">
        <f>Source!DE39</f>
        <v/>
      </c>
      <c r="H93" s="42">
        <f>ROUND(Source!AD39*Source!I39, 2)</f>
        <v>0.15</v>
      </c>
      <c r="I93" s="41"/>
      <c r="J93" s="41">
        <f>IF(Source!BB39&lt;&gt; 0, Source!BB39, 1)</f>
        <v>14.94</v>
      </c>
      <c r="K93" s="42">
        <f>Source!Q39</f>
        <v>2.2400000000000002</v>
      </c>
      <c r="L93" s="43"/>
    </row>
    <row r="94" spans="1:26" ht="14.25">
      <c r="A94" s="23"/>
      <c r="B94" s="57"/>
      <c r="C94" s="57" t="s">
        <v>672</v>
      </c>
      <c r="D94" s="39"/>
      <c r="E94" s="10"/>
      <c r="F94" s="40">
        <f>Source!AN39</f>
        <v>1.08</v>
      </c>
      <c r="G94" s="41" t="str">
        <f>Source!DF39</f>
        <v/>
      </c>
      <c r="H94" s="55">
        <f>ROUND(Source!AE39*Source!I39, 2)</f>
        <v>0.06</v>
      </c>
      <c r="I94" s="41"/>
      <c r="J94" s="41">
        <f>IF(Source!BS39&lt;&gt; 0, Source!BS39, 1)</f>
        <v>33.049999999999997</v>
      </c>
      <c r="K94" s="55">
        <f>Source!R39</f>
        <v>2.14</v>
      </c>
      <c r="L94" s="43"/>
      <c r="R94">
        <f>H94</f>
        <v>0.06</v>
      </c>
    </row>
    <row r="95" spans="1:26" ht="14.25">
      <c r="A95" s="23"/>
      <c r="B95" s="57"/>
      <c r="C95" s="57" t="s">
        <v>667</v>
      </c>
      <c r="D95" s="39" t="s">
        <v>668</v>
      </c>
      <c r="E95" s="10">
        <f>Source!BZ39</f>
        <v>85</v>
      </c>
      <c r="F95" s="60"/>
      <c r="G95" s="41"/>
      <c r="H95" s="42">
        <f>SUM(S90:S97)</f>
        <v>7.37</v>
      </c>
      <c r="I95" s="44"/>
      <c r="J95" s="38">
        <f>Source!AT39</f>
        <v>85</v>
      </c>
      <c r="K95" s="42">
        <f>SUM(T90:T97)</f>
        <v>243.66</v>
      </c>
      <c r="L95" s="43"/>
    </row>
    <row r="96" spans="1:26" ht="14.25">
      <c r="A96" s="23"/>
      <c r="B96" s="57"/>
      <c r="C96" s="57" t="s">
        <v>669</v>
      </c>
      <c r="D96" s="39" t="s">
        <v>668</v>
      </c>
      <c r="E96" s="10">
        <f>Source!CA39</f>
        <v>65</v>
      </c>
      <c r="F96" s="60"/>
      <c r="G96" s="41"/>
      <c r="H96" s="42">
        <f>SUM(U90:U97)</f>
        <v>5.64</v>
      </c>
      <c r="I96" s="44"/>
      <c r="J96" s="38">
        <f>Source!AU39</f>
        <v>65</v>
      </c>
      <c r="K96" s="42">
        <f>SUM(V90:V97)</f>
        <v>186.33</v>
      </c>
      <c r="L96" s="43"/>
    </row>
    <row r="97" spans="1:26" ht="14.25">
      <c r="A97" s="58"/>
      <c r="B97" s="59"/>
      <c r="C97" s="59" t="s">
        <v>670</v>
      </c>
      <c r="D97" s="46" t="s">
        <v>671</v>
      </c>
      <c r="E97" s="47">
        <f>Source!AQ39</f>
        <v>17.89</v>
      </c>
      <c r="F97" s="48"/>
      <c r="G97" s="51" t="str">
        <f>Source!DI39</f>
        <v/>
      </c>
      <c r="H97" s="50"/>
      <c r="I97" s="51"/>
      <c r="J97" s="51"/>
      <c r="K97" s="50"/>
      <c r="L97" s="54">
        <f>Source!U39</f>
        <v>1.0733999999999999</v>
      </c>
    </row>
    <row r="98" spans="1:26" ht="15">
      <c r="G98" s="68">
        <f>H92+H93+H95+H96</f>
        <v>21.77</v>
      </c>
      <c r="H98" s="68"/>
      <c r="J98" s="68">
        <f>K92+K93+K95+K96</f>
        <v>716.75</v>
      </c>
      <c r="K98" s="68"/>
      <c r="L98" s="53">
        <f>Source!U39</f>
        <v>1.0733999999999999</v>
      </c>
      <c r="O98" s="32">
        <f>G98</f>
        <v>21.77</v>
      </c>
      <c r="P98" s="32">
        <f>J98</f>
        <v>716.75</v>
      </c>
      <c r="Q98" s="32">
        <f>L98</f>
        <v>1.0733999999999999</v>
      </c>
      <c r="W98">
        <f>IF(Source!BI39&lt;=1,H92+H93+H95+H96, 0)</f>
        <v>21.77</v>
      </c>
      <c r="X98">
        <f>IF(Source!BI39=2,H92+H93+H95+H96, 0)</f>
        <v>0</v>
      </c>
      <c r="Y98">
        <f>IF(Source!BI39=3,H92+H93+H95+H96, 0)</f>
        <v>0</v>
      </c>
      <c r="Z98">
        <f>IF(Source!BI39=4,H92+H93+H95+H96, 0)</f>
        <v>0</v>
      </c>
    </row>
    <row r="100" spans="1:26" ht="15">
      <c r="A100" s="67" t="str">
        <f>CONCATENATE("Итого по разделу: ",IF(Source!G41&lt;&gt;"Новый раздел", Source!G41, ""))</f>
        <v>Итого по разделу: Демонтаж</v>
      </c>
      <c r="B100" s="67"/>
      <c r="C100" s="67"/>
      <c r="D100" s="67"/>
      <c r="E100" s="67"/>
      <c r="F100" s="67"/>
      <c r="G100" s="66">
        <f>SUM(O44:O99)</f>
        <v>1122.57</v>
      </c>
      <c r="H100" s="66"/>
      <c r="I100" s="37"/>
      <c r="J100" s="66">
        <f>SUM(P44:P99)</f>
        <v>37136.04</v>
      </c>
      <c r="K100" s="66"/>
      <c r="L100" s="53">
        <f>SUM(Q44:Q99)</f>
        <v>56.655440000000013</v>
      </c>
    </row>
    <row r="104" spans="1:26" ht="16.5">
      <c r="A104" s="71" t="str">
        <f>CONCATENATE("Раздел: ",IF(Source!G71&lt;&gt;"Новый раздел", Source!G71, ""))</f>
        <v>Раздел: Монтаж</v>
      </c>
      <c r="B104" s="71"/>
      <c r="C104" s="71"/>
      <c r="D104" s="71"/>
      <c r="E104" s="71"/>
      <c r="F104" s="71"/>
      <c r="G104" s="71"/>
      <c r="H104" s="71"/>
      <c r="I104" s="71"/>
      <c r="J104" s="71"/>
      <c r="K104" s="71"/>
      <c r="L104" s="71"/>
    </row>
    <row r="106" spans="1:26" ht="16.5">
      <c r="A106" s="71" t="str">
        <f>CONCATENATE("Подраздел: ",IF(Source!G75&lt;&gt;"Новый подраздел", Source!G75, ""))</f>
        <v>Подраздел: стены</v>
      </c>
      <c r="B106" s="71"/>
      <c r="C106" s="71"/>
      <c r="D106" s="71"/>
      <c r="E106" s="71"/>
      <c r="F106" s="71"/>
      <c r="G106" s="71"/>
      <c r="H106" s="71"/>
      <c r="I106" s="71"/>
      <c r="J106" s="71"/>
      <c r="K106" s="71"/>
      <c r="L106" s="71"/>
    </row>
    <row r="107" spans="1:26" ht="85.5">
      <c r="A107" s="23" t="str">
        <f>Source!E79</f>
        <v>3</v>
      </c>
      <c r="B107" s="57" t="str">
        <f>Source!F79</f>
        <v>61-1-9</v>
      </c>
      <c r="C107" s="57" t="str">
        <f>Source!G79</f>
        <v>Сплошное выравнивание штукатурки внутри здания (однослойная штукатурка) сухой растворной смесью (типа «Ветонит») толщиной до 10 мм для последующей окраски или оклейки обоями стен</v>
      </c>
      <c r="D107" s="39" t="str">
        <f>Source!H79</f>
        <v>100 м2 поверхности</v>
      </c>
      <c r="E107" s="10">
        <f>Source!I79</f>
        <v>1.2889999999999999</v>
      </c>
      <c r="F107" s="40">
        <f>Source!AL79+Source!AM79+Source!AO79</f>
        <v>867.06999999999994</v>
      </c>
      <c r="G107" s="41"/>
      <c r="H107" s="42"/>
      <c r="I107" s="41" t="str">
        <f>Source!BO79</f>
        <v>61-1-9</v>
      </c>
      <c r="J107" s="41"/>
      <c r="K107" s="42"/>
      <c r="L107" s="43"/>
      <c r="S107">
        <f>ROUND((Source!FX79/100)*((ROUND(Source!AF79*Source!I79, 2)+ROUND(Source!AE79*Source!I79, 2))), 2)</f>
        <v>754.54</v>
      </c>
      <c r="T107">
        <f>Source!X79</f>
        <v>24937.79</v>
      </c>
      <c r="U107">
        <f>ROUND((Source!FY79/100)*((ROUND(Source!AF79*Source!I79, 2)+ROUND(Source!AE79*Source!I79, 2))), 2)</f>
        <v>477.56</v>
      </c>
      <c r="V107">
        <f>Source!Y79</f>
        <v>15783.41</v>
      </c>
    </row>
    <row r="108" spans="1:26">
      <c r="C108" s="31" t="str">
        <f>"Объем: "&amp;Source!I79&amp;"=128,9/"&amp;"100"</f>
        <v>Объем: 1,289=128,9/100</v>
      </c>
    </row>
    <row r="109" spans="1:26" ht="14.25">
      <c r="A109" s="23"/>
      <c r="B109" s="57"/>
      <c r="C109" s="57" t="s">
        <v>666</v>
      </c>
      <c r="D109" s="39"/>
      <c r="E109" s="10"/>
      <c r="F109" s="40">
        <f>Source!AO79</f>
        <v>720.29</v>
      </c>
      <c r="G109" s="41" t="str">
        <f>Source!DG79</f>
        <v/>
      </c>
      <c r="H109" s="42">
        <f>ROUND(Source!AF79*Source!I79, 2)</f>
        <v>928.45</v>
      </c>
      <c r="I109" s="41"/>
      <c r="J109" s="41">
        <f>IF(Source!BA79&lt;&gt; 0, Source!BA79, 1)</f>
        <v>33.049999999999997</v>
      </c>
      <c r="K109" s="42">
        <f>Source!S79</f>
        <v>30685.4</v>
      </c>
      <c r="L109" s="43"/>
      <c r="R109">
        <f>H109</f>
        <v>928.45</v>
      </c>
    </row>
    <row r="110" spans="1:26" ht="14.25">
      <c r="A110" s="23"/>
      <c r="B110" s="57"/>
      <c r="C110" s="57" t="s">
        <v>87</v>
      </c>
      <c r="D110" s="39"/>
      <c r="E110" s="10"/>
      <c r="F110" s="40">
        <f>Source!AM79</f>
        <v>32.24</v>
      </c>
      <c r="G110" s="41" t="str">
        <f>Source!DE79</f>
        <v/>
      </c>
      <c r="H110" s="42">
        <f>ROUND(Source!AD79*Source!I79, 2)</f>
        <v>41.56</v>
      </c>
      <c r="I110" s="41"/>
      <c r="J110" s="41">
        <f>IF(Source!BB79&lt;&gt; 0, Source!BB79, 1)</f>
        <v>22.95</v>
      </c>
      <c r="K110" s="42">
        <f>Source!Q79</f>
        <v>953.74</v>
      </c>
      <c r="L110" s="43"/>
    </row>
    <row r="111" spans="1:26" ht="14.25">
      <c r="A111" s="23"/>
      <c r="B111" s="57"/>
      <c r="C111" s="57" t="s">
        <v>672</v>
      </c>
      <c r="D111" s="39"/>
      <c r="E111" s="10"/>
      <c r="F111" s="40">
        <f>Source!AN79</f>
        <v>20.69</v>
      </c>
      <c r="G111" s="41" t="str">
        <f>Source!DF79</f>
        <v/>
      </c>
      <c r="H111" s="55">
        <f>ROUND(Source!AE79*Source!I79, 2)</f>
        <v>26.67</v>
      </c>
      <c r="I111" s="41"/>
      <c r="J111" s="41">
        <f>IF(Source!BS79&lt;&gt; 0, Source!BS79, 1)</f>
        <v>33.049999999999997</v>
      </c>
      <c r="K111" s="55">
        <f>Source!R79</f>
        <v>881.42</v>
      </c>
      <c r="L111" s="43"/>
      <c r="R111">
        <f>H111</f>
        <v>26.67</v>
      </c>
    </row>
    <row r="112" spans="1:26" ht="14.25">
      <c r="A112" s="23"/>
      <c r="B112" s="57"/>
      <c r="C112" s="57" t="s">
        <v>673</v>
      </c>
      <c r="D112" s="39"/>
      <c r="E112" s="10"/>
      <c r="F112" s="40">
        <f>Source!AL79</f>
        <v>114.54</v>
      </c>
      <c r="G112" s="41" t="str">
        <f>Source!DD79</f>
        <v/>
      </c>
      <c r="H112" s="42">
        <f>ROUND(Source!AC79*Source!I79, 2)</f>
        <v>147.63999999999999</v>
      </c>
      <c r="I112" s="41"/>
      <c r="J112" s="41">
        <f>IF(Source!BC79&lt;&gt; 0, Source!BC79, 1)</f>
        <v>7.6</v>
      </c>
      <c r="K112" s="42">
        <f>Source!P79</f>
        <v>1122.08</v>
      </c>
      <c r="L112" s="43"/>
    </row>
    <row r="113" spans="1:26" ht="14.25">
      <c r="A113" s="23"/>
      <c r="B113" s="57"/>
      <c r="C113" s="57" t="s">
        <v>667</v>
      </c>
      <c r="D113" s="39" t="s">
        <v>668</v>
      </c>
      <c r="E113" s="10">
        <f>Source!BZ79</f>
        <v>79</v>
      </c>
      <c r="F113" s="60"/>
      <c r="G113" s="41"/>
      <c r="H113" s="42">
        <f>SUM(S107:S117)</f>
        <v>754.54</v>
      </c>
      <c r="I113" s="44"/>
      <c r="J113" s="38">
        <f>Source!AT79</f>
        <v>79</v>
      </c>
      <c r="K113" s="42">
        <f>SUM(T107:T117)</f>
        <v>24937.79</v>
      </c>
      <c r="L113" s="43"/>
    </row>
    <row r="114" spans="1:26" ht="14.25">
      <c r="A114" s="23"/>
      <c r="B114" s="57"/>
      <c r="C114" s="57" t="s">
        <v>669</v>
      </c>
      <c r="D114" s="39" t="s">
        <v>668</v>
      </c>
      <c r="E114" s="10">
        <f>Source!CA79</f>
        <v>50</v>
      </c>
      <c r="F114" s="60"/>
      <c r="G114" s="41"/>
      <c r="H114" s="42">
        <f>SUM(U107:U117)</f>
        <v>477.56</v>
      </c>
      <c r="I114" s="44"/>
      <c r="J114" s="38">
        <f>Source!AU79</f>
        <v>50</v>
      </c>
      <c r="K114" s="42">
        <f>SUM(V107:V117)</f>
        <v>15783.41</v>
      </c>
      <c r="L114" s="43"/>
    </row>
    <row r="115" spans="1:26" ht="14.25">
      <c r="A115" s="23"/>
      <c r="B115" s="57"/>
      <c r="C115" s="57" t="s">
        <v>670</v>
      </c>
      <c r="D115" s="39" t="s">
        <v>671</v>
      </c>
      <c r="E115" s="10">
        <f>Source!AQ79</f>
        <v>73.8</v>
      </c>
      <c r="F115" s="40"/>
      <c r="G115" s="41" t="str">
        <f>Source!DI79</f>
        <v/>
      </c>
      <c r="H115" s="42"/>
      <c r="I115" s="41"/>
      <c r="J115" s="41"/>
      <c r="K115" s="42"/>
      <c r="L115" s="45">
        <f>Source!U79</f>
        <v>95.128199999999993</v>
      </c>
    </row>
    <row r="116" spans="1:26" ht="28.5">
      <c r="A116" s="23" t="str">
        <f>Source!E80</f>
        <v>3,2</v>
      </c>
      <c r="B116" s="57" t="str">
        <f>Source!F80</f>
        <v>402-9544</v>
      </c>
      <c r="C116" s="57" t="str">
        <f>Source!G80</f>
        <v>Смеси сухие растворные типа «Ветонит»</v>
      </c>
      <c r="D116" s="39" t="str">
        <f>Source!H80</f>
        <v>т</v>
      </c>
      <c r="E116" s="10">
        <f>Source!I80</f>
        <v>1.2374400000000001</v>
      </c>
      <c r="F116" s="40">
        <f>Source!AL80+Source!AM80+Source!AO80</f>
        <v>0</v>
      </c>
      <c r="G116" s="56" t="s">
        <v>3</v>
      </c>
      <c r="H116" s="42">
        <f>ROUND(Source!AC80*Source!I80, 2)+ROUND(Source!AD80*Source!I80, 2)+ROUND(Source!AF80*Source!I80, 2)</f>
        <v>0</v>
      </c>
      <c r="I116" s="41"/>
      <c r="J116" s="41">
        <f>IF(Source!BC80&lt;&gt; 0, Source!BC80, 1)</f>
        <v>1</v>
      </c>
      <c r="K116" s="42">
        <f>Source!O80</f>
        <v>0</v>
      </c>
      <c r="L116" s="43"/>
      <c r="S116">
        <f>ROUND((Source!FX80/100)*((ROUND(Source!AF80*Source!I80, 2)+ROUND(Source!AE80*Source!I80, 2))), 2)</f>
        <v>0</v>
      </c>
      <c r="T116">
        <f>Source!X80</f>
        <v>0</v>
      </c>
      <c r="U116">
        <f>ROUND((Source!FY80/100)*((ROUND(Source!AF80*Source!I80, 2)+ROUND(Source!AE80*Source!I80, 2))), 2)</f>
        <v>0</v>
      </c>
      <c r="V116">
        <f>Source!Y80</f>
        <v>0</v>
      </c>
      <c r="W116">
        <f>IF(Source!BI80&lt;=1,H116, 0)</f>
        <v>0</v>
      </c>
      <c r="X116">
        <f>IF(Source!BI80=2,H116, 0)</f>
        <v>0</v>
      </c>
      <c r="Y116">
        <f>IF(Source!BI80=3,H116, 0)</f>
        <v>0</v>
      </c>
      <c r="Z116">
        <f>IF(Source!BI80=4,H116, 0)</f>
        <v>0</v>
      </c>
    </row>
    <row r="117" spans="1:26" ht="42.75">
      <c r="A117" s="58" t="str">
        <f>Source!E81</f>
        <v>3,3</v>
      </c>
      <c r="B117" s="59" t="str">
        <f>Source!F81</f>
        <v>402-0447</v>
      </c>
      <c r="C117" s="59" t="str">
        <f>Source!G81</f>
        <v>Смесь штукатурная с повышенной паропроницаемостью "БИРСС 43" (марка М25)</v>
      </c>
      <c r="D117" s="46" t="str">
        <f>Source!H81</f>
        <v>т</v>
      </c>
      <c r="E117" s="47">
        <f>Source!I81</f>
        <v>1.2374400000000001</v>
      </c>
      <c r="F117" s="48">
        <f>Source!AL81+Source!AM81+Source!AO81</f>
        <v>1057.1099999999999</v>
      </c>
      <c r="G117" s="49" t="s">
        <v>3</v>
      </c>
      <c r="H117" s="50">
        <f>ROUND(Source!AC81*Source!I81, 2)+ROUND(Source!AD81*Source!I81, 2)+ROUND(Source!AF81*Source!I81, 2)</f>
        <v>1308.1099999999999</v>
      </c>
      <c r="I117" s="51"/>
      <c r="J117" s="51">
        <f>IF(Source!BC81&lt;&gt; 0, Source!BC81, 1)</f>
        <v>4.78</v>
      </c>
      <c r="K117" s="50">
        <f>Source!O81</f>
        <v>6252.77</v>
      </c>
      <c r="L117" s="52"/>
      <c r="S117">
        <f>ROUND((Source!FX81/100)*((ROUND(Source!AF81*Source!I81, 2)+ROUND(Source!AE81*Source!I81, 2))), 2)</f>
        <v>0</v>
      </c>
      <c r="T117">
        <f>Source!X81</f>
        <v>0</v>
      </c>
      <c r="U117">
        <f>ROUND((Source!FY81/100)*((ROUND(Source!AF81*Source!I81, 2)+ROUND(Source!AE81*Source!I81, 2))), 2)</f>
        <v>0</v>
      </c>
      <c r="V117">
        <f>Source!Y81</f>
        <v>0</v>
      </c>
      <c r="W117">
        <f>IF(Source!BI81&lt;=1,H117, 0)</f>
        <v>1308.1099999999999</v>
      </c>
      <c r="X117">
        <f>IF(Source!BI81=2,H117, 0)</f>
        <v>0</v>
      </c>
      <c r="Y117">
        <f>IF(Source!BI81=3,H117, 0)</f>
        <v>0</v>
      </c>
      <c r="Z117">
        <f>IF(Source!BI81=4,H117, 0)</f>
        <v>0</v>
      </c>
    </row>
    <row r="118" spans="1:26" ht="15">
      <c r="G118" s="68">
        <f>H109+H110+H112+H113+H114+SUM(H116:H117)</f>
        <v>3657.8599999999997</v>
      </c>
      <c r="H118" s="68"/>
      <c r="J118" s="68">
        <f>K109+K110+K112+K113+K114+SUM(K116:K117)</f>
        <v>79735.19</v>
      </c>
      <c r="K118" s="68"/>
      <c r="L118" s="53">
        <f>Source!U79</f>
        <v>95.128199999999993</v>
      </c>
      <c r="O118" s="32">
        <f>G118</f>
        <v>3657.8599999999997</v>
      </c>
      <c r="P118" s="32">
        <f>J118</f>
        <v>79735.19</v>
      </c>
      <c r="Q118" s="32">
        <f>L118</f>
        <v>95.128199999999993</v>
      </c>
      <c r="W118">
        <f>IF(Source!BI79&lt;=1,H109+H110+H112+H113+H114, 0)</f>
        <v>2349.75</v>
      </c>
      <c r="X118">
        <f>IF(Source!BI79=2,H109+H110+H112+H113+H114, 0)</f>
        <v>0</v>
      </c>
      <c r="Y118">
        <f>IF(Source!BI79=3,H109+H110+H112+H113+H114, 0)</f>
        <v>0</v>
      </c>
      <c r="Z118">
        <f>IF(Source!BI79=4,H109+H110+H112+H113+H114, 0)</f>
        <v>0</v>
      </c>
    </row>
    <row r="119" spans="1:26" ht="14.25">
      <c r="A119" s="58" t="str">
        <f>Source!E82</f>
        <v>4</v>
      </c>
      <c r="B119" s="59" t="str">
        <f>Source!F82</f>
        <v>101-3451</v>
      </c>
      <c r="C119" s="59" t="str">
        <f>Source!G82</f>
        <v>Грунтовка акриловая ВД-АК-133</v>
      </c>
      <c r="D119" s="46" t="str">
        <f>Source!H82</f>
        <v>т</v>
      </c>
      <c r="E119" s="47">
        <f>Source!I82</f>
        <v>1.7000000000000001E-2</v>
      </c>
      <c r="F119" s="48">
        <f>Source!AL82</f>
        <v>12153.61</v>
      </c>
      <c r="G119" s="51" t="str">
        <f>Source!DD82</f>
        <v/>
      </c>
      <c r="H119" s="50">
        <f>ROUND(Source!AC82*Source!I82, 2)</f>
        <v>206.61</v>
      </c>
      <c r="I119" s="51" t="str">
        <f>Source!BO82</f>
        <v>101-3451</v>
      </c>
      <c r="J119" s="51">
        <f>IF(Source!BC82&lt;&gt; 0, Source!BC82, 1)</f>
        <v>4.1500000000000004</v>
      </c>
      <c r="K119" s="50">
        <f>Source!P82</f>
        <v>857.44</v>
      </c>
      <c r="L119" s="52"/>
      <c r="S119">
        <f>ROUND((Source!FX82/100)*((ROUND(Source!AF82*Source!I82, 2)+ROUND(Source!AE82*Source!I82, 2))), 2)</f>
        <v>0</v>
      </c>
      <c r="T119">
        <f>Source!X82</f>
        <v>0</v>
      </c>
      <c r="U119">
        <f>ROUND((Source!FY82/100)*((ROUND(Source!AF82*Source!I82, 2)+ROUND(Source!AE82*Source!I82, 2))), 2)</f>
        <v>0</v>
      </c>
      <c r="V119">
        <f>Source!Y82</f>
        <v>0</v>
      </c>
    </row>
    <row r="120" spans="1:26" ht="15">
      <c r="G120" s="68">
        <f>H119</f>
        <v>206.61</v>
      </c>
      <c r="H120" s="68"/>
      <c r="J120" s="68">
        <f>K119</f>
        <v>857.44</v>
      </c>
      <c r="K120" s="68"/>
      <c r="L120" s="53">
        <f>Source!U82</f>
        <v>0</v>
      </c>
      <c r="O120" s="32">
        <f>G120</f>
        <v>206.61</v>
      </c>
      <c r="P120" s="32">
        <f>J120</f>
        <v>857.44</v>
      </c>
      <c r="Q120" s="32">
        <f>L120</f>
        <v>0</v>
      </c>
      <c r="W120">
        <f>IF(Source!BI82&lt;=1,H119, 0)</f>
        <v>206.61</v>
      </c>
      <c r="X120">
        <f>IF(Source!BI82=2,H119, 0)</f>
        <v>0</v>
      </c>
      <c r="Y120">
        <f>IF(Source!BI82=3,H119, 0)</f>
        <v>0</v>
      </c>
      <c r="Z120">
        <f>IF(Source!BI82=4,H119, 0)</f>
        <v>0</v>
      </c>
    </row>
    <row r="121" spans="1:26" ht="71.25">
      <c r="A121" s="23" t="str">
        <f>Source!E83</f>
        <v>5</v>
      </c>
      <c r="B121" s="57" t="s">
        <v>683</v>
      </c>
      <c r="C121" s="57" t="s">
        <v>684</v>
      </c>
      <c r="D121" s="39" t="str">
        <f>Source!H83</f>
        <v>100 м2 окрашиваемой поверхности</v>
      </c>
      <c r="E121" s="10">
        <f>Source!I83</f>
        <v>1.298</v>
      </c>
      <c r="F121" s="40">
        <f>Source!AL83+Source!AM83+Source!AO83</f>
        <v>1460.03</v>
      </c>
      <c r="G121" s="41"/>
      <c r="H121" s="42"/>
      <c r="I121" s="57" t="s">
        <v>683</v>
      </c>
      <c r="J121" s="41"/>
      <c r="K121" s="42"/>
      <c r="L121" s="43"/>
      <c r="S121">
        <f>ROUND((Source!FX83/100)*((ROUND(Source!AF83*Source!I83, 2)+ROUND(Source!AE83*Source!I83, 2))), 2)</f>
        <v>652.84</v>
      </c>
      <c r="T121">
        <f>Source!X83</f>
        <v>21690.65</v>
      </c>
      <c r="U121">
        <f>ROUND((Source!FY83/100)*((ROUND(Source!AF83*Source!I83, 2)+ROUND(Source!AE83*Source!I83, 2))), 2)</f>
        <v>322.97000000000003</v>
      </c>
      <c r="V121">
        <f>Source!Y83</f>
        <v>10731.16</v>
      </c>
    </row>
    <row r="122" spans="1:26">
      <c r="C122" s="31" t="str">
        <f>"Объем: "&amp;Source!I83&amp;"=129,8/"&amp;"100"</f>
        <v>Объем: 1,298=129,8/100</v>
      </c>
    </row>
    <row r="123" spans="1:26" ht="14.25">
      <c r="A123" s="23"/>
      <c r="B123" s="57"/>
      <c r="C123" s="57" t="s">
        <v>666</v>
      </c>
      <c r="D123" s="39"/>
      <c r="E123" s="10"/>
      <c r="F123" s="40">
        <f>Source!AO83</f>
        <v>462.66</v>
      </c>
      <c r="G123" s="41" t="str">
        <f>Source!DG83</f>
        <v>)*1,15</v>
      </c>
      <c r="H123" s="42">
        <f>ROUND(Source!AF83*Source!I83, 2)</f>
        <v>690.61</v>
      </c>
      <c r="I123" s="41"/>
      <c r="J123" s="41">
        <f>IF(Source!BA83&lt;&gt; 0, Source!BA83, 1)</f>
        <v>33.049999999999997</v>
      </c>
      <c r="K123" s="62">
        <v>33393.72</v>
      </c>
      <c r="R123">
        <f>H123</f>
        <v>690.61</v>
      </c>
    </row>
    <row r="124" spans="1:26" ht="14.25">
      <c r="A124" s="23"/>
      <c r="B124" s="57"/>
      <c r="C124" s="57" t="s">
        <v>87</v>
      </c>
      <c r="D124" s="39"/>
      <c r="E124" s="10"/>
      <c r="F124" s="40">
        <f>Source!AM83</f>
        <v>9.9</v>
      </c>
      <c r="G124" s="41" t="str">
        <f>Source!DE83</f>
        <v>)*1,25</v>
      </c>
      <c r="H124" s="42">
        <f>ROUND(Source!AD83*Source!I83, 2)</f>
        <v>16.059999999999999</v>
      </c>
      <c r="I124" s="41"/>
      <c r="J124" s="41">
        <f>IF(Source!BB83&lt;&gt; 0, Source!BB83, 1)</f>
        <v>10.83</v>
      </c>
      <c r="K124" s="42">
        <f>Source!Q83</f>
        <v>173.96</v>
      </c>
      <c r="L124" s="43"/>
    </row>
    <row r="125" spans="1:26" ht="14.25">
      <c r="A125" s="23"/>
      <c r="B125" s="57"/>
      <c r="C125" s="57" t="s">
        <v>672</v>
      </c>
      <c r="D125" s="39"/>
      <c r="E125" s="10"/>
      <c r="F125" s="40">
        <f>Source!AN83</f>
        <v>0.14000000000000001</v>
      </c>
      <c r="G125" s="41" t="str">
        <f>Source!DF83</f>
        <v>)*1,25</v>
      </c>
      <c r="H125" s="55">
        <f>ROUND(Source!AE83*Source!I83, 2)</f>
        <v>0.23</v>
      </c>
      <c r="I125" s="41"/>
      <c r="J125" s="41">
        <f>IF(Source!BS83&lt;&gt; 0, Source!BS83, 1)</f>
        <v>33.049999999999997</v>
      </c>
      <c r="K125" s="55">
        <f>Source!R83</f>
        <v>7.51</v>
      </c>
      <c r="L125" s="43"/>
      <c r="R125">
        <f>H125</f>
        <v>0.23</v>
      </c>
    </row>
    <row r="126" spans="1:26" ht="14.25">
      <c r="A126" s="23"/>
      <c r="B126" s="57"/>
      <c r="C126" s="57" t="s">
        <v>673</v>
      </c>
      <c r="D126" s="39"/>
      <c r="E126" s="10"/>
      <c r="F126" s="40">
        <f>Source!AL83</f>
        <v>987.47</v>
      </c>
      <c r="G126" s="41" t="str">
        <f>Source!DD83</f>
        <v/>
      </c>
      <c r="H126" s="42">
        <f>ROUND(Source!AC83*Source!I83, 2)</f>
        <v>1281.74</v>
      </c>
      <c r="I126" s="41"/>
      <c r="J126" s="41">
        <f>IF(Source!BC83&lt;&gt; 0, Source!BC83, 1)</f>
        <v>3.79</v>
      </c>
      <c r="K126" s="42">
        <f>Source!P83</f>
        <v>4857.78</v>
      </c>
      <c r="L126" s="43"/>
    </row>
    <row r="127" spans="1:26" ht="14.25">
      <c r="A127" s="23"/>
      <c r="B127" s="57"/>
      <c r="C127" s="57" t="s">
        <v>667</v>
      </c>
      <c r="D127" s="39" t="s">
        <v>668</v>
      </c>
      <c r="E127" s="10">
        <f>Source!BZ83</f>
        <v>105</v>
      </c>
      <c r="F127" s="69" t="str">
        <f>CONCATENATE(" )", Source!DL83, Source!FT83, "=", Source!FX83)</f>
        <v xml:space="preserve"> )*0,9=94,5</v>
      </c>
      <c r="G127" s="70"/>
      <c r="H127" s="42">
        <f>SUM(S121:S130)</f>
        <v>652.84</v>
      </c>
      <c r="I127" s="44"/>
      <c r="J127" s="38">
        <f>Source!AT83</f>
        <v>95</v>
      </c>
      <c r="K127" s="42">
        <f>SUM(T121:T130)</f>
        <v>21690.65</v>
      </c>
      <c r="L127" s="43"/>
    </row>
    <row r="128" spans="1:26" ht="14.25">
      <c r="A128" s="23"/>
      <c r="B128" s="57"/>
      <c r="C128" s="57" t="s">
        <v>669</v>
      </c>
      <c r="D128" s="39" t="s">
        <v>668</v>
      </c>
      <c r="E128" s="10">
        <f>Source!CA83</f>
        <v>55</v>
      </c>
      <c r="F128" s="69" t="str">
        <f>CONCATENATE(" )", Source!DM83, Source!FU83, "=", Source!FY83)</f>
        <v xml:space="preserve"> )*0,85=46,75</v>
      </c>
      <c r="G128" s="70"/>
      <c r="H128" s="42">
        <f>SUM(U121:U130)</f>
        <v>322.97000000000003</v>
      </c>
      <c r="I128" s="44"/>
      <c r="J128" s="38">
        <f>Source!AU83</f>
        <v>47</v>
      </c>
      <c r="K128" s="42">
        <f>SUM(V121:V130)</f>
        <v>10731.16</v>
      </c>
      <c r="L128" s="43"/>
    </row>
    <row r="129" spans="1:26" ht="14.25">
      <c r="A129" s="23"/>
      <c r="B129" s="57"/>
      <c r="C129" s="57" t="s">
        <v>670</v>
      </c>
      <c r="D129" s="39" t="s">
        <v>671</v>
      </c>
      <c r="E129" s="10">
        <f>Source!AQ83</f>
        <v>51.01</v>
      </c>
      <c r="F129" s="40"/>
      <c r="G129" s="41" t="str">
        <f>Source!DI83</f>
        <v>)*1,15</v>
      </c>
      <c r="H129" s="42"/>
      <c r="I129" s="41"/>
      <c r="J129" s="41"/>
      <c r="K129" s="42"/>
      <c r="L129" s="45">
        <f>Source!U83</f>
        <v>76.142627000000005</v>
      </c>
    </row>
    <row r="130" spans="1:26" ht="14.25">
      <c r="A130" s="58" t="str">
        <f>Source!E84</f>
        <v>5,1</v>
      </c>
      <c r="B130" s="59" t="str">
        <f>Source!F84</f>
        <v>113-8029</v>
      </c>
      <c r="C130" s="59" t="str">
        <f>Source!G84</f>
        <v>Эмаль ПФ-115 цветная</v>
      </c>
      <c r="D130" s="46" t="str">
        <f>Source!H84</f>
        <v>кг</v>
      </c>
      <c r="E130" s="47">
        <f>Source!I84</f>
        <v>57.000000000000007</v>
      </c>
      <c r="F130" s="48">
        <f>Source!AL84+Source!AM84+Source!AO84</f>
        <v>17.45</v>
      </c>
      <c r="G130" s="49" t="s">
        <v>3</v>
      </c>
      <c r="H130" s="50">
        <f>ROUND(Source!AC84*Source!I84, 2)+ROUND(Source!AD84*Source!I84, 2)+ROUND(Source!AF84*Source!I84, 2)</f>
        <v>994.65</v>
      </c>
      <c r="I130" s="51"/>
      <c r="J130" s="51">
        <f>IF(Source!BC84&lt;&gt; 0, Source!BC84, 1)</f>
        <v>3.45</v>
      </c>
      <c r="K130" s="50">
        <f>Source!O84</f>
        <v>3431.54</v>
      </c>
      <c r="L130" s="52"/>
      <c r="S130">
        <f>ROUND((Source!FX84/100)*((ROUND(Source!AF84*Source!I84, 2)+ROUND(Source!AE84*Source!I84, 2))), 2)</f>
        <v>0</v>
      </c>
      <c r="T130">
        <f>Source!X84</f>
        <v>0</v>
      </c>
      <c r="U130">
        <f>ROUND((Source!FY84/100)*((ROUND(Source!AF84*Source!I84, 2)+ROUND(Source!AE84*Source!I84, 2))), 2)</f>
        <v>0</v>
      </c>
      <c r="V130">
        <f>Source!Y84</f>
        <v>0</v>
      </c>
      <c r="W130">
        <f>IF(Source!BI84&lt;=1,H130, 0)</f>
        <v>994.65</v>
      </c>
      <c r="X130">
        <f>IF(Source!BI84=2,H130, 0)</f>
        <v>0</v>
      </c>
      <c r="Y130">
        <f>IF(Source!BI84=3,H130, 0)</f>
        <v>0</v>
      </c>
      <c r="Z130">
        <f>IF(Source!BI84=4,H130, 0)</f>
        <v>0</v>
      </c>
    </row>
    <row r="131" spans="1:26" ht="15">
      <c r="G131" s="68">
        <f>H123+H124+H126+H127+H128+SUM(H130:H130)</f>
        <v>3958.8700000000003</v>
      </c>
      <c r="H131" s="68"/>
      <c r="J131" s="68">
        <f>K123+K124+K125+K126+M127+K128+K130</f>
        <v>52595.670000000006</v>
      </c>
      <c r="K131" s="68"/>
      <c r="L131" s="53">
        <f>Source!U83</f>
        <v>76.142627000000005</v>
      </c>
      <c r="O131" s="32">
        <f>G131</f>
        <v>3958.8700000000003</v>
      </c>
      <c r="P131" s="32">
        <f>J131</f>
        <v>52595.670000000006</v>
      </c>
      <c r="Q131" s="32">
        <f>L131</f>
        <v>76.142627000000005</v>
      </c>
      <c r="W131">
        <f>IF(Source!BI83&lt;=1,H123+H124+H126+H127+H128, 0)</f>
        <v>2964.2200000000003</v>
      </c>
      <c r="X131">
        <f>IF(Source!BI83=2,H123+H124+H126+H127+H128, 0)</f>
        <v>0</v>
      </c>
      <c r="Y131">
        <f>IF(Source!BI83=3,H123+H124+H126+H127+H128, 0)</f>
        <v>0</v>
      </c>
      <c r="Z131">
        <f>IF(Source!BI83=4,H123+H124+H126+H127+H128, 0)</f>
        <v>0</v>
      </c>
    </row>
    <row r="132" spans="1:26" ht="71.25">
      <c r="A132" s="23" t="str">
        <f>Source!E86</f>
        <v>6</v>
      </c>
      <c r="B132" s="64" t="s">
        <v>685</v>
      </c>
      <c r="C132" s="57" t="str">
        <f>Source!G86</f>
        <v>Окраска поливинилацетатными водоэмульсионными составами простая по штукатурке и сборным конструкциям потолков, подготовленным под окраску</v>
      </c>
      <c r="D132" s="39" t="str">
        <f>Source!H86</f>
        <v>100 м2 окрашиваемой поверхности</v>
      </c>
      <c r="E132" s="10">
        <f>Source!I86</f>
        <v>0.90800000000000003</v>
      </c>
      <c r="F132" s="40">
        <f>Source!AL86+Source!AM86+Source!AO86</f>
        <v>1090.21</v>
      </c>
      <c r="G132" s="41"/>
      <c r="H132" s="42"/>
      <c r="I132" s="65" t="s">
        <v>685</v>
      </c>
      <c r="J132" s="41"/>
      <c r="K132" s="42"/>
      <c r="L132" s="43"/>
      <c r="N132" s="63"/>
      <c r="S132">
        <f>ROUND((Source!FX86/100)*((ROUND(Source!AF86*Source!I86, 2)+ROUND(Source!AE86*Source!I86, 2))), 2)</f>
        <v>130.5</v>
      </c>
      <c r="T132">
        <f>Source!X86</f>
        <v>4335.92</v>
      </c>
      <c r="U132">
        <f>ROUND((Source!FY86/100)*((ROUND(Source!AF86*Source!I86, 2)+ROUND(Source!AE86*Source!I86, 2))), 2)</f>
        <v>64.56</v>
      </c>
      <c r="V132">
        <f>Source!Y86</f>
        <v>2145.14</v>
      </c>
    </row>
    <row r="133" spans="1:26">
      <c r="C133" s="31" t="str">
        <f>"Объем: "&amp;Source!I86&amp;"=90,8/"&amp;"100"</f>
        <v>Объем: 0,908=90,8/100</v>
      </c>
    </row>
    <row r="134" spans="1:26" ht="14.25">
      <c r="A134" s="23"/>
      <c r="B134" s="57"/>
      <c r="C134" s="57" t="s">
        <v>666</v>
      </c>
      <c r="D134" s="39"/>
      <c r="E134" s="10"/>
      <c r="F134" s="40">
        <f>Source!AO86</f>
        <v>151.94999999999999</v>
      </c>
      <c r="G134" s="41" t="str">
        <f>Source!DG86</f>
        <v/>
      </c>
      <c r="H134" s="42">
        <f>ROUND(Source!AF86*Source!I86, 2)</f>
        <v>137.97</v>
      </c>
      <c r="I134" s="41"/>
      <c r="J134" s="41">
        <f>IF(Source!BA86&lt;&gt; 0, Source!BA86, 1)</f>
        <v>33.049999999999997</v>
      </c>
      <c r="K134" s="42">
        <f>Source!S86</f>
        <v>4559.93</v>
      </c>
      <c r="L134" s="43"/>
      <c r="R134">
        <f>H134</f>
        <v>137.97</v>
      </c>
    </row>
    <row r="135" spans="1:26" ht="14.25">
      <c r="A135" s="23"/>
      <c r="B135" s="57"/>
      <c r="C135" s="57" t="s">
        <v>87</v>
      </c>
      <c r="D135" s="39"/>
      <c r="E135" s="10"/>
      <c r="F135" s="40">
        <f>Source!AM86</f>
        <v>8.16</v>
      </c>
      <c r="G135" s="41" t="str">
        <f>Source!DE86</f>
        <v/>
      </c>
      <c r="H135" s="42">
        <f>ROUND(Source!AD86*Source!I86, 2)</f>
        <v>7.41</v>
      </c>
      <c r="I135" s="41"/>
      <c r="J135" s="41">
        <f>IF(Source!BB86&lt;&gt; 0, Source!BB86, 1)</f>
        <v>10.86</v>
      </c>
      <c r="K135" s="42">
        <f>Source!Q86</f>
        <v>80.459999999999994</v>
      </c>
      <c r="L135" s="43"/>
    </row>
    <row r="136" spans="1:26" ht="14.25">
      <c r="A136" s="23"/>
      <c r="B136" s="57"/>
      <c r="C136" s="57" t="s">
        <v>672</v>
      </c>
      <c r="D136" s="39"/>
      <c r="E136" s="10"/>
      <c r="F136" s="40">
        <f>Source!AN86</f>
        <v>0.14000000000000001</v>
      </c>
      <c r="G136" s="41" t="str">
        <f>Source!DF86</f>
        <v/>
      </c>
      <c r="H136" s="55">
        <f>ROUND(Source!AE86*Source!I86, 2)</f>
        <v>0.13</v>
      </c>
      <c r="I136" s="41"/>
      <c r="J136" s="41">
        <f>IF(Source!BS86&lt;&gt; 0, Source!BS86, 1)</f>
        <v>33.049999999999997</v>
      </c>
      <c r="K136" s="55">
        <f>Source!R86</f>
        <v>4.2</v>
      </c>
      <c r="L136" s="43"/>
      <c r="R136">
        <f>H136</f>
        <v>0.13</v>
      </c>
    </row>
    <row r="137" spans="1:26" ht="14.25">
      <c r="A137" s="23"/>
      <c r="B137" s="57"/>
      <c r="C137" s="57" t="s">
        <v>673</v>
      </c>
      <c r="D137" s="39"/>
      <c r="E137" s="10"/>
      <c r="F137" s="40">
        <f>Source!AL86</f>
        <v>930.1</v>
      </c>
      <c r="G137" s="41" t="str">
        <f>Source!DD86</f>
        <v/>
      </c>
      <c r="H137" s="42">
        <f>ROUND(Source!AC86*Source!I86, 2)</f>
        <v>844.53</v>
      </c>
      <c r="I137" s="41"/>
      <c r="J137" s="41">
        <f>IF(Source!BC86&lt;&gt; 0, Source!BC86, 1)</f>
        <v>3.88</v>
      </c>
      <c r="K137" s="42">
        <f>Source!P86</f>
        <v>3276.78</v>
      </c>
      <c r="L137" s="43"/>
    </row>
    <row r="138" spans="1:26" ht="14.25">
      <c r="A138" s="23"/>
      <c r="B138" s="57"/>
      <c r="C138" s="57" t="s">
        <v>667</v>
      </c>
      <c r="D138" s="39" t="s">
        <v>668</v>
      </c>
      <c r="E138" s="10">
        <f>Source!BZ86</f>
        <v>105</v>
      </c>
      <c r="F138" s="69" t="str">
        <f>CONCATENATE(" )", Source!DL86, Source!FT86, "=", Source!FX86)</f>
        <v xml:space="preserve"> )*0,9=94,5</v>
      </c>
      <c r="G138" s="70"/>
      <c r="H138" s="42">
        <f>SUM(S132:S140)</f>
        <v>130.5</v>
      </c>
      <c r="I138" s="44"/>
      <c r="J138" s="38">
        <f>Source!AT86</f>
        <v>95</v>
      </c>
      <c r="K138" s="42">
        <f>SUM(T132:T140)</f>
        <v>4335.92</v>
      </c>
      <c r="L138" s="43"/>
    </row>
    <row r="139" spans="1:26" ht="14.25">
      <c r="A139" s="23"/>
      <c r="B139" s="57"/>
      <c r="C139" s="57" t="s">
        <v>669</v>
      </c>
      <c r="D139" s="39" t="s">
        <v>668</v>
      </c>
      <c r="E139" s="10">
        <f>Source!CA86</f>
        <v>55</v>
      </c>
      <c r="F139" s="69" t="str">
        <f>CONCATENATE(" )", Source!DM86, Source!FU86, "=", Source!FY86)</f>
        <v xml:space="preserve"> )*0,85=46,75</v>
      </c>
      <c r="G139" s="70"/>
      <c r="H139" s="42">
        <f>SUM(U132:U140)</f>
        <v>64.56</v>
      </c>
      <c r="I139" s="44"/>
      <c r="J139" s="38">
        <f>Source!AU86</f>
        <v>47</v>
      </c>
      <c r="K139" s="42">
        <f>SUM(V132:V140)</f>
        <v>2145.14</v>
      </c>
      <c r="L139" s="43"/>
    </row>
    <row r="140" spans="1:26" ht="14.25">
      <c r="A140" s="58"/>
      <c r="B140" s="59"/>
      <c r="C140" s="59" t="s">
        <v>670</v>
      </c>
      <c r="D140" s="46" t="s">
        <v>671</v>
      </c>
      <c r="E140" s="47">
        <f>Source!AQ86</f>
        <v>16.940000000000001</v>
      </c>
      <c r="F140" s="48"/>
      <c r="G140" s="51" t="str">
        <f>Source!DI86</f>
        <v/>
      </c>
      <c r="H140" s="50"/>
      <c r="I140" s="51"/>
      <c r="J140" s="51"/>
      <c r="K140" s="50"/>
      <c r="L140" s="54">
        <f>Source!U86</f>
        <v>15.381520000000002</v>
      </c>
    </row>
    <row r="141" spans="1:26" ht="15">
      <c r="G141" s="68">
        <f>H134+H135+H137+H138+H139</f>
        <v>1184.9699999999998</v>
      </c>
      <c r="H141" s="68"/>
      <c r="J141" s="68">
        <f>K134+K135+K137+K138+K139</f>
        <v>14398.23</v>
      </c>
      <c r="K141" s="68"/>
      <c r="L141" s="53">
        <f>Source!U86</f>
        <v>15.381520000000002</v>
      </c>
      <c r="O141" s="32">
        <f>G141</f>
        <v>1184.9699999999998</v>
      </c>
      <c r="P141" s="32">
        <f>J141</f>
        <v>14398.23</v>
      </c>
      <c r="Q141" s="32">
        <f>L141</f>
        <v>15.381520000000002</v>
      </c>
      <c r="W141">
        <f>IF(Source!BI86&lt;=1,H134+H135+H137+H138+H139, 0)</f>
        <v>1184.9699999999998</v>
      </c>
      <c r="X141">
        <f>IF(Source!BI86=2,H134+H135+H137+H138+H139, 0)</f>
        <v>0</v>
      </c>
      <c r="Y141">
        <f>IF(Source!BI86=3,H134+H135+H137+H138+H139, 0)</f>
        <v>0</v>
      </c>
      <c r="Z141">
        <f>IF(Source!BI86=4,H134+H135+H137+H138+H139, 0)</f>
        <v>0</v>
      </c>
    </row>
    <row r="142" spans="1:26" ht="28.5">
      <c r="A142" s="23" t="str">
        <f>Source!E88</f>
        <v>8</v>
      </c>
      <c r="B142" s="57" t="str">
        <f>Source!F88</f>
        <v>11-01-012-3</v>
      </c>
      <c r="C142" s="57" t="str">
        <f>Source!G88</f>
        <v>Укладка лаг по плитам перекрытий</v>
      </c>
      <c r="D142" s="39" t="str">
        <f>Source!H88</f>
        <v>100 м2 пола</v>
      </c>
      <c r="E142" s="10">
        <f>Source!I88</f>
        <v>0.90800000000000003</v>
      </c>
      <c r="F142" s="40">
        <f>Source!AL88+Source!AM88+Source!AO88</f>
        <v>2068.7799999999997</v>
      </c>
      <c r="G142" s="41"/>
      <c r="H142" s="42"/>
      <c r="I142" s="41" t="str">
        <f>Source!BO88</f>
        <v>11-01-012-3</v>
      </c>
      <c r="J142" s="41"/>
      <c r="K142" s="42"/>
      <c r="L142" s="43"/>
      <c r="S142">
        <f>ROUND((Source!FX88/100)*((ROUND(Source!AF88*Source!I88, 2)+ROUND(Source!AE88*Source!I88, 2))), 2)</f>
        <v>308.88</v>
      </c>
      <c r="T142">
        <f>Source!X88</f>
        <v>10235.959999999999</v>
      </c>
      <c r="U142">
        <f>ROUND((Source!FY88/100)*((ROUND(Source!AF88*Source!I88, 2)+ROUND(Source!AE88*Source!I88, 2))), 2)</f>
        <v>177.88</v>
      </c>
      <c r="V142">
        <f>Source!Y88</f>
        <v>5901.82</v>
      </c>
    </row>
    <row r="143" spans="1:26">
      <c r="C143" s="31" t="str">
        <f>"Объем: "&amp;Source!I88&amp;"=90,8/"&amp;"100"</f>
        <v>Объем: 0,908=90,8/100</v>
      </c>
    </row>
    <row r="144" spans="1:26" ht="14.25">
      <c r="A144" s="23"/>
      <c r="B144" s="57"/>
      <c r="C144" s="57" t="s">
        <v>666</v>
      </c>
      <c r="D144" s="39"/>
      <c r="E144" s="10"/>
      <c r="F144" s="40">
        <f>Source!AO88</f>
        <v>304.86</v>
      </c>
      <c r="G144" s="41" t="str">
        <f>Source!DG88</f>
        <v/>
      </c>
      <c r="H144" s="42">
        <f>ROUND(Source!AF88*Source!I88, 2)</f>
        <v>276.81</v>
      </c>
      <c r="I144" s="41"/>
      <c r="J144" s="41">
        <f>IF(Source!BA88&lt;&gt; 0, Source!BA88, 1)</f>
        <v>33.049999999999997</v>
      </c>
      <c r="K144" s="42">
        <f>Source!S88</f>
        <v>9148.67</v>
      </c>
      <c r="L144" s="43"/>
      <c r="R144">
        <f>H144</f>
        <v>276.81</v>
      </c>
    </row>
    <row r="145" spans="1:26" ht="14.25">
      <c r="A145" s="23"/>
      <c r="B145" s="57"/>
      <c r="C145" s="57" t="s">
        <v>87</v>
      </c>
      <c r="D145" s="39"/>
      <c r="E145" s="10"/>
      <c r="F145" s="40">
        <f>Source!AM88</f>
        <v>28.6</v>
      </c>
      <c r="G145" s="41" t="str">
        <f>Source!DE88</f>
        <v/>
      </c>
      <c r="H145" s="42">
        <f>ROUND(Source!AD88*Source!I88, 2)</f>
        <v>25.97</v>
      </c>
      <c r="I145" s="41"/>
      <c r="J145" s="41">
        <f>IF(Source!BB88&lt;&gt; 0, Source!BB88, 1)</f>
        <v>11.52</v>
      </c>
      <c r="K145" s="42">
        <f>Source!Q88</f>
        <v>299.16000000000003</v>
      </c>
      <c r="L145" s="43"/>
    </row>
    <row r="146" spans="1:26" ht="14.25">
      <c r="A146" s="23"/>
      <c r="B146" s="57"/>
      <c r="C146" s="57" t="s">
        <v>672</v>
      </c>
      <c r="D146" s="39"/>
      <c r="E146" s="10"/>
      <c r="F146" s="40">
        <f>Source!AN88</f>
        <v>2.4300000000000002</v>
      </c>
      <c r="G146" s="41" t="str">
        <f>Source!DF88</f>
        <v/>
      </c>
      <c r="H146" s="55">
        <f>ROUND(Source!AE88*Source!I88, 2)</f>
        <v>2.21</v>
      </c>
      <c r="I146" s="41"/>
      <c r="J146" s="41">
        <f>IF(Source!BS88&lt;&gt; 0, Source!BS88, 1)</f>
        <v>33.049999999999997</v>
      </c>
      <c r="K146" s="55">
        <f>Source!R88</f>
        <v>72.92</v>
      </c>
      <c r="L146" s="43"/>
      <c r="R146">
        <f>H146</f>
        <v>2.21</v>
      </c>
    </row>
    <row r="147" spans="1:26" ht="14.25">
      <c r="A147" s="23"/>
      <c r="B147" s="57"/>
      <c r="C147" s="57" t="s">
        <v>673</v>
      </c>
      <c r="D147" s="39"/>
      <c r="E147" s="10"/>
      <c r="F147" s="40">
        <f>Source!AL88</f>
        <v>1735.32</v>
      </c>
      <c r="G147" s="41" t="str">
        <f>Source!DD88</f>
        <v/>
      </c>
      <c r="H147" s="42">
        <f>ROUND(Source!AC88*Source!I88, 2)</f>
        <v>1575.67</v>
      </c>
      <c r="I147" s="41"/>
      <c r="J147" s="41">
        <f>IF(Source!BC88&lt;&gt; 0, Source!BC88, 1)</f>
        <v>3.5</v>
      </c>
      <c r="K147" s="42">
        <f>Source!P88</f>
        <v>5514.85</v>
      </c>
      <c r="L147" s="43"/>
    </row>
    <row r="148" spans="1:26" ht="14.25">
      <c r="A148" s="23"/>
      <c r="B148" s="57"/>
      <c r="C148" s="57" t="s">
        <v>667</v>
      </c>
      <c r="D148" s="39" t="s">
        <v>668</v>
      </c>
      <c r="E148" s="10">
        <f>Source!BZ88</f>
        <v>123</v>
      </c>
      <c r="F148" s="69" t="str">
        <f>CONCATENATE(" )", Source!DL88, Source!FT88, "=", Source!FX88)</f>
        <v xml:space="preserve"> )*0,9=110,7</v>
      </c>
      <c r="G148" s="70"/>
      <c r="H148" s="42">
        <f>SUM(S142:S150)</f>
        <v>308.88</v>
      </c>
      <c r="I148" s="44"/>
      <c r="J148" s="38">
        <f>Source!AT88</f>
        <v>111</v>
      </c>
      <c r="K148" s="42">
        <f>SUM(T142:T150)</f>
        <v>10235.959999999999</v>
      </c>
      <c r="L148" s="43"/>
    </row>
    <row r="149" spans="1:26" ht="14.25">
      <c r="A149" s="23"/>
      <c r="B149" s="57"/>
      <c r="C149" s="57" t="s">
        <v>669</v>
      </c>
      <c r="D149" s="39" t="s">
        <v>668</v>
      </c>
      <c r="E149" s="10">
        <f>Source!CA88</f>
        <v>75</v>
      </c>
      <c r="F149" s="69" t="str">
        <f>CONCATENATE(" )", Source!DM88, Source!FU88, "=", Source!FY88)</f>
        <v xml:space="preserve"> )*0,85=63,75</v>
      </c>
      <c r="G149" s="70"/>
      <c r="H149" s="42">
        <f>SUM(U142:U150)</f>
        <v>177.88</v>
      </c>
      <c r="I149" s="44"/>
      <c r="J149" s="38">
        <f>Source!AU88</f>
        <v>64</v>
      </c>
      <c r="K149" s="42">
        <f>SUM(V142:V150)</f>
        <v>5901.82</v>
      </c>
      <c r="L149" s="43"/>
    </row>
    <row r="150" spans="1:26" ht="14.25">
      <c r="A150" s="58"/>
      <c r="B150" s="59"/>
      <c r="C150" s="59" t="s">
        <v>670</v>
      </c>
      <c r="D150" s="46" t="s">
        <v>671</v>
      </c>
      <c r="E150" s="47">
        <f>Source!AQ88</f>
        <v>35.74</v>
      </c>
      <c r="F150" s="48"/>
      <c r="G150" s="51" t="str">
        <f>Source!DI88</f>
        <v/>
      </c>
      <c r="H150" s="50"/>
      <c r="I150" s="51"/>
      <c r="J150" s="51"/>
      <c r="K150" s="50"/>
      <c r="L150" s="54">
        <f>Source!U88</f>
        <v>32.451920000000001</v>
      </c>
    </row>
    <row r="151" spans="1:26" ht="15">
      <c r="G151" s="68">
        <f>H144+H145+H147+H148+H149</f>
        <v>2365.21</v>
      </c>
      <c r="H151" s="68"/>
      <c r="J151" s="68">
        <f>K144+K145+K147+K148+K149</f>
        <v>31100.46</v>
      </c>
      <c r="K151" s="68"/>
      <c r="L151" s="53">
        <f>Source!U88</f>
        <v>32.451920000000001</v>
      </c>
      <c r="O151" s="32">
        <f>G151</f>
        <v>2365.21</v>
      </c>
      <c r="P151" s="32">
        <f>J151</f>
        <v>31100.46</v>
      </c>
      <c r="Q151" s="32">
        <f>L151</f>
        <v>32.451920000000001</v>
      </c>
      <c r="W151">
        <f>IF(Source!BI88&lt;=1,H144+H145+H147+H148+H149, 0)</f>
        <v>2365.21</v>
      </c>
      <c r="X151">
        <f>IF(Source!BI88=2,H144+H145+H147+H148+H149, 0)</f>
        <v>0</v>
      </c>
      <c r="Y151">
        <f>IF(Source!BI88=3,H144+H145+H147+H148+H149, 0)</f>
        <v>0</v>
      </c>
      <c r="Z151">
        <f>IF(Source!BI88=4,H144+H145+H147+H148+H149, 0)</f>
        <v>0</v>
      </c>
    </row>
    <row r="152" spans="1:26" ht="52.5">
      <c r="A152" s="23" t="str">
        <f>Source!E89</f>
        <v>9</v>
      </c>
      <c r="B152" s="57" t="s">
        <v>674</v>
      </c>
      <c r="C152" s="57" t="str">
        <f>Source!G89</f>
        <v>Устройство покрытий дощатых толщиной 28 мм</v>
      </c>
      <c r="D152" s="39" t="str">
        <f>Source!H89</f>
        <v>100 м2 покрытия</v>
      </c>
      <c r="E152" s="10">
        <f>Source!I89</f>
        <v>0.90800000000000003</v>
      </c>
      <c r="F152" s="40">
        <f>Source!AL89+Source!AM89+Source!AO89</f>
        <v>6972.3600000000006</v>
      </c>
      <c r="G152" s="41"/>
      <c r="H152" s="42"/>
      <c r="I152" s="41" t="str">
        <f>Source!BO89</f>
        <v>11-01-033-1</v>
      </c>
      <c r="J152" s="41"/>
      <c r="K152" s="42"/>
      <c r="L152" s="43"/>
      <c r="S152">
        <f>ROUND((Source!FX89/100)*((ROUND(Source!AF89*Source!I89, 2)+ROUND(Source!AE89*Source!I89, 2))), 2)</f>
        <v>608.54</v>
      </c>
      <c r="T152">
        <f>Source!X89</f>
        <v>20166.759999999998</v>
      </c>
      <c r="U152">
        <f>ROUND((Source!FY89/100)*((ROUND(Source!AF89*Source!I89, 2)+ROUND(Source!AE89*Source!I89, 2))), 2)</f>
        <v>350.45</v>
      </c>
      <c r="V152">
        <f>Source!Y89</f>
        <v>11627.68</v>
      </c>
    </row>
    <row r="153" spans="1:26">
      <c r="C153" s="31" t="str">
        <f>"Объем: "&amp;Source!I89&amp;"=90,8/"&amp;"100"</f>
        <v>Объем: 0,908=90,8/100</v>
      </c>
    </row>
    <row r="154" spans="1:26" ht="14.25">
      <c r="A154" s="23"/>
      <c r="B154" s="57"/>
      <c r="C154" s="57" t="s">
        <v>666</v>
      </c>
      <c r="D154" s="39"/>
      <c r="E154" s="10"/>
      <c r="F154" s="40">
        <f>Source!AO89</f>
        <v>517.94000000000005</v>
      </c>
      <c r="G154" s="41" t="str">
        <f>Source!DG89</f>
        <v>)*1,15</v>
      </c>
      <c r="H154" s="42">
        <f>ROUND(Source!AF89*Source!I89, 2)</f>
        <v>540.83000000000004</v>
      </c>
      <c r="I154" s="41"/>
      <c r="J154" s="41">
        <f>IF(Source!BA89&lt;&gt; 0, Source!BA89, 1)</f>
        <v>33.049999999999997</v>
      </c>
      <c r="K154" s="42">
        <f>Source!S89</f>
        <v>17874.53</v>
      </c>
      <c r="L154" s="43"/>
      <c r="R154">
        <f>H154</f>
        <v>540.83000000000004</v>
      </c>
    </row>
    <row r="155" spans="1:26" ht="14.25">
      <c r="A155" s="23"/>
      <c r="B155" s="57"/>
      <c r="C155" s="57" t="s">
        <v>87</v>
      </c>
      <c r="D155" s="39"/>
      <c r="E155" s="10"/>
      <c r="F155" s="40">
        <f>Source!AM89</f>
        <v>97.78</v>
      </c>
      <c r="G155" s="41" t="str">
        <f>Source!DE89</f>
        <v>)*1,25</v>
      </c>
      <c r="H155" s="42">
        <f>ROUND(Source!AD89*Source!I89, 2)</f>
        <v>110.98</v>
      </c>
      <c r="I155" s="41"/>
      <c r="J155" s="41">
        <f>IF(Source!BB89&lt;&gt; 0, Source!BB89, 1)</f>
        <v>11.56</v>
      </c>
      <c r="K155" s="42">
        <f>Source!Q89</f>
        <v>1282.93</v>
      </c>
      <c r="L155" s="43"/>
    </row>
    <row r="156" spans="1:26" ht="14.25">
      <c r="A156" s="23"/>
      <c r="B156" s="57"/>
      <c r="C156" s="57" t="s">
        <v>672</v>
      </c>
      <c r="D156" s="39"/>
      <c r="E156" s="10"/>
      <c r="F156" s="40">
        <f>Source!AN89</f>
        <v>7.83</v>
      </c>
      <c r="G156" s="41" t="str">
        <f>Source!DF89</f>
        <v>)*1,25</v>
      </c>
      <c r="H156" s="55">
        <f>ROUND(Source!AE89*Source!I89, 2)</f>
        <v>8.89</v>
      </c>
      <c r="I156" s="41"/>
      <c r="J156" s="41">
        <f>IF(Source!BS89&lt;&gt; 0, Source!BS89, 1)</f>
        <v>33.049999999999997</v>
      </c>
      <c r="K156" s="55">
        <f>Source!R89</f>
        <v>293.72000000000003</v>
      </c>
      <c r="L156" s="43"/>
      <c r="R156">
        <f>H156</f>
        <v>8.89</v>
      </c>
    </row>
    <row r="157" spans="1:26" ht="14.25">
      <c r="A157" s="23"/>
      <c r="B157" s="57"/>
      <c r="C157" s="57" t="s">
        <v>673</v>
      </c>
      <c r="D157" s="39"/>
      <c r="E157" s="10"/>
      <c r="F157" s="40">
        <f>Source!AL89</f>
        <v>6356.64</v>
      </c>
      <c r="G157" s="41" t="str">
        <f>Source!DD89</f>
        <v/>
      </c>
      <c r="H157" s="42">
        <f>ROUND(Source!AC89*Source!I89, 2)</f>
        <v>5771.83</v>
      </c>
      <c r="I157" s="41"/>
      <c r="J157" s="41">
        <f>IF(Source!BC89&lt;&gt; 0, Source!BC89, 1)</f>
        <v>6.54</v>
      </c>
      <c r="K157" s="42">
        <f>Source!P89</f>
        <v>37747.760000000002</v>
      </c>
      <c r="L157" s="43"/>
    </row>
    <row r="158" spans="1:26" ht="14.25">
      <c r="A158" s="23"/>
      <c r="B158" s="57"/>
      <c r="C158" s="57" t="s">
        <v>667</v>
      </c>
      <c r="D158" s="39" t="s">
        <v>668</v>
      </c>
      <c r="E158" s="10">
        <f>Source!BZ89</f>
        <v>123</v>
      </c>
      <c r="F158" s="69" t="str">
        <f>CONCATENATE(" )", Source!DL89, Source!FT89, "=", Source!FX89)</f>
        <v xml:space="preserve"> )*0,9=110,7</v>
      </c>
      <c r="G158" s="70"/>
      <c r="H158" s="42">
        <f>SUM(S152:S160)</f>
        <v>608.54</v>
      </c>
      <c r="I158" s="44"/>
      <c r="J158" s="38">
        <f>Source!AT89</f>
        <v>111</v>
      </c>
      <c r="K158" s="42">
        <f>SUM(T152:T160)</f>
        <v>20166.759999999998</v>
      </c>
      <c r="L158" s="43"/>
    </row>
    <row r="159" spans="1:26" ht="14.25">
      <c r="A159" s="23"/>
      <c r="B159" s="57"/>
      <c r="C159" s="57" t="s">
        <v>669</v>
      </c>
      <c r="D159" s="39" t="s">
        <v>668</v>
      </c>
      <c r="E159" s="10">
        <f>Source!CA89</f>
        <v>75</v>
      </c>
      <c r="F159" s="69" t="str">
        <f>CONCATENATE(" )", Source!DM89, Source!FU89, "=", Source!FY89)</f>
        <v xml:space="preserve"> )*0,85=63,75</v>
      </c>
      <c r="G159" s="70"/>
      <c r="H159" s="42">
        <f>SUM(U152:U160)</f>
        <v>350.45</v>
      </c>
      <c r="I159" s="44"/>
      <c r="J159" s="38">
        <f>Source!AU89</f>
        <v>64</v>
      </c>
      <c r="K159" s="42">
        <f>SUM(V152:V160)</f>
        <v>11627.68</v>
      </c>
      <c r="L159" s="43"/>
    </row>
    <row r="160" spans="1:26" ht="14.25">
      <c r="A160" s="58"/>
      <c r="B160" s="59"/>
      <c r="C160" s="59" t="s">
        <v>670</v>
      </c>
      <c r="D160" s="46" t="s">
        <v>671</v>
      </c>
      <c r="E160" s="47">
        <f>Source!AQ89</f>
        <v>60.72</v>
      </c>
      <c r="F160" s="48"/>
      <c r="G160" s="51" t="str">
        <f>Source!DI89</f>
        <v>)*1,15</v>
      </c>
      <c r="H160" s="50"/>
      <c r="I160" s="51"/>
      <c r="J160" s="51"/>
      <c r="K160" s="50"/>
      <c r="L160" s="54">
        <f>Source!U89</f>
        <v>63.403823999999993</v>
      </c>
    </row>
    <row r="161" spans="1:26" ht="15">
      <c r="G161" s="68">
        <f>H154+H155+H157+H158+H159</f>
        <v>7382.63</v>
      </c>
      <c r="H161" s="68"/>
      <c r="J161" s="68">
        <f>K154+K155+K157+K158+K159</f>
        <v>88699.66</v>
      </c>
      <c r="K161" s="68"/>
      <c r="L161" s="53">
        <f>Source!U89</f>
        <v>63.403823999999993</v>
      </c>
      <c r="O161" s="32">
        <f>G161</f>
        <v>7382.63</v>
      </c>
      <c r="P161" s="32">
        <f>J161</f>
        <v>88699.66</v>
      </c>
      <c r="Q161" s="32">
        <f>L161</f>
        <v>63.403823999999993</v>
      </c>
      <c r="W161">
        <f>IF(Source!BI89&lt;=1,H154+H155+H157+H158+H159, 0)</f>
        <v>7382.63</v>
      </c>
      <c r="X161">
        <f>IF(Source!BI89=2,H154+H155+H157+H158+H159, 0)</f>
        <v>0</v>
      </c>
      <c r="Y161">
        <f>IF(Source!BI89=3,H154+H155+H157+H158+H159, 0)</f>
        <v>0</v>
      </c>
      <c r="Z161">
        <f>IF(Source!BI89=4,H154+H155+H157+H158+H159, 0)</f>
        <v>0</v>
      </c>
    </row>
    <row r="162" spans="1:26" ht="42.75">
      <c r="A162" s="23" t="str">
        <f>Source!E90</f>
        <v>10</v>
      </c>
      <c r="B162" s="57" t="str">
        <f>Source!F90</f>
        <v>11-01-053-2</v>
      </c>
      <c r="C162" s="57" t="str">
        <f>Source!G90</f>
        <v>Устройство оснований полов из фанеры в один слой площадью свыше 20 м2</v>
      </c>
      <c r="D162" s="39" t="str">
        <f>Source!H90</f>
        <v>100 м2 пола</v>
      </c>
      <c r="E162" s="10">
        <f>Source!I90</f>
        <v>0.90800000000000003</v>
      </c>
      <c r="F162" s="40">
        <f>Source!AL90+Source!AM90+Source!AO90</f>
        <v>6214.5300000000007</v>
      </c>
      <c r="G162" s="41"/>
      <c r="H162" s="42"/>
      <c r="I162" s="41" t="str">
        <f>Source!BO90</f>
        <v>11-01-053-2</v>
      </c>
      <c r="J162" s="41"/>
      <c r="K162" s="42"/>
      <c r="L162" s="43"/>
      <c r="S162">
        <f>ROUND((Source!FX90/100)*((ROUND(Source!AF90*Source!I90, 2)+ROUND(Source!AE90*Source!I90, 2))), 2)</f>
        <v>379.9</v>
      </c>
      <c r="T162">
        <f>Source!X90</f>
        <v>12589.63</v>
      </c>
      <c r="U162">
        <f>ROUND((Source!FY90/100)*((ROUND(Source!AF90*Source!I90, 2)+ROUND(Source!AE90*Source!I90, 2))), 2)</f>
        <v>218.78</v>
      </c>
      <c r="V162">
        <f>Source!Y90</f>
        <v>7258.89</v>
      </c>
    </row>
    <row r="163" spans="1:26">
      <c r="C163" s="31" t="str">
        <f>"Объем: "&amp;Source!I90&amp;"=90,8/"&amp;"100"</f>
        <v>Объем: 0,908=90,8/100</v>
      </c>
    </row>
    <row r="164" spans="1:26" ht="14.25">
      <c r="A164" s="23"/>
      <c r="B164" s="57"/>
      <c r="C164" s="57" t="s">
        <v>666</v>
      </c>
      <c r="D164" s="39"/>
      <c r="E164" s="10"/>
      <c r="F164" s="40">
        <f>Source!AO90</f>
        <v>255.39</v>
      </c>
      <c r="G164" s="41" t="str">
        <f>Source!DG90</f>
        <v>*1,15</v>
      </c>
      <c r="H164" s="42">
        <f>ROUND(Source!AF90*Source!I90, 2)</f>
        <v>266.68</v>
      </c>
      <c r="I164" s="41"/>
      <c r="J164" s="41">
        <f>IF(Source!BA90&lt;&gt; 0, Source!BA90, 1)</f>
        <v>33.049999999999997</v>
      </c>
      <c r="K164" s="42">
        <f>Source!S90</f>
        <v>8813.7199999999993</v>
      </c>
      <c r="L164" s="43"/>
      <c r="R164">
        <f>H164</f>
        <v>266.68</v>
      </c>
    </row>
    <row r="165" spans="1:26" ht="14.25">
      <c r="A165" s="23"/>
      <c r="B165" s="57"/>
      <c r="C165" s="57" t="s">
        <v>87</v>
      </c>
      <c r="D165" s="39"/>
      <c r="E165" s="10"/>
      <c r="F165" s="40">
        <f>Source!AM90</f>
        <v>375.46</v>
      </c>
      <c r="G165" s="41" t="str">
        <f>Source!DE90</f>
        <v>*1,25</v>
      </c>
      <c r="H165" s="42">
        <f>ROUND(Source!AD90*Source!I90, 2)</f>
        <v>426.15</v>
      </c>
      <c r="I165" s="41"/>
      <c r="J165" s="41">
        <f>IF(Source!BB90&lt;&gt; 0, Source!BB90, 1)</f>
        <v>10.86</v>
      </c>
      <c r="K165" s="42">
        <f>Source!Q90</f>
        <v>4627.96</v>
      </c>
      <c r="L165" s="43"/>
    </row>
    <row r="166" spans="1:26" ht="14.25">
      <c r="A166" s="23"/>
      <c r="B166" s="57"/>
      <c r="C166" s="57" t="s">
        <v>672</v>
      </c>
      <c r="D166" s="39"/>
      <c r="E166" s="10"/>
      <c r="F166" s="40">
        <f>Source!AN90</f>
        <v>67.400000000000006</v>
      </c>
      <c r="G166" s="41" t="str">
        <f>Source!DF90</f>
        <v>*1,25</v>
      </c>
      <c r="H166" s="55">
        <f>ROUND(Source!AE90*Source!I90, 2)</f>
        <v>76.5</v>
      </c>
      <c r="I166" s="41"/>
      <c r="J166" s="41">
        <f>IF(Source!BS90&lt;&gt; 0, Source!BS90, 1)</f>
        <v>33.049999999999997</v>
      </c>
      <c r="K166" s="55">
        <f>Source!R90</f>
        <v>2528.29</v>
      </c>
      <c r="L166" s="43"/>
      <c r="R166">
        <f>H166</f>
        <v>76.5</v>
      </c>
    </row>
    <row r="167" spans="1:26" ht="14.25">
      <c r="A167" s="23"/>
      <c r="B167" s="57"/>
      <c r="C167" s="57" t="s">
        <v>673</v>
      </c>
      <c r="D167" s="39"/>
      <c r="E167" s="10"/>
      <c r="F167" s="40">
        <f>Source!AL90</f>
        <v>5583.68</v>
      </c>
      <c r="G167" s="41" t="str">
        <f>Source!DD90</f>
        <v/>
      </c>
      <c r="H167" s="42">
        <f>ROUND(Source!AC90*Source!I90, 2)</f>
        <v>5069.9799999999996</v>
      </c>
      <c r="I167" s="41"/>
      <c r="J167" s="41">
        <f>IF(Source!BC90&lt;&gt; 0, Source!BC90, 1)</f>
        <v>5.87</v>
      </c>
      <c r="K167" s="42">
        <f>Source!P90</f>
        <v>29760.79</v>
      </c>
      <c r="L167" s="43"/>
    </row>
    <row r="168" spans="1:26" ht="14.25">
      <c r="A168" s="23"/>
      <c r="B168" s="57"/>
      <c r="C168" s="57" t="s">
        <v>667</v>
      </c>
      <c r="D168" s="39" t="s">
        <v>668</v>
      </c>
      <c r="E168" s="10">
        <f>Source!BZ90</f>
        <v>123</v>
      </c>
      <c r="F168" s="69" t="str">
        <f>CONCATENATE(" )", Source!DL90, Source!FT90, "=", Source!FX90)</f>
        <v xml:space="preserve"> )*0,9=110,7</v>
      </c>
      <c r="G168" s="70"/>
      <c r="H168" s="42">
        <f>SUM(S162:S170)</f>
        <v>379.9</v>
      </c>
      <c r="I168" s="44"/>
      <c r="J168" s="38">
        <f>Source!AT90</f>
        <v>111</v>
      </c>
      <c r="K168" s="42">
        <f>SUM(T162:T170)</f>
        <v>12589.63</v>
      </c>
      <c r="L168" s="43"/>
    </row>
    <row r="169" spans="1:26" ht="14.25">
      <c r="A169" s="23"/>
      <c r="B169" s="57"/>
      <c r="C169" s="57" t="s">
        <v>669</v>
      </c>
      <c r="D169" s="39" t="s">
        <v>668</v>
      </c>
      <c r="E169" s="10">
        <f>Source!CA90</f>
        <v>75</v>
      </c>
      <c r="F169" s="69" t="str">
        <f>CONCATENATE(" )", Source!DM90, Source!FU90, "=", Source!FY90)</f>
        <v xml:space="preserve"> )*0,85=63,75</v>
      </c>
      <c r="G169" s="70"/>
      <c r="H169" s="42">
        <f>SUM(U162:U170)</f>
        <v>218.78</v>
      </c>
      <c r="I169" s="44"/>
      <c r="J169" s="38">
        <f>Source!AU90</f>
        <v>64</v>
      </c>
      <c r="K169" s="42">
        <f>SUM(V162:V170)</f>
        <v>7258.89</v>
      </c>
      <c r="L169" s="43"/>
    </row>
    <row r="170" spans="1:26" ht="14.25">
      <c r="A170" s="58"/>
      <c r="B170" s="59"/>
      <c r="C170" s="59" t="s">
        <v>670</v>
      </c>
      <c r="D170" s="46" t="s">
        <v>671</v>
      </c>
      <c r="E170" s="47">
        <f>Source!AQ90</f>
        <v>31.26</v>
      </c>
      <c r="F170" s="48"/>
      <c r="G170" s="51" t="str">
        <f>Source!DI90</f>
        <v>*1,15</v>
      </c>
      <c r="H170" s="50"/>
      <c r="I170" s="51"/>
      <c r="J170" s="51"/>
      <c r="K170" s="50"/>
      <c r="L170" s="54">
        <f>Source!U90</f>
        <v>32.641691999999999</v>
      </c>
    </row>
    <row r="171" spans="1:26" ht="15">
      <c r="G171" s="68">
        <f>H164+H165+H167+H168+H169</f>
        <v>6361.4899999999989</v>
      </c>
      <c r="H171" s="68"/>
      <c r="J171" s="68">
        <f>K164+K165+K167+K168+K169</f>
        <v>63050.99</v>
      </c>
      <c r="K171" s="68"/>
      <c r="L171" s="53">
        <f>Source!U90</f>
        <v>32.641691999999999</v>
      </c>
      <c r="O171" s="32">
        <f>G171</f>
        <v>6361.4899999999989</v>
      </c>
      <c r="P171" s="32">
        <f>J171</f>
        <v>63050.99</v>
      </c>
      <c r="Q171" s="32">
        <f>L171</f>
        <v>32.641691999999999</v>
      </c>
      <c r="W171">
        <f>IF(Source!BI90&lt;=1,H164+H165+H167+H168+H169, 0)</f>
        <v>6361.4899999999989</v>
      </c>
      <c r="X171">
        <f>IF(Source!BI90=2,H164+H165+H167+H168+H169, 0)</f>
        <v>0</v>
      </c>
      <c r="Y171">
        <f>IF(Source!BI90=3,H164+H165+H167+H168+H169, 0)</f>
        <v>0</v>
      </c>
      <c r="Z171">
        <f>IF(Source!BI90=4,H164+H165+H167+H168+H169, 0)</f>
        <v>0</v>
      </c>
    </row>
    <row r="172" spans="1:26" ht="42.75">
      <c r="A172" s="23" t="str">
        <f>Source!E91</f>
        <v>11</v>
      </c>
      <c r="B172" s="57" t="str">
        <f>Source!F91</f>
        <v>11-01-057-1</v>
      </c>
      <c r="C172" s="57" t="str">
        <f>Source!G91</f>
        <v>Устройство гетерогенного и гомогенного покрытия на клее со свариванием полотнищ в стыках</v>
      </c>
      <c r="D172" s="39" t="str">
        <f>Source!H91</f>
        <v>100 м2</v>
      </c>
      <c r="E172" s="10">
        <f>Source!I91</f>
        <v>0.90800000000000003</v>
      </c>
      <c r="F172" s="40">
        <f>Source!AL91+Source!AM91+Source!AO91</f>
        <v>1180.5999999999999</v>
      </c>
      <c r="G172" s="41"/>
      <c r="H172" s="42"/>
      <c r="I172" s="41" t="str">
        <f>Source!BO91</f>
        <v>11-01-057-1</v>
      </c>
      <c r="J172" s="41"/>
      <c r="K172" s="42"/>
      <c r="L172" s="43"/>
      <c r="S172">
        <f>ROUND((Source!FX91/100)*((ROUND(Source!AF91*Source!I91, 2)+ROUND(Source!AE91*Source!I91, 2))), 2)</f>
        <v>388.6</v>
      </c>
      <c r="T172">
        <f>Source!X91</f>
        <v>12878.15</v>
      </c>
      <c r="U172">
        <f>ROUND((Source!FY91/100)*((ROUND(Source!AF91*Source!I91, 2)+ROUND(Source!AE91*Source!I91, 2))), 2)</f>
        <v>223.79</v>
      </c>
      <c r="V172">
        <f>Source!Y91</f>
        <v>7425.24</v>
      </c>
    </row>
    <row r="173" spans="1:26">
      <c r="C173" s="31" t="str">
        <f>"Объем: "&amp;Source!I91&amp;"=90,8/"&amp;"100"</f>
        <v>Объем: 0,908=90,8/100</v>
      </c>
    </row>
    <row r="174" spans="1:26" ht="14.25">
      <c r="A174" s="23"/>
      <c r="B174" s="57"/>
      <c r="C174" s="57" t="s">
        <v>666</v>
      </c>
      <c r="D174" s="39"/>
      <c r="E174" s="10"/>
      <c r="F174" s="40">
        <f>Source!AO91</f>
        <v>386.07</v>
      </c>
      <c r="G174" s="41" t="str">
        <f>Source!DG91</f>
        <v/>
      </c>
      <c r="H174" s="42">
        <f>ROUND(Source!AF91*Source!I91, 2)</f>
        <v>350.55</v>
      </c>
      <c r="I174" s="41"/>
      <c r="J174" s="41">
        <f>IF(Source!BA91&lt;&gt; 0, Source!BA91, 1)</f>
        <v>33.049999999999997</v>
      </c>
      <c r="K174" s="42">
        <f>Source!S91</f>
        <v>11585.73</v>
      </c>
      <c r="L174" s="43"/>
      <c r="R174">
        <f>H174</f>
        <v>350.55</v>
      </c>
    </row>
    <row r="175" spans="1:26" ht="14.25">
      <c r="A175" s="23"/>
      <c r="B175" s="57"/>
      <c r="C175" s="57" t="s">
        <v>87</v>
      </c>
      <c r="D175" s="39"/>
      <c r="E175" s="10"/>
      <c r="F175" s="40">
        <f>Source!AM91</f>
        <v>5.77</v>
      </c>
      <c r="G175" s="41" t="str">
        <f>Source!DE91</f>
        <v/>
      </c>
      <c r="H175" s="42">
        <f>ROUND(Source!AD91*Source!I91, 2)</f>
        <v>5.24</v>
      </c>
      <c r="I175" s="41"/>
      <c r="J175" s="41">
        <f>IF(Source!BB91&lt;&gt; 0, Source!BB91, 1)</f>
        <v>9.84</v>
      </c>
      <c r="K175" s="42">
        <f>Source!Q91</f>
        <v>51.55</v>
      </c>
      <c r="L175" s="43"/>
    </row>
    <row r="176" spans="1:26" ht="14.25">
      <c r="A176" s="23"/>
      <c r="B176" s="57"/>
      <c r="C176" s="57" t="s">
        <v>672</v>
      </c>
      <c r="D176" s="39"/>
      <c r="E176" s="10"/>
      <c r="F176" s="40">
        <f>Source!AN91</f>
        <v>0.54</v>
      </c>
      <c r="G176" s="41" t="str">
        <f>Source!DF91</f>
        <v/>
      </c>
      <c r="H176" s="55">
        <f>ROUND(Source!AE91*Source!I91, 2)</f>
        <v>0.49</v>
      </c>
      <c r="I176" s="41"/>
      <c r="J176" s="41">
        <f>IF(Source!BS91&lt;&gt; 0, Source!BS91, 1)</f>
        <v>33.049999999999997</v>
      </c>
      <c r="K176" s="55">
        <f>Source!R91</f>
        <v>16.21</v>
      </c>
      <c r="L176" s="43"/>
      <c r="R176">
        <f>H176</f>
        <v>0.49</v>
      </c>
    </row>
    <row r="177" spans="1:26" ht="14.25">
      <c r="A177" s="23"/>
      <c r="B177" s="57"/>
      <c r="C177" s="57" t="s">
        <v>673</v>
      </c>
      <c r="D177" s="39"/>
      <c r="E177" s="10"/>
      <c r="F177" s="40">
        <f>Source!AL91</f>
        <v>788.76</v>
      </c>
      <c r="G177" s="41" t="str">
        <f>Source!DD91</f>
        <v/>
      </c>
      <c r="H177" s="42">
        <f>ROUND(Source!AC91*Source!I91, 2)</f>
        <v>716.19</v>
      </c>
      <c r="I177" s="41"/>
      <c r="J177" s="41">
        <f>IF(Source!BC91&lt;&gt; 0, Source!BC91, 1)</f>
        <v>7.57</v>
      </c>
      <c r="K177" s="42">
        <f>Source!P91</f>
        <v>5421.59</v>
      </c>
      <c r="L177" s="43"/>
    </row>
    <row r="178" spans="1:26" ht="14.25">
      <c r="A178" s="23"/>
      <c r="B178" s="57"/>
      <c r="C178" s="57" t="s">
        <v>667</v>
      </c>
      <c r="D178" s="39" t="s">
        <v>668</v>
      </c>
      <c r="E178" s="10">
        <f>Source!BZ91</f>
        <v>123</v>
      </c>
      <c r="F178" s="69" t="str">
        <f>CONCATENATE(" )", Source!DL91, Source!FT91, "=", Source!FX91)</f>
        <v xml:space="preserve"> )*0,9=110,7</v>
      </c>
      <c r="G178" s="70"/>
      <c r="H178" s="42">
        <f>SUM(S172:S182)</f>
        <v>388.6</v>
      </c>
      <c r="I178" s="44"/>
      <c r="J178" s="38">
        <f>Source!AT91</f>
        <v>111</v>
      </c>
      <c r="K178" s="42">
        <f>SUM(T172:T182)</f>
        <v>12878.15</v>
      </c>
      <c r="L178" s="43"/>
    </row>
    <row r="179" spans="1:26" ht="14.25">
      <c r="A179" s="23"/>
      <c r="B179" s="57"/>
      <c r="C179" s="57" t="s">
        <v>669</v>
      </c>
      <c r="D179" s="39" t="s">
        <v>668</v>
      </c>
      <c r="E179" s="10">
        <f>Source!CA91</f>
        <v>75</v>
      </c>
      <c r="F179" s="69" t="str">
        <f>CONCATENATE(" )", Source!DM91, Source!FU91, "=", Source!FY91)</f>
        <v xml:space="preserve"> )*0,85=63,75</v>
      </c>
      <c r="G179" s="70"/>
      <c r="H179" s="42">
        <f>SUM(U172:U182)</f>
        <v>223.79</v>
      </c>
      <c r="I179" s="44"/>
      <c r="J179" s="38">
        <f>Source!AU91</f>
        <v>64</v>
      </c>
      <c r="K179" s="42">
        <f>SUM(V172:V182)</f>
        <v>7425.24</v>
      </c>
      <c r="L179" s="43"/>
    </row>
    <row r="180" spans="1:26" ht="14.25">
      <c r="A180" s="23"/>
      <c r="B180" s="57"/>
      <c r="C180" s="57" t="s">
        <v>670</v>
      </c>
      <c r="D180" s="39" t="s">
        <v>671</v>
      </c>
      <c r="E180" s="10">
        <f>Source!AQ91</f>
        <v>45.26</v>
      </c>
      <c r="F180" s="40"/>
      <c r="G180" s="41" t="str">
        <f>Source!DI91</f>
        <v/>
      </c>
      <c r="H180" s="42"/>
      <c r="I180" s="41"/>
      <c r="J180" s="41"/>
      <c r="K180" s="42"/>
      <c r="L180" s="45">
        <f>Source!U91</f>
        <v>41.096080000000001</v>
      </c>
    </row>
    <row r="181" spans="1:26" ht="71.25">
      <c r="A181" s="23" t="str">
        <f>Source!E92</f>
        <v>11,1</v>
      </c>
      <c r="B181" s="57" t="str">
        <f>Source!F92</f>
        <v>101-7181</v>
      </c>
      <c r="C181" s="57" t="str">
        <f>Source!G92</f>
        <v>Линолеум спортивный гетерогенный "ТАРКЕТТ OMNISPORTS SPEED" (толщина 3,45 мм, толщина защитного слоя 0,65 мм, пож. безопасность Г1, В2, РП1, Д2, Т2)</v>
      </c>
      <c r="D181" s="39" t="str">
        <f>Source!H92</f>
        <v>м2</v>
      </c>
      <c r="E181" s="10">
        <f>Source!I92</f>
        <v>90.8</v>
      </c>
      <c r="F181" s="40">
        <f>Source!AL92+Source!AM92+Source!AO92</f>
        <v>186.05</v>
      </c>
      <c r="G181" s="56" t="s">
        <v>3</v>
      </c>
      <c r="H181" s="42">
        <f>ROUND(Source!AC92*Source!I92, 2)+ROUND(Source!AD92*Source!I92, 2)+ROUND(Source!AF92*Source!I92, 2)</f>
        <v>16893.34</v>
      </c>
      <c r="I181" s="41"/>
      <c r="J181" s="41">
        <f>IF(Source!BC92&lt;&gt; 0, Source!BC92, 1)</f>
        <v>4.1100000000000003</v>
      </c>
      <c r="K181" s="42">
        <f>Source!O92</f>
        <v>69431.63</v>
      </c>
      <c r="L181" s="43"/>
      <c r="S181">
        <f>ROUND((Source!FX92/100)*((ROUND(Source!AF92*Source!I92, 2)+ROUND(Source!AE92*Source!I92, 2))), 2)</f>
        <v>0</v>
      </c>
      <c r="T181">
        <f>Source!X92</f>
        <v>0</v>
      </c>
      <c r="U181">
        <f>ROUND((Source!FY92/100)*((ROUND(Source!AF92*Source!I92, 2)+ROUND(Source!AE92*Source!I92, 2))), 2)</f>
        <v>0</v>
      </c>
      <c r="V181">
        <f>Source!Y92</f>
        <v>0</v>
      </c>
      <c r="W181">
        <f>IF(Source!BI92&lt;=1,H181, 0)</f>
        <v>16893.34</v>
      </c>
      <c r="X181">
        <f>IF(Source!BI92=2,H181, 0)</f>
        <v>0</v>
      </c>
      <c r="Y181">
        <f>IF(Source!BI92=3,H181, 0)</f>
        <v>0</v>
      </c>
      <c r="Z181">
        <f>IF(Source!BI92=4,H181, 0)</f>
        <v>0</v>
      </c>
    </row>
    <row r="182" spans="1:26" ht="14.25">
      <c r="A182" s="58" t="str">
        <f>Source!E93</f>
        <v>11,2</v>
      </c>
      <c r="B182" s="59" t="str">
        <f>Source!F93</f>
        <v>101-9877</v>
      </c>
      <c r="C182" s="59" t="str">
        <f>Source!G93</f>
        <v>Линолеум без подосновы</v>
      </c>
      <c r="D182" s="46" t="str">
        <f>Source!H93</f>
        <v>м2</v>
      </c>
      <c r="E182" s="47">
        <f>Source!I93</f>
        <v>92.616</v>
      </c>
      <c r="F182" s="48">
        <f>Source!AL93+Source!AM93+Source!AO93</f>
        <v>0</v>
      </c>
      <c r="G182" s="49" t="s">
        <v>3</v>
      </c>
      <c r="H182" s="50">
        <f>ROUND(Source!AC93*Source!I93, 2)+ROUND(Source!AD93*Source!I93, 2)+ROUND(Source!AF93*Source!I93, 2)</f>
        <v>0</v>
      </c>
      <c r="I182" s="51"/>
      <c r="J182" s="51">
        <f>IF(Source!BC93&lt;&gt; 0, Source!BC93, 1)</f>
        <v>1</v>
      </c>
      <c r="K182" s="50">
        <f>Source!O93</f>
        <v>0</v>
      </c>
      <c r="L182" s="52"/>
      <c r="S182">
        <f>ROUND((Source!FX93/100)*((ROUND(Source!AF93*Source!I93, 2)+ROUND(Source!AE93*Source!I93, 2))), 2)</f>
        <v>0</v>
      </c>
      <c r="T182">
        <f>Source!X93</f>
        <v>0</v>
      </c>
      <c r="U182">
        <f>ROUND((Source!FY93/100)*((ROUND(Source!AF93*Source!I93, 2)+ROUND(Source!AE93*Source!I93, 2))), 2)</f>
        <v>0</v>
      </c>
      <c r="V182">
        <f>Source!Y93</f>
        <v>0</v>
      </c>
      <c r="W182">
        <f>IF(Source!BI93&lt;=1,H182, 0)</f>
        <v>0</v>
      </c>
      <c r="X182">
        <f>IF(Source!BI93=2,H182, 0)</f>
        <v>0</v>
      </c>
      <c r="Y182">
        <f>IF(Source!BI93=3,H182, 0)</f>
        <v>0</v>
      </c>
      <c r="Z182">
        <f>IF(Source!BI93=4,H182, 0)</f>
        <v>0</v>
      </c>
    </row>
    <row r="183" spans="1:26" ht="15">
      <c r="G183" s="68">
        <f>H174+H175+H177+H178+H179+SUM(H181:H182)</f>
        <v>18577.71</v>
      </c>
      <c r="H183" s="68"/>
      <c r="J183" s="68">
        <f>K174+K175+K177+K178+K179+SUM(K181:K182)</f>
        <v>106793.89</v>
      </c>
      <c r="K183" s="68"/>
      <c r="L183" s="53">
        <f>Source!U91</f>
        <v>41.096080000000001</v>
      </c>
      <c r="O183" s="32">
        <f>G183</f>
        <v>18577.71</v>
      </c>
      <c r="P183" s="32">
        <f>J183</f>
        <v>106793.89</v>
      </c>
      <c r="Q183" s="32">
        <f>L183</f>
        <v>41.096080000000001</v>
      </c>
      <c r="W183">
        <f>IF(Source!BI91&lt;=1,H174+H175+H177+H178+H179, 0)</f>
        <v>1684.37</v>
      </c>
      <c r="X183">
        <f>IF(Source!BI91=2,H174+H175+H177+H178+H179, 0)</f>
        <v>0</v>
      </c>
      <c r="Y183">
        <f>IF(Source!BI91=3,H174+H175+H177+H178+H179, 0)</f>
        <v>0</v>
      </c>
      <c r="Z183">
        <f>IF(Source!BI91=4,H174+H175+H177+H178+H179, 0)</f>
        <v>0</v>
      </c>
    </row>
    <row r="184" spans="1:26" ht="42.75">
      <c r="A184" s="23" t="str">
        <f>Source!E94</f>
        <v>13</v>
      </c>
      <c r="B184" s="57" t="str">
        <f>Source!F94</f>
        <v>11-01-040-1</v>
      </c>
      <c r="C184" s="57" t="str">
        <f>Source!G94</f>
        <v>Устройство плинтусов поливинилхлоридных на клее КН-2</v>
      </c>
      <c r="D184" s="39" t="str">
        <f>Source!H94</f>
        <v>100 М ПЛИНТУСА</v>
      </c>
      <c r="E184" s="10">
        <f>Source!I94</f>
        <v>0.45</v>
      </c>
      <c r="F184" s="40">
        <f>Source!AL94+Source!AM94+Source!AO94</f>
        <v>1375.6599999999999</v>
      </c>
      <c r="G184" s="41"/>
      <c r="H184" s="42"/>
      <c r="I184" s="41" t="str">
        <f>Source!BO94</f>
        <v>11-01-040-1</v>
      </c>
      <c r="J184" s="41"/>
      <c r="K184" s="42"/>
      <c r="L184" s="43"/>
      <c r="S184">
        <f>ROUND((Source!FX94/100)*((ROUND(Source!AF94*Source!I94, 2)+ROUND(Source!AE94*Source!I94, 2))), 2)</f>
        <v>50.27</v>
      </c>
      <c r="T184">
        <f>Source!X94</f>
        <v>1665.72</v>
      </c>
      <c r="U184">
        <f>ROUND((Source!FY94/100)*((ROUND(Source!AF94*Source!I94, 2)+ROUND(Source!AE94*Source!I94, 2))), 2)</f>
        <v>28.95</v>
      </c>
      <c r="V184">
        <f>Source!Y94</f>
        <v>960.42</v>
      </c>
    </row>
    <row r="185" spans="1:26">
      <c r="C185" s="31" t="str">
        <f>"Объем: "&amp;Source!I94&amp;"=45/"&amp;"100"</f>
        <v>Объем: 0,45=45/100</v>
      </c>
    </row>
    <row r="186" spans="1:26" ht="14.25">
      <c r="A186" s="23"/>
      <c r="B186" s="57"/>
      <c r="C186" s="57" t="s">
        <v>666</v>
      </c>
      <c r="D186" s="39"/>
      <c r="E186" s="10"/>
      <c r="F186" s="40">
        <f>Source!AO94</f>
        <v>87.74</v>
      </c>
      <c r="G186" s="41" t="str">
        <f>Source!DG94</f>
        <v>*1,15</v>
      </c>
      <c r="H186" s="42">
        <f>ROUND(Source!AF94*Source!I94, 2)</f>
        <v>45.41</v>
      </c>
      <c r="I186" s="41"/>
      <c r="J186" s="41">
        <f>IF(Source!BA94&lt;&gt; 0, Source!BA94, 1)</f>
        <v>33.049999999999997</v>
      </c>
      <c r="K186" s="42">
        <f>Source!S94</f>
        <v>1500.65</v>
      </c>
      <c r="L186" s="43"/>
      <c r="R186">
        <f>H186</f>
        <v>45.41</v>
      </c>
    </row>
    <row r="187" spans="1:26" ht="14.25">
      <c r="A187" s="23"/>
      <c r="B187" s="57"/>
      <c r="C187" s="57" t="s">
        <v>87</v>
      </c>
      <c r="D187" s="39"/>
      <c r="E187" s="10"/>
      <c r="F187" s="40">
        <f>Source!AM94</f>
        <v>2.62</v>
      </c>
      <c r="G187" s="41" t="str">
        <f>Source!DE94</f>
        <v>*1,25</v>
      </c>
      <c r="H187" s="42">
        <f>ROUND(Source!AD94*Source!I94, 2)</f>
        <v>1.47</v>
      </c>
      <c r="I187" s="41"/>
      <c r="J187" s="41">
        <f>IF(Source!BB94&lt;&gt; 0, Source!BB94, 1)</f>
        <v>10.68</v>
      </c>
      <c r="K187" s="42">
        <f>Source!Q94</f>
        <v>15.74</v>
      </c>
      <c r="L187" s="43"/>
    </row>
    <row r="188" spans="1:26" ht="14.25">
      <c r="A188" s="23"/>
      <c r="B188" s="57"/>
      <c r="C188" s="57" t="s">
        <v>673</v>
      </c>
      <c r="D188" s="39"/>
      <c r="E188" s="10"/>
      <c r="F188" s="40">
        <f>Source!AL94</f>
        <v>1285.3</v>
      </c>
      <c r="G188" s="41" t="str">
        <f>Source!DD94</f>
        <v/>
      </c>
      <c r="H188" s="42">
        <f>ROUND(Source!AC94*Source!I94, 2)</f>
        <v>578.39</v>
      </c>
      <c r="I188" s="41"/>
      <c r="J188" s="41">
        <f>IF(Source!BC94&lt;&gt; 0, Source!BC94, 1)</f>
        <v>2.86</v>
      </c>
      <c r="K188" s="42">
        <f>Source!P94</f>
        <v>1654.18</v>
      </c>
      <c r="L188" s="43"/>
    </row>
    <row r="189" spans="1:26" ht="14.25">
      <c r="A189" s="23"/>
      <c r="B189" s="57"/>
      <c r="C189" s="57" t="s">
        <v>667</v>
      </c>
      <c r="D189" s="39" t="s">
        <v>668</v>
      </c>
      <c r="E189" s="10">
        <f>Source!BZ94</f>
        <v>123</v>
      </c>
      <c r="F189" s="69" t="str">
        <f>CONCATENATE(" )", Source!DL94, Source!FT94, "=", Source!FX94)</f>
        <v xml:space="preserve"> )*0,9=110,7</v>
      </c>
      <c r="G189" s="70"/>
      <c r="H189" s="42">
        <f>SUM(S184:S191)</f>
        <v>50.27</v>
      </c>
      <c r="I189" s="44"/>
      <c r="J189" s="38">
        <f>Source!AT94</f>
        <v>111</v>
      </c>
      <c r="K189" s="42">
        <f>SUM(T184:T191)</f>
        <v>1665.72</v>
      </c>
      <c r="L189" s="43"/>
    </row>
    <row r="190" spans="1:26" ht="14.25">
      <c r="A190" s="23"/>
      <c r="B190" s="57"/>
      <c r="C190" s="57" t="s">
        <v>669</v>
      </c>
      <c r="D190" s="39" t="s">
        <v>668</v>
      </c>
      <c r="E190" s="10">
        <f>Source!CA94</f>
        <v>75</v>
      </c>
      <c r="F190" s="69" t="str">
        <f>CONCATENATE(" )", Source!DM94, Source!FU94, "=", Source!FY94)</f>
        <v xml:space="preserve"> )*0,85=63,75</v>
      </c>
      <c r="G190" s="70"/>
      <c r="H190" s="42">
        <f>SUM(U184:U191)</f>
        <v>28.95</v>
      </c>
      <c r="I190" s="44"/>
      <c r="J190" s="38">
        <f>Source!AU94</f>
        <v>64</v>
      </c>
      <c r="K190" s="42">
        <f>SUM(V184:V191)</f>
        <v>960.42</v>
      </c>
      <c r="L190" s="43"/>
    </row>
    <row r="191" spans="1:26" ht="14.25">
      <c r="A191" s="58"/>
      <c r="B191" s="59"/>
      <c r="C191" s="59" t="s">
        <v>670</v>
      </c>
      <c r="D191" s="46" t="s">
        <v>671</v>
      </c>
      <c r="E191" s="47">
        <f>Source!AQ94</f>
        <v>8.99</v>
      </c>
      <c r="F191" s="48"/>
      <c r="G191" s="51" t="str">
        <f>Source!DI94</f>
        <v>*1,15</v>
      </c>
      <c r="H191" s="50"/>
      <c r="I191" s="51"/>
      <c r="J191" s="51"/>
      <c r="K191" s="50"/>
      <c r="L191" s="54">
        <f>Source!U94</f>
        <v>4.6523250000000003</v>
      </c>
    </row>
    <row r="192" spans="1:26" ht="15">
      <c r="G192" s="68">
        <f>H186+H187+H188+H189+H190</f>
        <v>704.49</v>
      </c>
      <c r="H192" s="68"/>
      <c r="J192" s="68">
        <f>K186+K187+K188+K189+K190</f>
        <v>5796.71</v>
      </c>
      <c r="K192" s="68"/>
      <c r="L192" s="53">
        <f>Source!U94</f>
        <v>4.6523250000000003</v>
      </c>
      <c r="O192" s="32">
        <f>G192</f>
        <v>704.49</v>
      </c>
      <c r="P192" s="32">
        <f>J192</f>
        <v>5796.71</v>
      </c>
      <c r="Q192" s="32">
        <f>L192</f>
        <v>4.6523250000000003</v>
      </c>
      <c r="W192">
        <f>IF(Source!BI94&lt;=1,H186+H187+H188+H189+H190, 0)</f>
        <v>704.49</v>
      </c>
      <c r="X192">
        <f>IF(Source!BI94=2,H186+H187+H188+H189+H190, 0)</f>
        <v>0</v>
      </c>
      <c r="Y192">
        <f>IF(Source!BI94=3,H186+H187+H188+H189+H190, 0)</f>
        <v>0</v>
      </c>
      <c r="Z192">
        <f>IF(Source!BI94=4,H186+H187+H188+H189+H190, 0)</f>
        <v>0</v>
      </c>
    </row>
    <row r="193" spans="1:26" ht="42.75">
      <c r="A193" s="23" t="str">
        <f>Source!E95</f>
        <v>14</v>
      </c>
      <c r="B193" s="57" t="str">
        <f>Source!F95</f>
        <v>09-06-001-3</v>
      </c>
      <c r="C193" s="57" t="str">
        <f>Source!G95</f>
        <v>Монтаж стеллажей и других конструкций, закрепляемых на фундаментах внутри зданий</v>
      </c>
      <c r="D193" s="39" t="str">
        <f>Source!H95</f>
        <v>1 т конструкций</v>
      </c>
      <c r="E193" s="10">
        <f>Source!I95</f>
        <v>0.02</v>
      </c>
      <c r="F193" s="40">
        <f>Source!AL95+Source!AM95+Source!AO95</f>
        <v>974.49</v>
      </c>
      <c r="G193" s="41"/>
      <c r="H193" s="42"/>
      <c r="I193" s="41" t="str">
        <f>Source!BO95</f>
        <v>09-06-001-3</v>
      </c>
      <c r="J193" s="41"/>
      <c r="K193" s="42"/>
      <c r="L193" s="43"/>
      <c r="S193">
        <f>ROUND((Source!FX95/100)*((ROUND(Source!AF95*Source!I95, 2)+ROUND(Source!AE95*Source!I95, 2))), 2)</f>
        <v>16.5</v>
      </c>
      <c r="T193">
        <f>Source!X95</f>
        <v>545.29999999999995</v>
      </c>
      <c r="U193">
        <f>ROUND((Source!FY95/100)*((ROUND(Source!AF95*Source!I95, 2)+ROUND(Source!AE95*Source!I95, 2))), 2)</f>
        <v>14.72</v>
      </c>
      <c r="V193">
        <f>Source!Y95</f>
        <v>484.71</v>
      </c>
    </row>
    <row r="194" spans="1:26" ht="14.25">
      <c r="A194" s="23"/>
      <c r="B194" s="57"/>
      <c r="C194" s="57" t="s">
        <v>666</v>
      </c>
      <c r="D194" s="39"/>
      <c r="E194" s="10"/>
      <c r="F194" s="40">
        <f>Source!AO95</f>
        <v>883.28</v>
      </c>
      <c r="G194" s="41" t="str">
        <f>Source!DG95</f>
        <v>*1,15</v>
      </c>
      <c r="H194" s="42">
        <f>ROUND(Source!AF95*Source!I95, 2)</f>
        <v>20.32</v>
      </c>
      <c r="I194" s="41"/>
      <c r="J194" s="41">
        <f>IF(Source!BA95&lt;&gt; 0, Source!BA95, 1)</f>
        <v>33.049999999999997</v>
      </c>
      <c r="K194" s="42">
        <f>Source!S95</f>
        <v>671.43</v>
      </c>
      <c r="L194" s="43"/>
      <c r="R194">
        <f>H194</f>
        <v>20.32</v>
      </c>
    </row>
    <row r="195" spans="1:26" ht="14.25">
      <c r="A195" s="23"/>
      <c r="B195" s="57"/>
      <c r="C195" s="57" t="s">
        <v>87</v>
      </c>
      <c r="D195" s="39"/>
      <c r="E195" s="10"/>
      <c r="F195" s="40">
        <f>Source!AM95</f>
        <v>91.21</v>
      </c>
      <c r="G195" s="41" t="str">
        <f>Source!DE95</f>
        <v>*1,25</v>
      </c>
      <c r="H195" s="42">
        <f>ROUND(Source!AD95*Source!I95, 2)</f>
        <v>2.2799999999999998</v>
      </c>
      <c r="I195" s="41"/>
      <c r="J195" s="41">
        <f>IF(Source!BB95&lt;&gt; 0, Source!BB95, 1)</f>
        <v>9.0299999999999994</v>
      </c>
      <c r="K195" s="42">
        <f>Source!Q95</f>
        <v>20.59</v>
      </c>
      <c r="L195" s="43"/>
    </row>
    <row r="196" spans="1:26" ht="14.25">
      <c r="A196" s="23"/>
      <c r="B196" s="57"/>
      <c r="C196" s="57" t="s">
        <v>672</v>
      </c>
      <c r="D196" s="39"/>
      <c r="E196" s="10"/>
      <c r="F196" s="40">
        <f>Source!AN95</f>
        <v>2.16</v>
      </c>
      <c r="G196" s="41" t="str">
        <f>Source!DF95</f>
        <v>*1,25</v>
      </c>
      <c r="H196" s="55">
        <f>ROUND(Source!AE95*Source!I95, 2)</f>
        <v>0.05</v>
      </c>
      <c r="I196" s="41"/>
      <c r="J196" s="41">
        <f>IF(Source!BS95&lt;&gt; 0, Source!BS95, 1)</f>
        <v>33.049999999999997</v>
      </c>
      <c r="K196" s="55">
        <f>Source!R95</f>
        <v>1.78</v>
      </c>
      <c r="L196" s="43"/>
      <c r="R196">
        <f>H196</f>
        <v>0.05</v>
      </c>
    </row>
    <row r="197" spans="1:26" ht="14.25">
      <c r="A197" s="23"/>
      <c r="B197" s="57"/>
      <c r="C197" s="57" t="s">
        <v>667</v>
      </c>
      <c r="D197" s="39" t="s">
        <v>668</v>
      </c>
      <c r="E197" s="10">
        <f>Source!BZ95</f>
        <v>90</v>
      </c>
      <c r="F197" s="69" t="str">
        <f>CONCATENATE(" )", Source!DL95, Source!FT95, "=", Source!FX95)</f>
        <v xml:space="preserve"> )*0,9=81</v>
      </c>
      <c r="G197" s="70"/>
      <c r="H197" s="42">
        <f>SUM(S193:S201)</f>
        <v>16.5</v>
      </c>
      <c r="I197" s="44"/>
      <c r="J197" s="38">
        <f>Source!AT95</f>
        <v>81</v>
      </c>
      <c r="K197" s="42">
        <f>SUM(T193:T201)</f>
        <v>545.29999999999995</v>
      </c>
      <c r="L197" s="43"/>
    </row>
    <row r="198" spans="1:26" ht="14.25">
      <c r="A198" s="23"/>
      <c r="B198" s="57"/>
      <c r="C198" s="57" t="s">
        <v>669</v>
      </c>
      <c r="D198" s="39" t="s">
        <v>668</v>
      </c>
      <c r="E198" s="10">
        <f>Source!CA95</f>
        <v>85</v>
      </c>
      <c r="F198" s="69" t="str">
        <f>CONCATENATE(" )", Source!DM95, Source!FU95, "=", Source!FY95)</f>
        <v xml:space="preserve"> )*0,85=72,25</v>
      </c>
      <c r="G198" s="70"/>
      <c r="H198" s="42">
        <f>SUM(U193:U201)</f>
        <v>14.72</v>
      </c>
      <c r="I198" s="44"/>
      <c r="J198" s="38">
        <f>Source!AU95</f>
        <v>72</v>
      </c>
      <c r="K198" s="42">
        <f>SUM(V193:V201)</f>
        <v>484.71</v>
      </c>
      <c r="L198" s="43"/>
    </row>
    <row r="199" spans="1:26" ht="14.25">
      <c r="A199" s="23"/>
      <c r="B199" s="57"/>
      <c r="C199" s="57" t="s">
        <v>670</v>
      </c>
      <c r="D199" s="39" t="s">
        <v>671</v>
      </c>
      <c r="E199" s="10">
        <f>Source!AQ95</f>
        <v>103.55</v>
      </c>
      <c r="F199" s="40"/>
      <c r="G199" s="41" t="str">
        <f>Source!DI95</f>
        <v>*1,15</v>
      </c>
      <c r="H199" s="42"/>
      <c r="I199" s="41"/>
      <c r="J199" s="41"/>
      <c r="K199" s="42"/>
      <c r="L199" s="45">
        <f>Source!U95</f>
        <v>2.3816499999999996</v>
      </c>
    </row>
    <row r="200" spans="1:26" ht="42.75">
      <c r="A200" s="23" t="str">
        <f>Source!E96</f>
        <v>14,1</v>
      </c>
      <c r="B200" s="57" t="str">
        <f>Source!F96</f>
        <v>116-0360</v>
      </c>
      <c r="C200" s="57" t="str">
        <f>Source!G96</f>
        <v>Спортивный комплекс: 3 турника, 3 шведских стенки; размеры 2900х1900х2500 мм</v>
      </c>
      <c r="D200" s="39" t="str">
        <f>Source!H96</f>
        <v>компл.</v>
      </c>
      <c r="E200" s="10">
        <f>Source!I96</f>
        <v>1</v>
      </c>
      <c r="F200" s="40">
        <f>Source!AL96+Source!AM96+Source!AO96</f>
        <v>8473.51</v>
      </c>
      <c r="G200" s="56" t="s">
        <v>3</v>
      </c>
      <c r="H200" s="42">
        <f>ROUND(Source!AC96*Source!I96, 2)+ROUND(Source!AD96*Source!I96, 2)+ROUND(Source!AF96*Source!I96, 2)</f>
        <v>8473.51</v>
      </c>
      <c r="I200" s="41"/>
      <c r="J200" s="41">
        <f>IF(Source!BC96&lt;&gt; 0, Source!BC96, 1)</f>
        <v>5.84</v>
      </c>
      <c r="K200" s="42">
        <f>Source!O96</f>
        <v>49485.3</v>
      </c>
      <c r="L200" s="43"/>
      <c r="S200">
        <f>ROUND((Source!FX96/100)*((ROUND(Source!AF96*Source!I96, 2)+ROUND(Source!AE96*Source!I96, 2))), 2)</f>
        <v>0</v>
      </c>
      <c r="T200">
        <f>Source!X96</f>
        <v>0</v>
      </c>
      <c r="U200">
        <f>ROUND((Source!FY96/100)*((ROUND(Source!AF96*Source!I96, 2)+ROUND(Source!AE96*Source!I96, 2))), 2)</f>
        <v>0</v>
      </c>
      <c r="V200">
        <f>Source!Y96</f>
        <v>0</v>
      </c>
      <c r="W200">
        <f>IF(Source!BI96&lt;=1,H200, 0)</f>
        <v>8473.51</v>
      </c>
      <c r="X200">
        <f>IF(Source!BI96=2,H200, 0)</f>
        <v>0</v>
      </c>
      <c r="Y200">
        <f>IF(Source!BI96=3,H200, 0)</f>
        <v>0</v>
      </c>
      <c r="Z200">
        <f>IF(Source!BI96=4,H200, 0)</f>
        <v>0</v>
      </c>
    </row>
    <row r="201" spans="1:26" ht="28.5">
      <c r="A201" s="58" t="str">
        <f>Source!E97</f>
        <v>14,3</v>
      </c>
      <c r="B201" s="59" t="str">
        <f>Source!F97</f>
        <v>Цена поставщика</v>
      </c>
      <c r="C201" s="59" t="str">
        <f>Source!G97</f>
        <v>Стеллаж для спортивного инвентаря</v>
      </c>
      <c r="D201" s="46" t="str">
        <f>Source!H97</f>
        <v>шт.</v>
      </c>
      <c r="E201" s="47">
        <f>Source!I97</f>
        <v>1</v>
      </c>
      <c r="F201" s="48">
        <f>Source!AL97+Source!AM97+Source!AO97</f>
        <v>15148.89</v>
      </c>
      <c r="G201" s="49" t="s">
        <v>3</v>
      </c>
      <c r="H201" s="50">
        <f>ROUND(Source!AC97*Source!I97, 2)+ROUND(Source!AD97*Source!I97, 2)+ROUND(Source!AF97*Source!I97, 2)</f>
        <v>15148.89</v>
      </c>
      <c r="I201" s="51"/>
      <c r="J201" s="51">
        <f>IF(Source!BC97&lt;&gt; 0, Source!BC97, 1)</f>
        <v>1</v>
      </c>
      <c r="K201" s="50">
        <f>Source!O97</f>
        <v>15148.89</v>
      </c>
      <c r="L201" s="52"/>
      <c r="S201">
        <f>ROUND((Source!FX97/100)*((ROUND(Source!AF97*Source!I97, 2)+ROUND(Source!AE97*Source!I97, 2))), 2)</f>
        <v>0</v>
      </c>
      <c r="T201">
        <f>Source!X97</f>
        <v>0</v>
      </c>
      <c r="U201">
        <f>ROUND((Source!FY97/100)*((ROUND(Source!AF97*Source!I97, 2)+ROUND(Source!AE97*Source!I97, 2))), 2)</f>
        <v>0</v>
      </c>
      <c r="V201">
        <f>Source!Y97</f>
        <v>0</v>
      </c>
      <c r="W201">
        <f>IF(Source!BI97&lt;=1,H201, 0)</f>
        <v>15148.89</v>
      </c>
      <c r="X201">
        <f>IF(Source!BI97=2,H201, 0)</f>
        <v>0</v>
      </c>
      <c r="Y201">
        <f>IF(Source!BI97=3,H201, 0)</f>
        <v>0</v>
      </c>
      <c r="Z201">
        <f>IF(Source!BI97=4,H201, 0)</f>
        <v>0</v>
      </c>
    </row>
    <row r="202" spans="1:26" ht="15">
      <c r="G202" s="68">
        <f>H194+H195+H197+H198+SUM(H200:H201)</f>
        <v>23676.22</v>
      </c>
      <c r="H202" s="68"/>
      <c r="J202" s="68">
        <f>K194+K195+K197+K198+SUM(K200:K201)</f>
        <v>66356.22</v>
      </c>
      <c r="K202" s="68"/>
      <c r="L202" s="53">
        <f>Source!U95</f>
        <v>2.3816499999999996</v>
      </c>
      <c r="O202" s="32">
        <f>G202</f>
        <v>23676.22</v>
      </c>
      <c r="P202" s="32">
        <f>J202</f>
        <v>66356.22</v>
      </c>
      <c r="Q202" s="32">
        <f>L202</f>
        <v>2.3816499999999996</v>
      </c>
      <c r="W202">
        <f>IF(Source!BI95&lt;=1,H194+H195+H197+H198, 0)</f>
        <v>53.82</v>
      </c>
      <c r="X202">
        <f>IF(Source!BI95=2,H194+H195+H197+H198, 0)</f>
        <v>0</v>
      </c>
      <c r="Y202">
        <f>IF(Source!BI95=3,H194+H195+H197+H198, 0)</f>
        <v>0</v>
      </c>
      <c r="Z202">
        <f>IF(Source!BI95=4,H194+H195+H197+H198, 0)</f>
        <v>0</v>
      </c>
    </row>
    <row r="204" spans="1:26" ht="15">
      <c r="A204" s="67" t="str">
        <f>CONCATENATE("Итого по подразделу: ",IF(Source!G99&lt;&gt;"Новый подраздел", Source!G99, ""))</f>
        <v>Итого по подразделу: стены</v>
      </c>
      <c r="B204" s="67"/>
      <c r="C204" s="67"/>
      <c r="D204" s="67"/>
      <c r="E204" s="67"/>
      <c r="F204" s="67"/>
      <c r="G204" s="66">
        <f>SUM(O106:O203)</f>
        <v>68076.06</v>
      </c>
      <c r="H204" s="66"/>
      <c r="I204" s="37"/>
      <c r="J204" s="66">
        <f>SUM(P106:P203)</f>
        <v>509384.46000000008</v>
      </c>
      <c r="K204" s="66"/>
      <c r="L204" s="53">
        <f>SUM(Q106:Q203)</f>
        <v>363.27983799999998</v>
      </c>
    </row>
    <row r="208" spans="1:26" ht="15">
      <c r="A208" s="67" t="str">
        <f>CONCATENATE("Итого по разделу: ",IF(Source!G129&lt;&gt;"Новый раздел", Source!G129, ""))</f>
        <v>Итого по разделу: Монтаж</v>
      </c>
      <c r="B208" s="67"/>
      <c r="C208" s="67"/>
      <c r="D208" s="67"/>
      <c r="E208" s="67"/>
      <c r="F208" s="67"/>
      <c r="G208" s="66">
        <f>SUM(O104:O207)</f>
        <v>68076.06</v>
      </c>
      <c r="H208" s="66"/>
      <c r="I208" s="37"/>
      <c r="J208" s="66">
        <f>SUM(P104:P207)</f>
        <v>509384.46000000008</v>
      </c>
      <c r="K208" s="66"/>
      <c r="L208" s="53">
        <f>SUM(Q104:Q207)</f>
        <v>363.27983799999998</v>
      </c>
    </row>
    <row r="212" spans="1:26" ht="16.5">
      <c r="A212" s="71" t="str">
        <f>CONCATENATE("Раздел: ",IF(Source!G159&lt;&gt;"Новый раздел", Source!G159, ""))</f>
        <v>Раздел: сантехнические работы</v>
      </c>
      <c r="B212" s="71"/>
      <c r="C212" s="71"/>
      <c r="D212" s="71"/>
      <c r="E212" s="71"/>
      <c r="F212" s="71"/>
      <c r="G212" s="71"/>
      <c r="H212" s="71"/>
      <c r="I212" s="71"/>
      <c r="J212" s="71"/>
      <c r="K212" s="71"/>
      <c r="L212" s="71"/>
    </row>
    <row r="213" spans="1:26" ht="14.25">
      <c r="A213" s="23" t="str">
        <f>Source!E163</f>
        <v>2</v>
      </c>
      <c r="B213" s="57" t="str">
        <f>Source!F163</f>
        <v>65-19-1</v>
      </c>
      <c r="C213" s="57" t="str">
        <f>Source!G163</f>
        <v>Демонтаж радиаторов весом до 80 кг</v>
      </c>
      <c r="D213" s="39" t="str">
        <f>Source!H163</f>
        <v>100 шт.</v>
      </c>
      <c r="E213" s="10">
        <f>Source!I163</f>
        <v>0.12</v>
      </c>
      <c r="F213" s="40">
        <f>Source!AL163+Source!AM163+Source!AO163</f>
        <v>935.72</v>
      </c>
      <c r="G213" s="41"/>
      <c r="H213" s="42"/>
      <c r="I213" s="41" t="str">
        <f>Source!BO163</f>
        <v>65-19-1</v>
      </c>
      <c r="J213" s="41"/>
      <c r="K213" s="42"/>
      <c r="L213" s="43"/>
      <c r="S213">
        <f>ROUND((Source!FX163/100)*((ROUND(Source!AF163*Source!I163, 2)+ROUND(Source!AE163*Source!I163, 2))), 2)</f>
        <v>79.56</v>
      </c>
      <c r="T213">
        <f>Source!X163</f>
        <v>2629.44</v>
      </c>
      <c r="U213">
        <f>ROUND((Source!FY163/100)*((ROUND(Source!AF163*Source!I163, 2)+ROUND(Source!AE163*Source!I163, 2))), 2)</f>
        <v>53.76</v>
      </c>
      <c r="V213">
        <f>Source!Y163</f>
        <v>1776.65</v>
      </c>
    </row>
    <row r="214" spans="1:26">
      <c r="C214" s="31" t="str">
        <f>"Объем: "&amp;Source!I163&amp;"=12/"&amp;"100"</f>
        <v>Объем: 0,12=12/100</v>
      </c>
    </row>
    <row r="215" spans="1:26" ht="14.25">
      <c r="A215" s="23"/>
      <c r="B215" s="57"/>
      <c r="C215" s="57" t="s">
        <v>666</v>
      </c>
      <c r="D215" s="39"/>
      <c r="E215" s="10"/>
      <c r="F215" s="40">
        <f>Source!AO163</f>
        <v>865.7</v>
      </c>
      <c r="G215" s="41" t="str">
        <f>Source!DG163</f>
        <v/>
      </c>
      <c r="H215" s="42">
        <f>ROUND(Source!AF163*Source!I163, 2)</f>
        <v>103.88</v>
      </c>
      <c r="I215" s="41"/>
      <c r="J215" s="41">
        <f>IF(Source!BA163&lt;&gt; 0, Source!BA163, 1)</f>
        <v>33.049999999999997</v>
      </c>
      <c r="K215" s="42">
        <f>Source!S163</f>
        <v>3433.37</v>
      </c>
      <c r="L215" s="43"/>
      <c r="R215">
        <f>H215</f>
        <v>103.88</v>
      </c>
    </row>
    <row r="216" spans="1:26" ht="14.25">
      <c r="A216" s="23"/>
      <c r="B216" s="57"/>
      <c r="C216" s="57" t="s">
        <v>87</v>
      </c>
      <c r="D216" s="39"/>
      <c r="E216" s="10"/>
      <c r="F216" s="40">
        <f>Source!AM163</f>
        <v>70.02</v>
      </c>
      <c r="G216" s="41" t="str">
        <f>Source!DE163</f>
        <v/>
      </c>
      <c r="H216" s="42">
        <f>ROUND(Source!AD163*Source!I163, 2)</f>
        <v>8.4</v>
      </c>
      <c r="I216" s="41"/>
      <c r="J216" s="41">
        <f>IF(Source!BB163&lt;&gt; 0, Source!BB163, 1)</f>
        <v>14.93</v>
      </c>
      <c r="K216" s="42">
        <f>Source!Q163</f>
        <v>125.45</v>
      </c>
      <c r="L216" s="43"/>
    </row>
    <row r="217" spans="1:26" ht="14.25">
      <c r="A217" s="23"/>
      <c r="B217" s="57"/>
      <c r="C217" s="57" t="s">
        <v>672</v>
      </c>
      <c r="D217" s="39"/>
      <c r="E217" s="10"/>
      <c r="F217" s="40">
        <f>Source!AN163</f>
        <v>30.24</v>
      </c>
      <c r="G217" s="41" t="str">
        <f>Source!DF163</f>
        <v/>
      </c>
      <c r="H217" s="55">
        <f>ROUND(Source!AE163*Source!I163, 2)</f>
        <v>3.63</v>
      </c>
      <c r="I217" s="41"/>
      <c r="J217" s="41">
        <f>IF(Source!BS163&lt;&gt; 0, Source!BS163, 1)</f>
        <v>33.049999999999997</v>
      </c>
      <c r="K217" s="55">
        <f>Source!R163</f>
        <v>119.93</v>
      </c>
      <c r="L217" s="43"/>
      <c r="R217">
        <f>H217</f>
        <v>3.63</v>
      </c>
    </row>
    <row r="218" spans="1:26" ht="14.25">
      <c r="A218" s="23"/>
      <c r="B218" s="57"/>
      <c r="C218" s="57" t="s">
        <v>667</v>
      </c>
      <c r="D218" s="39" t="s">
        <v>668</v>
      </c>
      <c r="E218" s="10">
        <f>Source!BZ163</f>
        <v>74</v>
      </c>
      <c r="F218" s="60"/>
      <c r="G218" s="41"/>
      <c r="H218" s="42">
        <f>SUM(S213:S220)</f>
        <v>79.56</v>
      </c>
      <c r="I218" s="44"/>
      <c r="J218" s="38">
        <f>Source!AT163</f>
        <v>74</v>
      </c>
      <c r="K218" s="42">
        <f>SUM(T213:T220)</f>
        <v>2629.44</v>
      </c>
      <c r="L218" s="43"/>
    </row>
    <row r="219" spans="1:26" ht="14.25">
      <c r="A219" s="23"/>
      <c r="B219" s="57"/>
      <c r="C219" s="57" t="s">
        <v>669</v>
      </c>
      <c r="D219" s="39" t="s">
        <v>668</v>
      </c>
      <c r="E219" s="10">
        <f>Source!CA163</f>
        <v>50</v>
      </c>
      <c r="F219" s="60"/>
      <c r="G219" s="41"/>
      <c r="H219" s="42">
        <f>SUM(U213:U220)</f>
        <v>53.76</v>
      </c>
      <c r="I219" s="44"/>
      <c r="J219" s="38">
        <f>Source!AU163</f>
        <v>50</v>
      </c>
      <c r="K219" s="42">
        <f>SUM(V213:V220)</f>
        <v>1776.65</v>
      </c>
      <c r="L219" s="43"/>
    </row>
    <row r="220" spans="1:26" ht="14.25">
      <c r="A220" s="58"/>
      <c r="B220" s="59"/>
      <c r="C220" s="59" t="s">
        <v>670</v>
      </c>
      <c r="D220" s="46" t="s">
        <v>671</v>
      </c>
      <c r="E220" s="47">
        <f>Source!AQ163</f>
        <v>110</v>
      </c>
      <c r="F220" s="48"/>
      <c r="G220" s="51" t="str">
        <f>Source!DI163</f>
        <v/>
      </c>
      <c r="H220" s="50"/>
      <c r="I220" s="51"/>
      <c r="J220" s="51"/>
      <c r="K220" s="50"/>
      <c r="L220" s="54">
        <f>Source!U163</f>
        <v>13.2</v>
      </c>
    </row>
    <row r="221" spans="1:26" ht="15">
      <c r="G221" s="68">
        <f>H215+H216+H218+H219</f>
        <v>245.6</v>
      </c>
      <c r="H221" s="68"/>
      <c r="J221" s="68">
        <f>K215+K216+K218+K219</f>
        <v>7964.91</v>
      </c>
      <c r="K221" s="68"/>
      <c r="L221" s="53">
        <f>Source!U163</f>
        <v>13.2</v>
      </c>
      <c r="O221" s="32">
        <f>G221</f>
        <v>245.6</v>
      </c>
      <c r="P221" s="32">
        <f>J221</f>
        <v>7964.91</v>
      </c>
      <c r="Q221" s="32">
        <f>L221</f>
        <v>13.2</v>
      </c>
      <c r="W221">
        <f>IF(Source!BI163&lt;=1,H215+H216+H218+H219, 0)</f>
        <v>245.6</v>
      </c>
      <c r="X221">
        <f>IF(Source!BI163=2,H215+H216+H218+H219, 0)</f>
        <v>0</v>
      </c>
      <c r="Y221">
        <f>IF(Source!BI163=3,H215+H216+H218+H219, 0)</f>
        <v>0</v>
      </c>
      <c r="Z221">
        <f>IF(Source!BI163=4,H215+H216+H218+H219, 0)</f>
        <v>0</v>
      </c>
    </row>
    <row r="222" spans="1:26" ht="57">
      <c r="A222" s="23" t="str">
        <f>Source!E164</f>
        <v>3</v>
      </c>
      <c r="B222" s="57" t="str">
        <f>Source!F164</f>
        <v>65-14-3</v>
      </c>
      <c r="C222" s="57" t="str">
        <f>Source!G164</f>
        <v>Разборка трубопроводов из водогазопроводных труб в зданиях и сооружениях на сварке диаметром до 50 мм</v>
      </c>
      <c r="D222" s="39" t="str">
        <f>Source!H164</f>
        <v>100 м трубопровода</v>
      </c>
      <c r="E222" s="10">
        <f>Source!I164</f>
        <v>0.2</v>
      </c>
      <c r="F222" s="40">
        <f>Source!AL164+Source!AM164+Source!AO164</f>
        <v>391.01000000000005</v>
      </c>
      <c r="G222" s="41"/>
      <c r="H222" s="42"/>
      <c r="I222" s="41" t="str">
        <f>Source!BO164</f>
        <v>65-14-3</v>
      </c>
      <c r="J222" s="41"/>
      <c r="K222" s="42"/>
      <c r="L222" s="43"/>
      <c r="S222">
        <f>ROUND((Source!FX164/100)*((ROUND(Source!AF164*Source!I164, 2)+ROUND(Source!AE164*Source!I164, 2))), 2)</f>
        <v>55.04</v>
      </c>
      <c r="T222">
        <f>Source!X164</f>
        <v>1819.16</v>
      </c>
      <c r="U222">
        <f>ROUND((Source!FY164/100)*((ROUND(Source!AF164*Source!I164, 2)+ROUND(Source!AE164*Source!I164, 2))), 2)</f>
        <v>37.19</v>
      </c>
      <c r="V222">
        <f>Source!Y164</f>
        <v>1229.17</v>
      </c>
    </row>
    <row r="223" spans="1:26">
      <c r="C223" s="31" t="str">
        <f>"Объем: "&amp;Source!I164&amp;"=20/"&amp;"100"</f>
        <v>Объем: 0,2=20/100</v>
      </c>
    </row>
    <row r="224" spans="1:26" ht="14.25">
      <c r="A224" s="23"/>
      <c r="B224" s="57"/>
      <c r="C224" s="57" t="s">
        <v>666</v>
      </c>
      <c r="D224" s="39"/>
      <c r="E224" s="10"/>
      <c r="F224" s="40">
        <f>Source!AO164</f>
        <v>371.91</v>
      </c>
      <c r="G224" s="41" t="str">
        <f>Source!DG164</f>
        <v/>
      </c>
      <c r="H224" s="42">
        <f>ROUND(Source!AF164*Source!I164, 2)</f>
        <v>74.38</v>
      </c>
      <c r="I224" s="41"/>
      <c r="J224" s="41">
        <f>IF(Source!BA164&lt;&gt; 0, Source!BA164, 1)</f>
        <v>33.049999999999997</v>
      </c>
      <c r="K224" s="42">
        <f>Source!S164</f>
        <v>2458.33</v>
      </c>
      <c r="L224" s="43"/>
      <c r="R224">
        <f>H224</f>
        <v>74.38</v>
      </c>
    </row>
    <row r="225" spans="1:26" ht="14.25">
      <c r="A225" s="23"/>
      <c r="B225" s="57"/>
      <c r="C225" s="57" t="s">
        <v>87</v>
      </c>
      <c r="D225" s="39"/>
      <c r="E225" s="10"/>
      <c r="F225" s="40">
        <f>Source!AM164</f>
        <v>6.54</v>
      </c>
      <c r="G225" s="41" t="str">
        <f>Source!DE164</f>
        <v/>
      </c>
      <c r="H225" s="42">
        <f>ROUND(Source!AD164*Source!I164, 2)</f>
        <v>1.31</v>
      </c>
      <c r="I225" s="41"/>
      <c r="J225" s="41">
        <f>IF(Source!BB164&lt;&gt; 0, Source!BB164, 1)</f>
        <v>7.12</v>
      </c>
      <c r="K225" s="42">
        <f>Source!Q164</f>
        <v>9.31</v>
      </c>
      <c r="L225" s="43"/>
    </row>
    <row r="226" spans="1:26" ht="14.25">
      <c r="A226" s="23"/>
      <c r="B226" s="57"/>
      <c r="C226" s="57" t="s">
        <v>673</v>
      </c>
      <c r="D226" s="39"/>
      <c r="E226" s="10"/>
      <c r="F226" s="40">
        <f>Source!AL164</f>
        <v>12.56</v>
      </c>
      <c r="G226" s="41" t="str">
        <f>Source!DD164</f>
        <v/>
      </c>
      <c r="H226" s="42">
        <f>ROUND(Source!AC164*Source!I164, 2)</f>
        <v>2.5099999999999998</v>
      </c>
      <c r="I226" s="41"/>
      <c r="J226" s="41">
        <f>IF(Source!BC164&lt;&gt; 0, Source!BC164, 1)</f>
        <v>11.31</v>
      </c>
      <c r="K226" s="42">
        <f>Source!P164</f>
        <v>28.41</v>
      </c>
      <c r="L226" s="43"/>
    </row>
    <row r="227" spans="1:26" ht="14.25">
      <c r="A227" s="23"/>
      <c r="B227" s="57"/>
      <c r="C227" s="57" t="s">
        <v>667</v>
      </c>
      <c r="D227" s="39" t="s">
        <v>668</v>
      </c>
      <c r="E227" s="10">
        <f>Source!BZ164</f>
        <v>74</v>
      </c>
      <c r="F227" s="60"/>
      <c r="G227" s="41"/>
      <c r="H227" s="42">
        <f>SUM(S222:S229)</f>
        <v>55.04</v>
      </c>
      <c r="I227" s="44"/>
      <c r="J227" s="38">
        <f>Source!AT164</f>
        <v>74</v>
      </c>
      <c r="K227" s="42">
        <f>SUM(T222:T229)</f>
        <v>1819.16</v>
      </c>
      <c r="L227" s="43"/>
    </row>
    <row r="228" spans="1:26" ht="14.25">
      <c r="A228" s="23"/>
      <c r="B228" s="57"/>
      <c r="C228" s="57" t="s">
        <v>669</v>
      </c>
      <c r="D228" s="39" t="s">
        <v>668</v>
      </c>
      <c r="E228" s="10">
        <f>Source!CA164</f>
        <v>50</v>
      </c>
      <c r="F228" s="60"/>
      <c r="G228" s="41"/>
      <c r="H228" s="42">
        <f>SUM(U222:U229)</f>
        <v>37.19</v>
      </c>
      <c r="I228" s="44"/>
      <c r="J228" s="38">
        <f>Source!AU164</f>
        <v>50</v>
      </c>
      <c r="K228" s="42">
        <f>SUM(V222:V229)</f>
        <v>1229.17</v>
      </c>
      <c r="L228" s="43"/>
    </row>
    <row r="229" spans="1:26" ht="14.25">
      <c r="A229" s="58"/>
      <c r="B229" s="59"/>
      <c r="C229" s="59" t="s">
        <v>670</v>
      </c>
      <c r="D229" s="46" t="s">
        <v>671</v>
      </c>
      <c r="E229" s="47">
        <f>Source!AQ164</f>
        <v>43.6</v>
      </c>
      <c r="F229" s="48"/>
      <c r="G229" s="51" t="str">
        <f>Source!DI164</f>
        <v/>
      </c>
      <c r="H229" s="50"/>
      <c r="I229" s="51"/>
      <c r="J229" s="51"/>
      <c r="K229" s="50"/>
      <c r="L229" s="54">
        <f>Source!U164</f>
        <v>8.7200000000000006</v>
      </c>
    </row>
    <row r="230" spans="1:26" ht="15">
      <c r="G230" s="68">
        <f>H224+H225+H226+H227+H228</f>
        <v>170.43</v>
      </c>
      <c r="H230" s="68"/>
      <c r="J230" s="68">
        <f>K224+K225+K226+K227+K228</f>
        <v>5544.38</v>
      </c>
      <c r="K230" s="68"/>
      <c r="L230" s="53">
        <f>Source!U164</f>
        <v>8.7200000000000006</v>
      </c>
      <c r="O230" s="32">
        <f>G230</f>
        <v>170.43</v>
      </c>
      <c r="P230" s="32">
        <f>J230</f>
        <v>5544.38</v>
      </c>
      <c r="Q230" s="32">
        <f>L230</f>
        <v>8.7200000000000006</v>
      </c>
      <c r="W230">
        <f>IF(Source!BI164&lt;=1,H224+H225+H226+H227+H228, 0)</f>
        <v>170.43</v>
      </c>
      <c r="X230">
        <f>IF(Source!BI164=2,H224+H225+H226+H227+H228, 0)</f>
        <v>0</v>
      </c>
      <c r="Y230">
        <f>IF(Source!BI164=3,H224+H225+H226+H227+H228, 0)</f>
        <v>0</v>
      </c>
      <c r="Z230">
        <f>IF(Source!BI164=4,H224+H225+H226+H227+H228, 0)</f>
        <v>0</v>
      </c>
    </row>
    <row r="231" spans="1:26" ht="71.25">
      <c r="A231" s="23" t="str">
        <f>Source!E165</f>
        <v>5</v>
      </c>
      <c r="B231" s="57" t="s">
        <v>675</v>
      </c>
      <c r="C231" s="57" t="str">
        <f>Source!G165</f>
        <v>Установка радиаторов стальных</v>
      </c>
      <c r="D231" s="39" t="str">
        <f>Source!H165</f>
        <v>100 кВт радиаторов и конвекторов</v>
      </c>
      <c r="E231" s="10">
        <f>Source!I165</f>
        <v>0.217</v>
      </c>
      <c r="F231" s="40">
        <f>Source!AL165+Source!AM165+Source!AO165</f>
        <v>18737.5</v>
      </c>
      <c r="G231" s="41"/>
      <c r="H231" s="42"/>
      <c r="I231" s="41" t="str">
        <f>Source!BO165</f>
        <v>18-03-001-2</v>
      </c>
      <c r="J231" s="41"/>
      <c r="K231" s="42"/>
      <c r="L231" s="43"/>
      <c r="S231">
        <f>ROUND((Source!FX165/100)*((ROUND(Source!AF165*Source!I165, 2)+ROUND(Source!AE165*Source!I165, 2))), 2)</f>
        <v>174.56</v>
      </c>
      <c r="T231">
        <f>Source!X165</f>
        <v>5759.27</v>
      </c>
      <c r="U231">
        <f>ROUND((Source!FY165/100)*((ROUND(Source!AF165*Source!I165, 2)+ROUND(Source!AE165*Source!I165, 2))), 2)</f>
        <v>106.9</v>
      </c>
      <c r="V231">
        <f>Source!Y165</f>
        <v>3555.72</v>
      </c>
    </row>
    <row r="232" spans="1:26">
      <c r="C232" s="31" t="str">
        <f>"Объем: "&amp;Source!I165&amp;"=21,7/"&amp;"100"</f>
        <v>Объем: 0,217=21,7/100</v>
      </c>
    </row>
    <row r="233" spans="1:26" ht="14.25">
      <c r="A233" s="23"/>
      <c r="B233" s="57"/>
      <c r="C233" s="57" t="s">
        <v>666</v>
      </c>
      <c r="D233" s="39"/>
      <c r="E233" s="10"/>
      <c r="F233" s="40">
        <f>Source!AO165</f>
        <v>588.42999999999995</v>
      </c>
      <c r="G233" s="41" t="str">
        <f>Source!DG165</f>
        <v>)*1,15</v>
      </c>
      <c r="H233" s="42">
        <f>ROUND(Source!AF165*Source!I165, 2)</f>
        <v>146.84</v>
      </c>
      <c r="I233" s="41"/>
      <c r="J233" s="41">
        <f>IF(Source!BA165&lt;&gt; 0, Source!BA165, 1)</f>
        <v>33.049999999999997</v>
      </c>
      <c r="K233" s="42">
        <f>Source!S165</f>
        <v>4853.1499999999996</v>
      </c>
      <c r="L233" s="43"/>
      <c r="R233">
        <f>H233</f>
        <v>146.84</v>
      </c>
    </row>
    <row r="234" spans="1:26" ht="14.25">
      <c r="A234" s="23"/>
      <c r="B234" s="57"/>
      <c r="C234" s="57" t="s">
        <v>87</v>
      </c>
      <c r="D234" s="39"/>
      <c r="E234" s="10"/>
      <c r="F234" s="40">
        <f>Source!AM165</f>
        <v>232.69</v>
      </c>
      <c r="G234" s="41" t="str">
        <f>Source!DE165</f>
        <v>)*1,25</v>
      </c>
      <c r="H234" s="42">
        <f>ROUND(Source!AD165*Source!I165, 2)</f>
        <v>63.12</v>
      </c>
      <c r="I234" s="41"/>
      <c r="J234" s="41">
        <f>IF(Source!BB165&lt;&gt; 0, Source!BB165, 1)</f>
        <v>10.77</v>
      </c>
      <c r="K234" s="42">
        <f>Source!Q165</f>
        <v>679.77</v>
      </c>
      <c r="L234" s="43"/>
    </row>
    <row r="235" spans="1:26" ht="14.25">
      <c r="A235" s="23"/>
      <c r="B235" s="57"/>
      <c r="C235" s="57" t="s">
        <v>672</v>
      </c>
      <c r="D235" s="39"/>
      <c r="E235" s="10"/>
      <c r="F235" s="40">
        <f>Source!AN165</f>
        <v>17.28</v>
      </c>
      <c r="G235" s="41" t="str">
        <f>Source!DF165</f>
        <v>)*1,25</v>
      </c>
      <c r="H235" s="55">
        <f>ROUND(Source!AE165*Source!I165, 2)</f>
        <v>4.6900000000000004</v>
      </c>
      <c r="I235" s="41"/>
      <c r="J235" s="41">
        <f>IF(Source!BS165&lt;&gt; 0, Source!BS165, 1)</f>
        <v>33.049999999999997</v>
      </c>
      <c r="K235" s="55">
        <f>Source!R165</f>
        <v>154.91</v>
      </c>
      <c r="L235" s="43"/>
      <c r="R235">
        <f>H235</f>
        <v>4.6900000000000004</v>
      </c>
    </row>
    <row r="236" spans="1:26" ht="14.25">
      <c r="A236" s="23"/>
      <c r="B236" s="57"/>
      <c r="C236" s="57" t="s">
        <v>673</v>
      </c>
      <c r="D236" s="39"/>
      <c r="E236" s="10"/>
      <c r="F236" s="40">
        <f>Source!AL165</f>
        <v>17916.38</v>
      </c>
      <c r="G236" s="41" t="str">
        <f>Source!DD165</f>
        <v/>
      </c>
      <c r="H236" s="42">
        <f>ROUND(Source!AC165*Source!I165, 2)</f>
        <v>3887.85</v>
      </c>
      <c r="I236" s="41"/>
      <c r="J236" s="41">
        <f>IF(Source!BC165&lt;&gt; 0, Source!BC165, 1)</f>
        <v>4.42</v>
      </c>
      <c r="K236" s="42">
        <f>Source!P165</f>
        <v>17184.32</v>
      </c>
      <c r="L236" s="43"/>
    </row>
    <row r="237" spans="1:26" ht="14.25">
      <c r="A237" s="23"/>
      <c r="B237" s="57"/>
      <c r="C237" s="57" t="s">
        <v>667</v>
      </c>
      <c r="D237" s="39" t="s">
        <v>668</v>
      </c>
      <c r="E237" s="10">
        <f>Source!BZ165</f>
        <v>128</v>
      </c>
      <c r="F237" s="69" t="str">
        <f>CONCATENATE(" )", Source!DL165, Source!FT165, "=", Source!FX165)</f>
        <v xml:space="preserve"> )*0,9=115,2</v>
      </c>
      <c r="G237" s="70"/>
      <c r="H237" s="42">
        <f>SUM(S231:S241)</f>
        <v>174.56</v>
      </c>
      <c r="I237" s="44"/>
      <c r="J237" s="38">
        <f>Source!AT165</f>
        <v>115</v>
      </c>
      <c r="K237" s="42">
        <f>SUM(T231:T241)</f>
        <v>5759.27</v>
      </c>
      <c r="L237" s="43"/>
    </row>
    <row r="238" spans="1:26" ht="14.25">
      <c r="A238" s="23"/>
      <c r="B238" s="57"/>
      <c r="C238" s="57" t="s">
        <v>669</v>
      </c>
      <c r="D238" s="39" t="s">
        <v>668</v>
      </c>
      <c r="E238" s="10">
        <f>Source!CA165</f>
        <v>83</v>
      </c>
      <c r="F238" s="69" t="str">
        <f>CONCATENATE(" )", Source!DM165, Source!FU165, "=", Source!FY165)</f>
        <v xml:space="preserve"> )*0,85=70,55</v>
      </c>
      <c r="G238" s="70"/>
      <c r="H238" s="42">
        <f>SUM(U231:U241)</f>
        <v>106.9</v>
      </c>
      <c r="I238" s="44"/>
      <c r="J238" s="38">
        <f>Source!AU165</f>
        <v>71</v>
      </c>
      <c r="K238" s="42">
        <f>SUM(V231:V241)</f>
        <v>3555.72</v>
      </c>
      <c r="L238" s="43"/>
    </row>
    <row r="239" spans="1:26" ht="14.25">
      <c r="A239" s="23"/>
      <c r="B239" s="57"/>
      <c r="C239" s="57" t="s">
        <v>670</v>
      </c>
      <c r="D239" s="39" t="s">
        <v>671</v>
      </c>
      <c r="E239" s="10">
        <f>Source!AQ165</f>
        <v>65.599999999999994</v>
      </c>
      <c r="F239" s="40"/>
      <c r="G239" s="41" t="str">
        <f>Source!DI165</f>
        <v>)*1,15</v>
      </c>
      <c r="H239" s="42"/>
      <c r="I239" s="41"/>
      <c r="J239" s="41"/>
      <c r="K239" s="42"/>
      <c r="L239" s="45">
        <f>Source!U165</f>
        <v>16.370479999999997</v>
      </c>
    </row>
    <row r="240" spans="1:26" ht="42.75">
      <c r="A240" s="23" t="str">
        <f>Source!E166</f>
        <v>5,1</v>
      </c>
      <c r="B240" s="57" t="str">
        <f>Source!F166</f>
        <v>301-1018</v>
      </c>
      <c r="C240" s="57" t="str">
        <f>Source!G166</f>
        <v>Радиаторы биметаллические, марка «Rifar-A 500», количество секций 11, мощность 1815 Вт</v>
      </c>
      <c r="D240" s="39" t="str">
        <f>Source!H166</f>
        <v>шт.</v>
      </c>
      <c r="E240" s="10">
        <f>Source!I166</f>
        <v>12</v>
      </c>
      <c r="F240" s="40">
        <f>Source!AL166+Source!AM166+Source!AO166</f>
        <v>1570.93</v>
      </c>
      <c r="G240" s="56" t="s">
        <v>3</v>
      </c>
      <c r="H240" s="42">
        <f>ROUND(Source!AC166*Source!I166, 2)+ROUND(Source!AD166*Source!I166, 2)+ROUND(Source!AF166*Source!I166, 2)</f>
        <v>18851.16</v>
      </c>
      <c r="I240" s="41"/>
      <c r="J240" s="41">
        <f>IF(Source!BC166&lt;&gt; 0, Source!BC166, 1)</f>
        <v>2.98</v>
      </c>
      <c r="K240" s="42">
        <f>Source!O166</f>
        <v>56176.46</v>
      </c>
      <c r="L240" s="43"/>
      <c r="S240">
        <f>ROUND((Source!FX166/100)*((ROUND(Source!AF166*Source!I166, 2)+ROUND(Source!AE166*Source!I166, 2))), 2)</f>
        <v>0</v>
      </c>
      <c r="T240">
        <f>Source!X166</f>
        <v>0</v>
      </c>
      <c r="U240">
        <f>ROUND((Source!FY166/100)*((ROUND(Source!AF166*Source!I166, 2)+ROUND(Source!AE166*Source!I166, 2))), 2)</f>
        <v>0</v>
      </c>
      <c r="V240">
        <f>Source!Y166</f>
        <v>0</v>
      </c>
      <c r="W240">
        <f>IF(Source!BI166&lt;=1,H240, 0)</f>
        <v>18851.16</v>
      </c>
      <c r="X240">
        <f>IF(Source!BI166=2,H240, 0)</f>
        <v>0</v>
      </c>
      <c r="Y240">
        <f>IF(Source!BI166=3,H240, 0)</f>
        <v>0</v>
      </c>
      <c r="Z240">
        <f>IF(Source!BI166=4,H240, 0)</f>
        <v>0</v>
      </c>
    </row>
    <row r="241" spans="1:26" ht="28.5">
      <c r="A241" s="58" t="str">
        <f>Source!E167</f>
        <v>5,2</v>
      </c>
      <c r="B241" s="59" t="str">
        <f>Source!F167</f>
        <v>301-0559</v>
      </c>
      <c r="C241" s="59" t="str">
        <f>Source!G167</f>
        <v>Радиаторы стальные панельные РСВ2-1, РСВ2-6 однорядные</v>
      </c>
      <c r="D241" s="46" t="str">
        <f>Source!H167</f>
        <v>квт</v>
      </c>
      <c r="E241" s="47">
        <f>Source!I167</f>
        <v>-21.7</v>
      </c>
      <c r="F241" s="48">
        <f>Source!AL167+Source!AM167+Source!AO167</f>
        <v>166.98</v>
      </c>
      <c r="G241" s="49" t="s">
        <v>3</v>
      </c>
      <c r="H241" s="50">
        <f>ROUND(Source!AC167*Source!I167, 2)+ROUND(Source!AD167*Source!I167, 2)+ROUND(Source!AF167*Source!I167, 2)</f>
        <v>-3623.47</v>
      </c>
      <c r="I241" s="51"/>
      <c r="J241" s="51">
        <f>IF(Source!BC167&lt;&gt; 0, Source!BC167, 1)</f>
        <v>3.7</v>
      </c>
      <c r="K241" s="50">
        <f>Source!O167</f>
        <v>-13406.82</v>
      </c>
      <c r="L241" s="52"/>
      <c r="S241">
        <f>ROUND((Source!FX167/100)*((ROUND(Source!AF167*Source!I167, 2)+ROUND(Source!AE167*Source!I167, 2))), 2)</f>
        <v>0</v>
      </c>
      <c r="T241">
        <f>Source!X167</f>
        <v>0</v>
      </c>
      <c r="U241">
        <f>ROUND((Source!FY167/100)*((ROUND(Source!AF167*Source!I167, 2)+ROUND(Source!AE167*Source!I167, 2))), 2)</f>
        <v>0</v>
      </c>
      <c r="V241">
        <f>Source!Y167</f>
        <v>0</v>
      </c>
      <c r="W241">
        <f>IF(Source!BI167&lt;=1,H241, 0)</f>
        <v>-3623.47</v>
      </c>
      <c r="X241">
        <f>IF(Source!BI167=2,H241, 0)</f>
        <v>0</v>
      </c>
      <c r="Y241">
        <f>IF(Source!BI167=3,H241, 0)</f>
        <v>0</v>
      </c>
      <c r="Z241">
        <f>IF(Source!BI167=4,H241, 0)</f>
        <v>0</v>
      </c>
    </row>
    <row r="242" spans="1:26" ht="15">
      <c r="G242" s="68">
        <f>H233+H234+H236+H237+H238+SUM(H240:H241)</f>
        <v>19606.96</v>
      </c>
      <c r="H242" s="68"/>
      <c r="J242" s="68">
        <f>K233+K234+K236+K237+K238+SUM(K240:K241)</f>
        <v>74801.87</v>
      </c>
      <c r="K242" s="68"/>
      <c r="L242" s="53">
        <f>Source!U165</f>
        <v>16.370479999999997</v>
      </c>
      <c r="O242" s="32">
        <f>G242</f>
        <v>19606.96</v>
      </c>
      <c r="P242" s="32">
        <f>J242</f>
        <v>74801.87</v>
      </c>
      <c r="Q242" s="32">
        <f>L242</f>
        <v>16.370479999999997</v>
      </c>
      <c r="W242">
        <f>IF(Source!BI165&lt;=1,H233+H234+H236+H237+H238, 0)</f>
        <v>4379.2699999999995</v>
      </c>
      <c r="X242">
        <f>IF(Source!BI165=2,H233+H234+H236+H237+H238, 0)</f>
        <v>0</v>
      </c>
      <c r="Y242">
        <f>IF(Source!BI165=3,H233+H234+H236+H237+H238, 0)</f>
        <v>0</v>
      </c>
      <c r="Z242">
        <f>IF(Source!BI165=4,H233+H234+H236+H237+H238, 0)</f>
        <v>0</v>
      </c>
    </row>
    <row r="243" spans="1:26" ht="71.25">
      <c r="A243" s="23" t="str">
        <f>Source!E168</f>
        <v>7</v>
      </c>
      <c r="B243" s="57" t="s">
        <v>676</v>
      </c>
      <c r="C243" s="57" t="str">
        <f>Source!G168</f>
        <v>Прокладка внутренних трубопроводов водоснабжения и отопления из многослойных полипропиленовых труб, из заранее собранных узлов, наружным диаметром: 20 мм</v>
      </c>
      <c r="D243" s="39" t="str">
        <f>Source!H168</f>
        <v>100 м</v>
      </c>
      <c r="E243" s="10">
        <f>Source!I168</f>
        <v>0.25</v>
      </c>
      <c r="F243" s="40">
        <f>Source!AL168+Source!AM168+Source!AO168</f>
        <v>259.98</v>
      </c>
      <c r="G243" s="41"/>
      <c r="H243" s="42"/>
      <c r="I243" s="41" t="str">
        <f>Source!BO168</f>
        <v>16-04-005-1</v>
      </c>
      <c r="J243" s="41"/>
      <c r="K243" s="42"/>
      <c r="L243" s="43"/>
      <c r="S243">
        <f>ROUND((Source!FX168/100)*((ROUND(Source!AF168*Source!I168, 2)+ROUND(Source!AE168*Source!I168, 2))), 2)</f>
        <v>42.68</v>
      </c>
      <c r="T243">
        <f>Source!X168</f>
        <v>1408.19</v>
      </c>
      <c r="U243">
        <f>ROUND((Source!FY168/100)*((ROUND(Source!AF168*Source!I168, 2)+ROUND(Source!AE168*Source!I168, 2))), 2)</f>
        <v>26.14</v>
      </c>
      <c r="V243">
        <f>Source!Y168</f>
        <v>869.4</v>
      </c>
    </row>
    <row r="244" spans="1:26">
      <c r="C244" s="31" t="str">
        <f>"Объем: "&amp;Source!I168&amp;"=25/"&amp;"100"</f>
        <v>Объем: 0,25=25/100</v>
      </c>
    </row>
    <row r="245" spans="1:26" ht="14.25">
      <c r="A245" s="23"/>
      <c r="B245" s="57"/>
      <c r="C245" s="57" t="s">
        <v>666</v>
      </c>
      <c r="D245" s="39"/>
      <c r="E245" s="10"/>
      <c r="F245" s="40">
        <f>Source!AO168</f>
        <v>128.87</v>
      </c>
      <c r="G245" s="41" t="str">
        <f>Source!DG168</f>
        <v>)*1,15</v>
      </c>
      <c r="H245" s="42">
        <f>ROUND(Source!AF168*Source!I168, 2)</f>
        <v>37.049999999999997</v>
      </c>
      <c r="I245" s="41"/>
      <c r="J245" s="41">
        <f>IF(Source!BA168&lt;&gt; 0, Source!BA168, 1)</f>
        <v>33.049999999999997</v>
      </c>
      <c r="K245" s="42">
        <f>Source!S168</f>
        <v>1224.51</v>
      </c>
      <c r="L245" s="43"/>
      <c r="R245">
        <f>H245</f>
        <v>37.049999999999997</v>
      </c>
    </row>
    <row r="246" spans="1:26" ht="14.25">
      <c r="A246" s="23"/>
      <c r="B246" s="57"/>
      <c r="C246" s="57" t="s">
        <v>87</v>
      </c>
      <c r="D246" s="39"/>
      <c r="E246" s="10"/>
      <c r="F246" s="40">
        <f>Source!AM168</f>
        <v>39.42</v>
      </c>
      <c r="G246" s="41" t="str">
        <f>Source!DE168</f>
        <v>)*1,25</v>
      </c>
      <c r="H246" s="42">
        <f>ROUND(Source!AD168*Source!I168, 2)</f>
        <v>12.32</v>
      </c>
      <c r="I246" s="41"/>
      <c r="J246" s="41">
        <f>IF(Source!BB168&lt;&gt; 0, Source!BB168, 1)</f>
        <v>5.47</v>
      </c>
      <c r="K246" s="42">
        <f>Source!Q168</f>
        <v>67.38</v>
      </c>
      <c r="L246" s="43"/>
    </row>
    <row r="247" spans="1:26" ht="14.25">
      <c r="A247" s="23"/>
      <c r="B247" s="57"/>
      <c r="C247" s="57" t="s">
        <v>673</v>
      </c>
      <c r="D247" s="39"/>
      <c r="E247" s="10"/>
      <c r="F247" s="40">
        <f>Source!AL168</f>
        <v>91.69</v>
      </c>
      <c r="G247" s="41" t="str">
        <f>Source!DD168</f>
        <v/>
      </c>
      <c r="H247" s="42">
        <f>ROUND(Source!AC168*Source!I168, 2)</f>
        <v>22.92</v>
      </c>
      <c r="I247" s="41"/>
      <c r="J247" s="41">
        <f>IF(Source!BC168&lt;&gt; 0, Source!BC168, 1)</f>
        <v>3.13</v>
      </c>
      <c r="K247" s="42">
        <f>Source!P168</f>
        <v>71.75</v>
      </c>
      <c r="L247" s="43"/>
    </row>
    <row r="248" spans="1:26" ht="14.25">
      <c r="A248" s="23"/>
      <c r="B248" s="57"/>
      <c r="C248" s="57" t="s">
        <v>667</v>
      </c>
      <c r="D248" s="39" t="s">
        <v>668</v>
      </c>
      <c r="E248" s="10">
        <f>Source!BZ168</f>
        <v>128</v>
      </c>
      <c r="F248" s="69" t="str">
        <f>CONCATENATE(" )", Source!DL168, Source!FT168, "=", Source!FX168)</f>
        <v xml:space="preserve"> )*0,9=115,2</v>
      </c>
      <c r="G248" s="70"/>
      <c r="H248" s="42">
        <f>SUM(S243:S251)</f>
        <v>42.68</v>
      </c>
      <c r="I248" s="44"/>
      <c r="J248" s="38">
        <f>Source!AT168</f>
        <v>115</v>
      </c>
      <c r="K248" s="42">
        <f>SUM(T243:T251)</f>
        <v>1408.19</v>
      </c>
      <c r="L248" s="43"/>
    </row>
    <row r="249" spans="1:26" ht="14.25">
      <c r="A249" s="23"/>
      <c r="B249" s="57"/>
      <c r="C249" s="57" t="s">
        <v>669</v>
      </c>
      <c r="D249" s="39" t="s">
        <v>668</v>
      </c>
      <c r="E249" s="10">
        <f>Source!CA168</f>
        <v>83</v>
      </c>
      <c r="F249" s="69" t="str">
        <f>CONCATENATE(" )", Source!DM168, Source!FU168, "=", Source!FY168)</f>
        <v xml:space="preserve"> )*0,85=70,55</v>
      </c>
      <c r="G249" s="70"/>
      <c r="H249" s="42">
        <f>SUM(U243:U251)</f>
        <v>26.14</v>
      </c>
      <c r="I249" s="44"/>
      <c r="J249" s="38">
        <f>Source!AU168</f>
        <v>71</v>
      </c>
      <c r="K249" s="42">
        <f>SUM(V243:V251)</f>
        <v>869.4</v>
      </c>
      <c r="L249" s="43"/>
    </row>
    <row r="250" spans="1:26" ht="14.25">
      <c r="A250" s="23"/>
      <c r="B250" s="57"/>
      <c r="C250" s="57" t="s">
        <v>670</v>
      </c>
      <c r="D250" s="39" t="s">
        <v>671</v>
      </c>
      <c r="E250" s="10">
        <f>Source!AQ168</f>
        <v>13.71</v>
      </c>
      <c r="F250" s="40"/>
      <c r="G250" s="41" t="str">
        <f>Source!DI168</f>
        <v>)*1,15</v>
      </c>
      <c r="H250" s="42"/>
      <c r="I250" s="41"/>
      <c r="J250" s="41"/>
      <c r="K250" s="42"/>
      <c r="L250" s="45">
        <f>Source!U168</f>
        <v>3.9416250000000002</v>
      </c>
    </row>
    <row r="251" spans="1:26" ht="57">
      <c r="A251" s="58" t="str">
        <f>Source!E169</f>
        <v>7,2</v>
      </c>
      <c r="B251" s="59" t="str">
        <f>Source!F169</f>
        <v>507-4572</v>
      </c>
      <c r="C251" s="59" t="str">
        <f>Source!G169</f>
        <v>Трубы гибкие из молекулярно-сшитого полиэтилена для отопления и водоснабжения БИР ПЕКС "Стандарт УФ-стоп" (PEX-b), размером 25х3,5 мм</v>
      </c>
      <c r="D251" s="46" t="str">
        <f>Source!H169</f>
        <v>м</v>
      </c>
      <c r="E251" s="47">
        <f>Source!I169</f>
        <v>25</v>
      </c>
      <c r="F251" s="48">
        <f>Source!AL169+Source!AM169+Source!AO169</f>
        <v>26.79</v>
      </c>
      <c r="G251" s="49" t="s">
        <v>3</v>
      </c>
      <c r="H251" s="50">
        <f>ROUND(Source!AC169*Source!I169, 2)+ROUND(Source!AD169*Source!I169, 2)+ROUND(Source!AF169*Source!I169, 2)</f>
        <v>669.75</v>
      </c>
      <c r="I251" s="51"/>
      <c r="J251" s="51">
        <f>IF(Source!BC169&lt;&gt; 0, Source!BC169, 1)</f>
        <v>9.67</v>
      </c>
      <c r="K251" s="50">
        <f>Source!O169</f>
        <v>6476.48</v>
      </c>
      <c r="L251" s="52"/>
      <c r="S251">
        <f>ROUND((Source!FX169/100)*((ROUND(Source!AF169*Source!I169, 2)+ROUND(Source!AE169*Source!I169, 2))), 2)</f>
        <v>0</v>
      </c>
      <c r="T251">
        <f>Source!X169</f>
        <v>0</v>
      </c>
      <c r="U251">
        <f>ROUND((Source!FY169/100)*((ROUND(Source!AF169*Source!I169, 2)+ROUND(Source!AE169*Source!I169, 2))), 2)</f>
        <v>0</v>
      </c>
      <c r="V251">
        <f>Source!Y169</f>
        <v>0</v>
      </c>
      <c r="W251">
        <f>IF(Source!BI169&lt;=1,H251, 0)</f>
        <v>669.75</v>
      </c>
      <c r="X251">
        <f>IF(Source!BI169=2,H251, 0)</f>
        <v>0</v>
      </c>
      <c r="Y251">
        <f>IF(Source!BI169=3,H251, 0)</f>
        <v>0</v>
      </c>
      <c r="Z251">
        <f>IF(Source!BI169=4,H251, 0)</f>
        <v>0</v>
      </c>
    </row>
    <row r="252" spans="1:26" ht="15">
      <c r="G252" s="68">
        <f>H245+H246+H247+H248+H249+SUM(H251:H251)</f>
        <v>810.86</v>
      </c>
      <c r="H252" s="68"/>
      <c r="J252" s="68">
        <f>K245+K246+K247+K248+K249+SUM(K251:K251)</f>
        <v>10117.709999999999</v>
      </c>
      <c r="K252" s="68"/>
      <c r="L252" s="53">
        <f>Source!U168</f>
        <v>3.9416250000000002</v>
      </c>
      <c r="O252" s="32">
        <f>G252</f>
        <v>810.86</v>
      </c>
      <c r="P252" s="32">
        <f>J252</f>
        <v>10117.709999999999</v>
      </c>
      <c r="Q252" s="32">
        <f>L252</f>
        <v>3.9416250000000002</v>
      </c>
      <c r="W252">
        <f>IF(Source!BI168&lt;=1,H245+H246+H247+H248+H249, 0)</f>
        <v>141.11000000000001</v>
      </c>
      <c r="X252">
        <f>IF(Source!BI168=2,H245+H246+H247+H248+H249, 0)</f>
        <v>0</v>
      </c>
      <c r="Y252">
        <f>IF(Source!BI168=3,H245+H246+H247+H248+H249, 0)</f>
        <v>0</v>
      </c>
      <c r="Z252">
        <f>IF(Source!BI168=4,H245+H246+H247+H248+H249, 0)</f>
        <v>0</v>
      </c>
    </row>
    <row r="253" spans="1:26" ht="28.5">
      <c r="A253" s="58" t="str">
        <f>Source!E170</f>
        <v>9</v>
      </c>
      <c r="B253" s="59" t="str">
        <f>Source!F170</f>
        <v>301-1224</v>
      </c>
      <c r="C253" s="59" t="str">
        <f>Source!G170</f>
        <v>Крепления для трубопроводов: кронштейны, планки, хомуты</v>
      </c>
      <c r="D253" s="46" t="str">
        <f>Source!H170</f>
        <v>кг</v>
      </c>
      <c r="E253" s="47">
        <f>Source!I170</f>
        <v>7</v>
      </c>
      <c r="F253" s="48">
        <f>Source!AL170</f>
        <v>11.99</v>
      </c>
      <c r="G253" s="51" t="str">
        <f>Source!DD170</f>
        <v/>
      </c>
      <c r="H253" s="50">
        <f>ROUND(Source!AC170*Source!I170, 2)</f>
        <v>83.93</v>
      </c>
      <c r="I253" s="51" t="str">
        <f>Source!BO170</f>
        <v>301-1224</v>
      </c>
      <c r="J253" s="51">
        <f>IF(Source!BC170&lt;&gt; 0, Source!BC170, 1)</f>
        <v>4.29</v>
      </c>
      <c r="K253" s="50">
        <f>Source!P170</f>
        <v>360.06</v>
      </c>
      <c r="L253" s="52"/>
      <c r="S253">
        <f>ROUND((Source!FX170/100)*((ROUND(Source!AF170*Source!I170, 2)+ROUND(Source!AE170*Source!I170, 2))), 2)</f>
        <v>0</v>
      </c>
      <c r="T253">
        <f>Source!X170</f>
        <v>0</v>
      </c>
      <c r="U253">
        <f>ROUND((Source!FY170/100)*((ROUND(Source!AF170*Source!I170, 2)+ROUND(Source!AE170*Source!I170, 2))), 2)</f>
        <v>0</v>
      </c>
      <c r="V253">
        <f>Source!Y170</f>
        <v>0</v>
      </c>
    </row>
    <row r="254" spans="1:26" ht="15">
      <c r="G254" s="68">
        <f>H253</f>
        <v>83.93</v>
      </c>
      <c r="H254" s="68"/>
      <c r="J254" s="68">
        <f>K253</f>
        <v>360.06</v>
      </c>
      <c r="K254" s="68"/>
      <c r="L254" s="53">
        <f>Source!U170</f>
        <v>0</v>
      </c>
      <c r="O254" s="32">
        <f>G254</f>
        <v>83.93</v>
      </c>
      <c r="P254" s="32">
        <f>J254</f>
        <v>360.06</v>
      </c>
      <c r="Q254" s="32">
        <f>L254</f>
        <v>0</v>
      </c>
      <c r="W254">
        <f>IF(Source!BI170&lt;=1,H253, 0)</f>
        <v>83.93</v>
      </c>
      <c r="X254">
        <f>IF(Source!BI170=2,H253, 0)</f>
        <v>0</v>
      </c>
      <c r="Y254">
        <f>IF(Source!BI170=3,H253, 0)</f>
        <v>0</v>
      </c>
      <c r="Z254">
        <f>IF(Source!BI170=4,H253, 0)</f>
        <v>0</v>
      </c>
    </row>
    <row r="255" spans="1:26" ht="28.5">
      <c r="A255" s="58" t="str">
        <f>Source!E171</f>
        <v>10</v>
      </c>
      <c r="B255" s="59" t="str">
        <f>Source!F171</f>
        <v>302-0062</v>
      </c>
      <c r="C255" s="59" t="str">
        <f>Source!G171</f>
        <v>Кран шаровый муфтовый Valtec для воды диаметром 15 мм, тип в/в</v>
      </c>
      <c r="D255" s="46" t="str">
        <f>Source!H171</f>
        <v>шт.</v>
      </c>
      <c r="E255" s="47">
        <f>Source!I171</f>
        <v>6</v>
      </c>
      <c r="F255" s="48">
        <f>Source!AL171</f>
        <v>28.53</v>
      </c>
      <c r="G255" s="51" t="str">
        <f>Source!DD171</f>
        <v/>
      </c>
      <c r="H255" s="50">
        <f>ROUND(Source!AC171*Source!I171, 2)</f>
        <v>171.18</v>
      </c>
      <c r="I255" s="51" t="str">
        <f>Source!BO171</f>
        <v>302-0062</v>
      </c>
      <c r="J255" s="51">
        <f>IF(Source!BC171&lt;&gt; 0, Source!BC171, 1)</f>
        <v>9.18</v>
      </c>
      <c r="K255" s="50">
        <f>Source!P171</f>
        <v>1571.43</v>
      </c>
      <c r="L255" s="52"/>
      <c r="S255">
        <f>ROUND((Source!FX171/100)*((ROUND(Source!AF171*Source!I171, 2)+ROUND(Source!AE171*Source!I171, 2))), 2)</f>
        <v>0</v>
      </c>
      <c r="T255">
        <f>Source!X171</f>
        <v>0</v>
      </c>
      <c r="U255">
        <f>ROUND((Source!FY171/100)*((ROUND(Source!AF171*Source!I171, 2)+ROUND(Source!AE171*Source!I171, 2))), 2)</f>
        <v>0</v>
      </c>
      <c r="V255">
        <f>Source!Y171</f>
        <v>0</v>
      </c>
    </row>
    <row r="256" spans="1:26" ht="15">
      <c r="G256" s="68">
        <f>H255</f>
        <v>171.18</v>
      </c>
      <c r="H256" s="68"/>
      <c r="J256" s="68">
        <f>K255</f>
        <v>1571.43</v>
      </c>
      <c r="K256" s="68"/>
      <c r="L256" s="53">
        <f>Source!U171</f>
        <v>0</v>
      </c>
      <c r="O256" s="32">
        <f>G256</f>
        <v>171.18</v>
      </c>
      <c r="P256" s="32">
        <f>J256</f>
        <v>1571.43</v>
      </c>
      <c r="Q256" s="32">
        <f>L256</f>
        <v>0</v>
      </c>
      <c r="W256">
        <f>IF(Source!BI171&lt;=1,H255, 0)</f>
        <v>171.18</v>
      </c>
      <c r="X256">
        <f>IF(Source!BI171=2,H255, 0)</f>
        <v>0</v>
      </c>
      <c r="Y256">
        <f>IF(Source!BI171=3,H255, 0)</f>
        <v>0</v>
      </c>
      <c r="Z256">
        <f>IF(Source!BI171=4,H255, 0)</f>
        <v>0</v>
      </c>
    </row>
    <row r="257" spans="1:26" ht="42.75">
      <c r="A257" s="23" t="str">
        <f>Source!E172</f>
        <v>12</v>
      </c>
      <c r="B257" s="57" t="str">
        <f>Source!F172</f>
        <v>46-03-017-1</v>
      </c>
      <c r="C257" s="57" t="str">
        <f>Source!G172</f>
        <v>Заделка отверстий, гнезд и борозд в перекрытиях железобетонных площадью до 0,1 м2</v>
      </c>
      <c r="D257" s="39" t="str">
        <f>Source!H172</f>
        <v>1 м3 заделки</v>
      </c>
      <c r="E257" s="10">
        <f>Source!I172</f>
        <v>5.0000000000000001E-3</v>
      </c>
      <c r="F257" s="40">
        <f>Source!AL172+Source!AM172+Source!AO172</f>
        <v>1743.13</v>
      </c>
      <c r="G257" s="41"/>
      <c r="H257" s="42"/>
      <c r="I257" s="41" t="str">
        <f>Source!BO172</f>
        <v>46-03-017-1</v>
      </c>
      <c r="J257" s="41"/>
      <c r="K257" s="42"/>
      <c r="L257" s="43"/>
      <c r="S257">
        <f>ROUND((Source!FX172/100)*((ROUND(Source!AF172*Source!I172, 2)+ROUND(Source!AE172*Source!I172, 2))), 2)</f>
        <v>2.21</v>
      </c>
      <c r="T257">
        <f>Source!X172</f>
        <v>73</v>
      </c>
      <c r="U257">
        <f>ROUND((Source!FY172/100)*((ROUND(Source!AF172*Source!I172, 2)+ROUND(Source!AE172*Source!I172, 2))), 2)</f>
        <v>1.33</v>
      </c>
      <c r="V257">
        <f>Source!Y172</f>
        <v>44.24</v>
      </c>
    </row>
    <row r="258" spans="1:26" ht="14.25">
      <c r="A258" s="23"/>
      <c r="B258" s="57"/>
      <c r="C258" s="57" t="s">
        <v>666</v>
      </c>
      <c r="D258" s="39"/>
      <c r="E258" s="10"/>
      <c r="F258" s="40">
        <f>Source!AO172</f>
        <v>446.24</v>
      </c>
      <c r="G258" s="41" t="str">
        <f>Source!DG172</f>
        <v/>
      </c>
      <c r="H258" s="42">
        <f>ROUND(Source!AF172*Source!I172, 2)</f>
        <v>2.23</v>
      </c>
      <c r="I258" s="41"/>
      <c r="J258" s="41">
        <f>IF(Source!BA172&lt;&gt; 0, Source!BA172, 1)</f>
        <v>33.049999999999997</v>
      </c>
      <c r="K258" s="42">
        <f>Source!S172</f>
        <v>73.739999999999995</v>
      </c>
      <c r="L258" s="43"/>
      <c r="R258">
        <f>H258</f>
        <v>2.23</v>
      </c>
    </row>
    <row r="259" spans="1:26" ht="14.25">
      <c r="A259" s="23"/>
      <c r="B259" s="57"/>
      <c r="C259" s="57" t="s">
        <v>87</v>
      </c>
      <c r="D259" s="39"/>
      <c r="E259" s="10"/>
      <c r="F259" s="40">
        <f>Source!AM172</f>
        <v>21.67</v>
      </c>
      <c r="G259" s="41" t="str">
        <f>Source!DE172</f>
        <v/>
      </c>
      <c r="H259" s="42">
        <f>ROUND(Source!AD172*Source!I172, 2)</f>
        <v>0.11</v>
      </c>
      <c r="I259" s="41"/>
      <c r="J259" s="41">
        <f>IF(Source!BB172&lt;&gt; 0, Source!BB172, 1)</f>
        <v>10.69</v>
      </c>
      <c r="K259" s="42">
        <f>Source!Q172</f>
        <v>1.1599999999999999</v>
      </c>
      <c r="L259" s="43"/>
    </row>
    <row r="260" spans="1:26" ht="14.25">
      <c r="A260" s="23"/>
      <c r="B260" s="57"/>
      <c r="C260" s="57" t="s">
        <v>673</v>
      </c>
      <c r="D260" s="39"/>
      <c r="E260" s="10"/>
      <c r="F260" s="40">
        <f>Source!AL172</f>
        <v>1275.22</v>
      </c>
      <c r="G260" s="41" t="str">
        <f>Source!DD172</f>
        <v/>
      </c>
      <c r="H260" s="42">
        <f>ROUND(Source!AC172*Source!I172, 2)</f>
        <v>6.38</v>
      </c>
      <c r="I260" s="41"/>
      <c r="J260" s="41">
        <f>IF(Source!BC172&lt;&gt; 0, Source!BC172, 1)</f>
        <v>7.01</v>
      </c>
      <c r="K260" s="42">
        <f>Source!P172</f>
        <v>44.7</v>
      </c>
      <c r="L260" s="43"/>
    </row>
    <row r="261" spans="1:26" ht="14.25">
      <c r="A261" s="23"/>
      <c r="B261" s="57"/>
      <c r="C261" s="57" t="s">
        <v>667</v>
      </c>
      <c r="D261" s="39" t="s">
        <v>668</v>
      </c>
      <c r="E261" s="10">
        <f>Source!BZ172</f>
        <v>110</v>
      </c>
      <c r="F261" s="69" t="str">
        <f>CONCATENATE(" )", Source!DL172, Source!FT172, "=", Source!FX172)</f>
        <v xml:space="preserve"> )*0,9=99</v>
      </c>
      <c r="G261" s="70"/>
      <c r="H261" s="42">
        <f>SUM(S257:S263)</f>
        <v>2.21</v>
      </c>
      <c r="I261" s="44"/>
      <c r="J261" s="38">
        <f>Source!AT172</f>
        <v>99</v>
      </c>
      <c r="K261" s="42">
        <f>SUM(T257:T263)</f>
        <v>73</v>
      </c>
      <c r="L261" s="43"/>
    </row>
    <row r="262" spans="1:26" ht="14.25">
      <c r="A262" s="23"/>
      <c r="B262" s="57"/>
      <c r="C262" s="57" t="s">
        <v>669</v>
      </c>
      <c r="D262" s="39" t="s">
        <v>668</v>
      </c>
      <c r="E262" s="10">
        <f>Source!CA172</f>
        <v>70</v>
      </c>
      <c r="F262" s="69" t="str">
        <f>CONCATENATE(" )", Source!DM172, Source!FU172, "=", Source!FY172)</f>
        <v xml:space="preserve"> )*0,85=59,5</v>
      </c>
      <c r="G262" s="70"/>
      <c r="H262" s="42">
        <f>SUM(U257:U263)</f>
        <v>1.33</v>
      </c>
      <c r="I262" s="44"/>
      <c r="J262" s="38">
        <f>Source!AU172</f>
        <v>60</v>
      </c>
      <c r="K262" s="42">
        <f>SUM(V257:V263)</f>
        <v>44.24</v>
      </c>
      <c r="L262" s="43"/>
    </row>
    <row r="263" spans="1:26" ht="14.25">
      <c r="A263" s="58"/>
      <c r="B263" s="59"/>
      <c r="C263" s="59" t="s">
        <v>670</v>
      </c>
      <c r="D263" s="46" t="s">
        <v>671</v>
      </c>
      <c r="E263" s="47">
        <f>Source!AQ172</f>
        <v>55.16</v>
      </c>
      <c r="F263" s="48"/>
      <c r="G263" s="51" t="str">
        <f>Source!DI172</f>
        <v/>
      </c>
      <c r="H263" s="50"/>
      <c r="I263" s="51"/>
      <c r="J263" s="51"/>
      <c r="K263" s="50"/>
      <c r="L263" s="54">
        <f>Source!U172</f>
        <v>0.27579999999999999</v>
      </c>
    </row>
    <row r="264" spans="1:26" ht="15">
      <c r="G264" s="68">
        <f>H258+H259+H260+H261+H262</f>
        <v>12.26</v>
      </c>
      <c r="H264" s="68"/>
      <c r="J264" s="68">
        <f>K258+K259+K260+K261+K262</f>
        <v>236.84</v>
      </c>
      <c r="K264" s="68"/>
      <c r="L264" s="53">
        <f>Source!U172</f>
        <v>0.27579999999999999</v>
      </c>
      <c r="O264" s="32">
        <f>G264</f>
        <v>12.26</v>
      </c>
      <c r="P264" s="32">
        <f>J264</f>
        <v>236.84</v>
      </c>
      <c r="Q264" s="32">
        <f>L264</f>
        <v>0.27579999999999999</v>
      </c>
      <c r="W264">
        <f>IF(Source!BI172&lt;=1,H258+H259+H260+H261+H262, 0)</f>
        <v>12.26</v>
      </c>
      <c r="X264">
        <f>IF(Source!BI172=2,H258+H259+H260+H261+H262, 0)</f>
        <v>0</v>
      </c>
      <c r="Y264">
        <f>IF(Source!BI172=3,H258+H259+H260+H261+H262, 0)</f>
        <v>0</v>
      </c>
      <c r="Z264">
        <f>IF(Source!BI172=4,H258+H259+H260+H261+H262, 0)</f>
        <v>0</v>
      </c>
    </row>
    <row r="266" spans="1:26" ht="15">
      <c r="A266" s="67" t="str">
        <f>CONCATENATE("Итого по разделу: ",IF(Source!G174&lt;&gt;"Новый раздел", Source!G174, ""))</f>
        <v>Итого по разделу: сантехнические работы</v>
      </c>
      <c r="B266" s="67"/>
      <c r="C266" s="67"/>
      <c r="D266" s="67"/>
      <c r="E266" s="67"/>
      <c r="F266" s="67"/>
      <c r="G266" s="66">
        <f>SUM(O212:O265)</f>
        <v>21101.219999999998</v>
      </c>
      <c r="H266" s="66"/>
      <c r="I266" s="37"/>
      <c r="J266" s="66">
        <f>SUM(P212:P265)</f>
        <v>100597.19999999998</v>
      </c>
      <c r="K266" s="66"/>
      <c r="L266" s="53">
        <f>SUM(Q212:Q265)</f>
        <v>42.507905000000001</v>
      </c>
    </row>
    <row r="270" spans="1:26" ht="16.5">
      <c r="A270" s="71" t="str">
        <f>CONCATENATE("Раздел: ",IF(Source!G204&lt;&gt;"Новый раздел", Source!G204, ""))</f>
        <v>Раздел: электромонтажные работы</v>
      </c>
      <c r="B270" s="71"/>
      <c r="C270" s="71"/>
      <c r="D270" s="71"/>
      <c r="E270" s="71"/>
      <c r="F270" s="71"/>
      <c r="G270" s="71"/>
      <c r="H270" s="71"/>
      <c r="I270" s="71"/>
      <c r="J270" s="71"/>
      <c r="K270" s="71"/>
      <c r="L270" s="71"/>
    </row>
    <row r="271" spans="1:26" ht="42.75">
      <c r="A271" s="23" t="str">
        <f>Source!E208</f>
        <v>1</v>
      </c>
      <c r="B271" s="57" t="str">
        <f>Source!F208</f>
        <v>м08-03-591-4</v>
      </c>
      <c r="C271" s="57" t="str">
        <f>Source!G208</f>
        <v>Выключатель двухклавишный неутопленного типа при открытой проводке</v>
      </c>
      <c r="D271" s="39" t="str">
        <f>Source!H208</f>
        <v>100 шт.</v>
      </c>
      <c r="E271" s="10">
        <f>Source!I208</f>
        <v>0.01</v>
      </c>
      <c r="F271" s="40">
        <f>Source!AL208+Source!AM208+Source!AO208</f>
        <v>465.70000000000005</v>
      </c>
      <c r="G271" s="41"/>
      <c r="H271" s="42"/>
      <c r="I271" s="41" t="str">
        <f>Source!BO208</f>
        <v>м08-03-591-4</v>
      </c>
      <c r="J271" s="41"/>
      <c r="K271" s="42"/>
      <c r="L271" s="43"/>
      <c r="S271">
        <f>ROUND((Source!FX208/100)*((ROUND(Source!AF208*Source!I208, 2)+ROUND(Source!AE208*Source!I208, 2))), 2)</f>
        <v>3.31</v>
      </c>
      <c r="T271">
        <f>Source!X208</f>
        <v>109.55</v>
      </c>
      <c r="U271">
        <f>ROUND((Source!FY208/100)*((ROUND(Source!AF208*Source!I208, 2)+ROUND(Source!AE208*Source!I208, 2))), 2)</f>
        <v>2.2599999999999998</v>
      </c>
      <c r="V271">
        <f>Source!Y208</f>
        <v>74.959999999999994</v>
      </c>
    </row>
    <row r="272" spans="1:26">
      <c r="C272" s="31" t="str">
        <f>"Объем: "&amp;Source!I208&amp;"=1/"&amp;"100"</f>
        <v>Объем: 0,01=1/100</v>
      </c>
    </row>
    <row r="273" spans="1:26" ht="14.25">
      <c r="A273" s="23"/>
      <c r="B273" s="57"/>
      <c r="C273" s="57" t="s">
        <v>666</v>
      </c>
      <c r="D273" s="39"/>
      <c r="E273" s="10"/>
      <c r="F273" s="40">
        <f>Source!AO208</f>
        <v>348.49</v>
      </c>
      <c r="G273" s="41" t="str">
        <f>Source!DG208</f>
        <v/>
      </c>
      <c r="H273" s="42">
        <f>ROUND(Source!AF208*Source!I208, 2)</f>
        <v>3.48</v>
      </c>
      <c r="I273" s="41"/>
      <c r="J273" s="41">
        <f>IF(Source!BA208&lt;&gt; 0, Source!BA208, 1)</f>
        <v>33.049999999999997</v>
      </c>
      <c r="K273" s="42">
        <f>Source!S208</f>
        <v>115.18</v>
      </c>
      <c r="L273" s="43"/>
      <c r="R273">
        <f>H273</f>
        <v>3.48</v>
      </c>
    </row>
    <row r="274" spans="1:26" ht="14.25">
      <c r="A274" s="23"/>
      <c r="B274" s="57"/>
      <c r="C274" s="57" t="s">
        <v>87</v>
      </c>
      <c r="D274" s="39"/>
      <c r="E274" s="10"/>
      <c r="F274" s="40">
        <f>Source!AM208</f>
        <v>13.78</v>
      </c>
      <c r="G274" s="41" t="str">
        <f>Source!DE208</f>
        <v/>
      </c>
      <c r="H274" s="42">
        <f>ROUND(Source!AD208*Source!I208, 2)</f>
        <v>0.14000000000000001</v>
      </c>
      <c r="I274" s="41"/>
      <c r="J274" s="41">
        <f>IF(Source!BB208&lt;&gt; 0, Source!BB208, 1)</f>
        <v>5.96</v>
      </c>
      <c r="K274" s="42">
        <f>Source!Q208</f>
        <v>0.82</v>
      </c>
      <c r="L274" s="43"/>
    </row>
    <row r="275" spans="1:26" ht="14.25">
      <c r="A275" s="23"/>
      <c r="B275" s="57"/>
      <c r="C275" s="57" t="s">
        <v>672</v>
      </c>
      <c r="D275" s="39"/>
      <c r="E275" s="10"/>
      <c r="F275" s="40">
        <f>Source!AN208</f>
        <v>0.41</v>
      </c>
      <c r="G275" s="41" t="str">
        <f>Source!DF208</f>
        <v/>
      </c>
      <c r="H275" s="55">
        <f>ROUND(Source!AE208*Source!I208, 2)</f>
        <v>0</v>
      </c>
      <c r="I275" s="41"/>
      <c r="J275" s="41">
        <f>IF(Source!BS208&lt;&gt; 0, Source!BS208, 1)</f>
        <v>33.049999999999997</v>
      </c>
      <c r="K275" s="55">
        <f>Source!R208</f>
        <v>0.14000000000000001</v>
      </c>
      <c r="L275" s="43"/>
      <c r="R275">
        <f>H275</f>
        <v>0</v>
      </c>
    </row>
    <row r="276" spans="1:26" ht="14.25">
      <c r="A276" s="23"/>
      <c r="B276" s="57"/>
      <c r="C276" s="57" t="s">
        <v>673</v>
      </c>
      <c r="D276" s="39"/>
      <c r="E276" s="10"/>
      <c r="F276" s="40">
        <f>Source!AL208</f>
        <v>103.43</v>
      </c>
      <c r="G276" s="41" t="str">
        <f>Source!DD208</f>
        <v/>
      </c>
      <c r="H276" s="42">
        <f>ROUND(Source!AC208*Source!I208, 2)</f>
        <v>1.03</v>
      </c>
      <c r="I276" s="41"/>
      <c r="J276" s="41">
        <f>IF(Source!BC208&lt;&gt; 0, Source!BC208, 1)</f>
        <v>3.24</v>
      </c>
      <c r="K276" s="42">
        <f>Source!P208</f>
        <v>3.35</v>
      </c>
      <c r="L276" s="43"/>
    </row>
    <row r="277" spans="1:26" ht="14.25">
      <c r="A277" s="23"/>
      <c r="B277" s="57"/>
      <c r="C277" s="57" t="s">
        <v>667</v>
      </c>
      <c r="D277" s="39" t="s">
        <v>668</v>
      </c>
      <c r="E277" s="10">
        <f>Source!BZ208</f>
        <v>95</v>
      </c>
      <c r="F277" s="60"/>
      <c r="G277" s="41"/>
      <c r="H277" s="42">
        <f>SUM(S271:S279)</f>
        <v>3.31</v>
      </c>
      <c r="I277" s="44"/>
      <c r="J277" s="38">
        <f>Source!AT208</f>
        <v>95</v>
      </c>
      <c r="K277" s="42">
        <f>SUM(T271:T279)</f>
        <v>109.55</v>
      </c>
      <c r="L277" s="43"/>
    </row>
    <row r="278" spans="1:26" ht="14.25">
      <c r="A278" s="23"/>
      <c r="B278" s="57"/>
      <c r="C278" s="57" t="s">
        <v>669</v>
      </c>
      <c r="D278" s="39" t="s">
        <v>668</v>
      </c>
      <c r="E278" s="10">
        <f>Source!CA208</f>
        <v>65</v>
      </c>
      <c r="F278" s="60"/>
      <c r="G278" s="41"/>
      <c r="H278" s="42">
        <f>SUM(U271:U279)</f>
        <v>2.2599999999999998</v>
      </c>
      <c r="I278" s="44"/>
      <c r="J278" s="38">
        <f>Source!AU208</f>
        <v>65</v>
      </c>
      <c r="K278" s="42">
        <f>SUM(V271:V279)</f>
        <v>74.959999999999994</v>
      </c>
      <c r="L278" s="43"/>
    </row>
    <row r="279" spans="1:26" ht="14.25">
      <c r="A279" s="58"/>
      <c r="B279" s="59"/>
      <c r="C279" s="59" t="s">
        <v>670</v>
      </c>
      <c r="D279" s="46" t="s">
        <v>671</v>
      </c>
      <c r="E279" s="47">
        <f>Source!AQ208</f>
        <v>35.130000000000003</v>
      </c>
      <c r="F279" s="48"/>
      <c r="G279" s="51" t="str">
        <f>Source!DI208</f>
        <v/>
      </c>
      <c r="H279" s="50"/>
      <c r="I279" s="51"/>
      <c r="J279" s="51"/>
      <c r="K279" s="50"/>
      <c r="L279" s="54">
        <f>Source!U208</f>
        <v>0.35130000000000006</v>
      </c>
    </row>
    <row r="280" spans="1:26" ht="15">
      <c r="G280" s="68">
        <f>H273+H274+H276+H277+H278</f>
        <v>10.220000000000001</v>
      </c>
      <c r="H280" s="68"/>
      <c r="J280" s="68">
        <f>K273+K274+K276+K277+K278</f>
        <v>303.85999999999996</v>
      </c>
      <c r="K280" s="68"/>
      <c r="L280" s="53">
        <f>Source!U208</f>
        <v>0.35130000000000006</v>
      </c>
      <c r="O280" s="32">
        <f>G280</f>
        <v>10.220000000000001</v>
      </c>
      <c r="P280" s="32">
        <f>J280</f>
        <v>303.85999999999996</v>
      </c>
      <c r="Q280" s="32">
        <f>L280</f>
        <v>0.35130000000000006</v>
      </c>
      <c r="W280">
        <f>IF(Source!BI208&lt;=1,H273+H274+H276+H277+H278, 0)</f>
        <v>0</v>
      </c>
      <c r="X280">
        <f>IF(Source!BI208=2,H273+H274+H276+H277+H278, 0)</f>
        <v>10.220000000000001</v>
      </c>
      <c r="Y280">
        <f>IF(Source!BI208=3,H273+H274+H276+H277+H278, 0)</f>
        <v>0</v>
      </c>
      <c r="Z280">
        <f>IF(Source!BI208=4,H273+H274+H276+H277+H278, 0)</f>
        <v>0</v>
      </c>
    </row>
    <row r="281" spans="1:26" ht="28.5">
      <c r="A281" s="23" t="str">
        <f>Source!E209</f>
        <v>2</v>
      </c>
      <c r="B281" s="57" t="str">
        <f>Source!F209</f>
        <v>м08-03-591-8</v>
      </c>
      <c r="C281" s="57" t="str">
        <f>Source!G209</f>
        <v>Розетка штепсельная неутопленного типа при открытой проводке</v>
      </c>
      <c r="D281" s="39" t="str">
        <f>Source!H209</f>
        <v>100 шт.</v>
      </c>
      <c r="E281" s="10">
        <f>Source!I209</f>
        <v>0.04</v>
      </c>
      <c r="F281" s="40">
        <f>Source!AL209+Source!AM209+Source!AO209</f>
        <v>463.29999999999995</v>
      </c>
      <c r="G281" s="41"/>
      <c r="H281" s="42"/>
      <c r="I281" s="41" t="str">
        <f>Source!BO209</f>
        <v>м08-03-591-8</v>
      </c>
      <c r="J281" s="41"/>
      <c r="K281" s="42"/>
      <c r="L281" s="43"/>
      <c r="S281">
        <f>ROUND((Source!FX209/100)*((ROUND(Source!AF209*Source!I209, 2)+ROUND(Source!AE209*Source!I209, 2))), 2)</f>
        <v>13.04</v>
      </c>
      <c r="T281">
        <f>Source!X209</f>
        <v>431.08</v>
      </c>
      <c r="U281">
        <f>ROUND((Source!FY209/100)*((ROUND(Source!AF209*Source!I209, 2)+ROUND(Source!AE209*Source!I209, 2))), 2)</f>
        <v>8.92</v>
      </c>
      <c r="V281">
        <f>Source!Y209</f>
        <v>294.95</v>
      </c>
    </row>
    <row r="282" spans="1:26">
      <c r="C282" s="31" t="str">
        <f>"Объем: "&amp;Source!I209&amp;"=4/"&amp;"100"</f>
        <v>Объем: 0,04=4/100</v>
      </c>
    </row>
    <row r="283" spans="1:26" ht="14.25">
      <c r="A283" s="23"/>
      <c r="B283" s="57"/>
      <c r="C283" s="57" t="s">
        <v>666</v>
      </c>
      <c r="D283" s="39"/>
      <c r="E283" s="10"/>
      <c r="F283" s="40">
        <f>Source!AO209</f>
        <v>342.84</v>
      </c>
      <c r="G283" s="41" t="str">
        <f>Source!DG209</f>
        <v/>
      </c>
      <c r="H283" s="42">
        <f>ROUND(Source!AF209*Source!I209, 2)</f>
        <v>13.71</v>
      </c>
      <c r="I283" s="41"/>
      <c r="J283" s="41">
        <f>IF(Source!BA209&lt;&gt; 0, Source!BA209, 1)</f>
        <v>33.049999999999997</v>
      </c>
      <c r="K283" s="42">
        <f>Source!S209</f>
        <v>453.23</v>
      </c>
      <c r="L283" s="43"/>
      <c r="R283">
        <f>H283</f>
        <v>13.71</v>
      </c>
    </row>
    <row r="284" spans="1:26" ht="14.25">
      <c r="A284" s="23"/>
      <c r="B284" s="57"/>
      <c r="C284" s="57" t="s">
        <v>87</v>
      </c>
      <c r="D284" s="39"/>
      <c r="E284" s="10"/>
      <c r="F284" s="40">
        <f>Source!AM209</f>
        <v>13.78</v>
      </c>
      <c r="G284" s="41" t="str">
        <f>Source!DE209</f>
        <v/>
      </c>
      <c r="H284" s="42">
        <f>ROUND(Source!AD209*Source!I209, 2)</f>
        <v>0.55000000000000004</v>
      </c>
      <c r="I284" s="41"/>
      <c r="J284" s="41">
        <f>IF(Source!BB209&lt;&gt; 0, Source!BB209, 1)</f>
        <v>5.96</v>
      </c>
      <c r="K284" s="42">
        <f>Source!Q209</f>
        <v>3.29</v>
      </c>
      <c r="L284" s="43"/>
    </row>
    <row r="285" spans="1:26" ht="14.25">
      <c r="A285" s="23"/>
      <c r="B285" s="57"/>
      <c r="C285" s="57" t="s">
        <v>672</v>
      </c>
      <c r="D285" s="39"/>
      <c r="E285" s="10"/>
      <c r="F285" s="40">
        <f>Source!AN209</f>
        <v>0.41</v>
      </c>
      <c r="G285" s="41" t="str">
        <f>Source!DF209</f>
        <v/>
      </c>
      <c r="H285" s="55">
        <f>ROUND(Source!AE209*Source!I209, 2)</f>
        <v>0.02</v>
      </c>
      <c r="I285" s="41"/>
      <c r="J285" s="41">
        <f>IF(Source!BS209&lt;&gt; 0, Source!BS209, 1)</f>
        <v>33.049999999999997</v>
      </c>
      <c r="K285" s="55">
        <f>Source!R209</f>
        <v>0.54</v>
      </c>
      <c r="L285" s="43"/>
      <c r="R285">
        <f>H285</f>
        <v>0.02</v>
      </c>
    </row>
    <row r="286" spans="1:26" ht="14.25">
      <c r="A286" s="23"/>
      <c r="B286" s="57"/>
      <c r="C286" s="57" t="s">
        <v>673</v>
      </c>
      <c r="D286" s="39"/>
      <c r="E286" s="10"/>
      <c r="F286" s="40">
        <f>Source!AL209</f>
        <v>106.68</v>
      </c>
      <c r="G286" s="41" t="str">
        <f>Source!DD209</f>
        <v/>
      </c>
      <c r="H286" s="42">
        <f>ROUND(Source!AC209*Source!I209, 2)</f>
        <v>4.2699999999999996</v>
      </c>
      <c r="I286" s="41"/>
      <c r="J286" s="41">
        <f>IF(Source!BC209&lt;&gt; 0, Source!BC209, 1)</f>
        <v>3.2</v>
      </c>
      <c r="K286" s="42">
        <f>Source!P209</f>
        <v>13.66</v>
      </c>
      <c r="L286" s="43"/>
    </row>
    <row r="287" spans="1:26" ht="14.25">
      <c r="A287" s="23"/>
      <c r="B287" s="57"/>
      <c r="C287" s="57" t="s">
        <v>667</v>
      </c>
      <c r="D287" s="39" t="s">
        <v>668</v>
      </c>
      <c r="E287" s="10">
        <f>Source!BZ209</f>
        <v>95</v>
      </c>
      <c r="F287" s="60"/>
      <c r="G287" s="41"/>
      <c r="H287" s="42">
        <f>SUM(S281:S289)</f>
        <v>13.04</v>
      </c>
      <c r="I287" s="44"/>
      <c r="J287" s="38">
        <f>Source!AT209</f>
        <v>95</v>
      </c>
      <c r="K287" s="42">
        <f>SUM(T281:T289)</f>
        <v>431.08</v>
      </c>
      <c r="L287" s="43"/>
    </row>
    <row r="288" spans="1:26" ht="14.25">
      <c r="A288" s="23"/>
      <c r="B288" s="57"/>
      <c r="C288" s="57" t="s">
        <v>669</v>
      </c>
      <c r="D288" s="39" t="s">
        <v>668</v>
      </c>
      <c r="E288" s="10">
        <f>Source!CA209</f>
        <v>65</v>
      </c>
      <c r="F288" s="60"/>
      <c r="G288" s="41"/>
      <c r="H288" s="42">
        <f>SUM(U281:U289)</f>
        <v>8.92</v>
      </c>
      <c r="I288" s="44"/>
      <c r="J288" s="38">
        <f>Source!AU209</f>
        <v>65</v>
      </c>
      <c r="K288" s="42">
        <f>SUM(V281:V289)</f>
        <v>294.95</v>
      </c>
      <c r="L288" s="43"/>
    </row>
    <row r="289" spans="1:26" ht="14.25">
      <c r="A289" s="58"/>
      <c r="B289" s="59"/>
      <c r="C289" s="59" t="s">
        <v>670</v>
      </c>
      <c r="D289" s="46" t="s">
        <v>671</v>
      </c>
      <c r="E289" s="47">
        <f>Source!AQ209</f>
        <v>34.56</v>
      </c>
      <c r="F289" s="48"/>
      <c r="G289" s="51" t="str">
        <f>Source!DI209</f>
        <v/>
      </c>
      <c r="H289" s="50"/>
      <c r="I289" s="51"/>
      <c r="J289" s="51"/>
      <c r="K289" s="50"/>
      <c r="L289" s="54">
        <f>Source!U209</f>
        <v>1.3824000000000001</v>
      </c>
    </row>
    <row r="290" spans="1:26" ht="15">
      <c r="G290" s="68">
        <f>H283+H284+H286+H287+H288</f>
        <v>40.49</v>
      </c>
      <c r="H290" s="68"/>
      <c r="J290" s="68">
        <f>K283+K284+K286+K287+K288</f>
        <v>1196.21</v>
      </c>
      <c r="K290" s="68"/>
      <c r="L290" s="53">
        <f>Source!U209</f>
        <v>1.3824000000000001</v>
      </c>
      <c r="O290" s="32">
        <f>G290</f>
        <v>40.49</v>
      </c>
      <c r="P290" s="32">
        <f>J290</f>
        <v>1196.21</v>
      </c>
      <c r="Q290" s="32">
        <f>L290</f>
        <v>1.3824000000000001</v>
      </c>
      <c r="W290">
        <f>IF(Source!BI209&lt;=1,H283+H284+H286+H287+H288, 0)</f>
        <v>0</v>
      </c>
      <c r="X290">
        <f>IF(Source!BI209=2,H283+H284+H286+H287+H288, 0)</f>
        <v>40.49</v>
      </c>
      <c r="Y290">
        <f>IF(Source!BI209=3,H283+H284+H286+H287+H288, 0)</f>
        <v>0</v>
      </c>
      <c r="Z290">
        <f>IF(Source!BI209=4,H283+H284+H286+H287+H288, 0)</f>
        <v>0</v>
      </c>
    </row>
    <row r="291" spans="1:26" ht="85.5">
      <c r="A291" s="23" t="str">
        <f>Source!E210</f>
        <v>4</v>
      </c>
      <c r="B291" s="57" t="str">
        <f>Source!F210</f>
        <v>501-8190</v>
      </c>
      <c r="C291" s="57" t="str">
        <f>Source!G210</f>
        <v>Кабель силовой с медными жилами с поливинилхлоридной изоляцией в поливинилхлоридной оболочке без защитного покрова ВВГ, напряжением 0,66 Кв, число жил – 3 и сечением 1,5 мм2</v>
      </c>
      <c r="D291" s="39" t="str">
        <f>Source!H210</f>
        <v>1000 м</v>
      </c>
      <c r="E291" s="10">
        <f>Source!I210</f>
        <v>0.1</v>
      </c>
      <c r="F291" s="40">
        <f>Source!AL210</f>
        <v>4329</v>
      </c>
      <c r="G291" s="41" t="str">
        <f>Source!DD210</f>
        <v/>
      </c>
      <c r="H291" s="42">
        <f>ROUND(Source!AC210*Source!I210, 2)</f>
        <v>432.9</v>
      </c>
      <c r="I291" s="41" t="str">
        <f>Source!BO210</f>
        <v>501-8190</v>
      </c>
      <c r="J291" s="41">
        <f>IF(Source!BC210&lt;&gt; 0, Source!BC210, 1)</f>
        <v>7.67</v>
      </c>
      <c r="K291" s="42">
        <f>Source!P210</f>
        <v>3320.34</v>
      </c>
      <c r="L291" s="43"/>
      <c r="S291">
        <f>ROUND((Source!FX210/100)*((ROUND(Source!AF210*Source!I210, 2)+ROUND(Source!AE210*Source!I210, 2))), 2)</f>
        <v>0</v>
      </c>
      <c r="T291">
        <f>Source!X210</f>
        <v>0</v>
      </c>
      <c r="U291">
        <f>ROUND((Source!FY210/100)*((ROUND(Source!AF210*Source!I210, 2)+ROUND(Source!AE210*Source!I210, 2))), 2)</f>
        <v>0</v>
      </c>
      <c r="V291">
        <f>Source!Y210</f>
        <v>0</v>
      </c>
    </row>
    <row r="292" spans="1:26">
      <c r="A292" s="34"/>
      <c r="B292" s="34"/>
      <c r="C292" s="35" t="str">
        <f>"Объем: "&amp;Source!I210&amp;"=100/"&amp;"1000"</f>
        <v>Объем: 0,1=100/1000</v>
      </c>
      <c r="D292" s="34"/>
      <c r="E292" s="34"/>
      <c r="F292" s="34"/>
      <c r="G292" s="34"/>
      <c r="H292" s="34"/>
      <c r="I292" s="34"/>
      <c r="J292" s="34"/>
      <c r="K292" s="34"/>
      <c r="L292" s="34"/>
    </row>
    <row r="293" spans="1:26" ht="15">
      <c r="G293" s="68">
        <f>H291</f>
        <v>432.9</v>
      </c>
      <c r="H293" s="68"/>
      <c r="J293" s="68">
        <f>K291</f>
        <v>3320.34</v>
      </c>
      <c r="K293" s="68"/>
      <c r="L293" s="53">
        <f>Source!U210</f>
        <v>0</v>
      </c>
      <c r="O293" s="32">
        <f>G293</f>
        <v>432.9</v>
      </c>
      <c r="P293" s="32">
        <f>J293</f>
        <v>3320.34</v>
      </c>
      <c r="Q293" s="32">
        <f>L293</f>
        <v>0</v>
      </c>
      <c r="W293">
        <f>IF(Source!BI210&lt;=1,H291, 0)</f>
        <v>0</v>
      </c>
      <c r="X293">
        <f>IF(Source!BI210=2,H291, 0)</f>
        <v>432.9</v>
      </c>
      <c r="Y293">
        <f>IF(Source!BI210=3,H291, 0)</f>
        <v>0</v>
      </c>
      <c r="Z293">
        <f>IF(Source!BI210=4,H291, 0)</f>
        <v>0</v>
      </c>
    </row>
    <row r="294" spans="1:26" ht="28.5">
      <c r="A294" s="23" t="str">
        <f>Source!E211</f>
        <v>5</v>
      </c>
      <c r="B294" s="57" t="str">
        <f>Source!F211</f>
        <v>м08-02-390-1</v>
      </c>
      <c r="C294" s="57" t="str">
        <f>Source!G211</f>
        <v>Короба пластмассовые шириной до 40 мм</v>
      </c>
      <c r="D294" s="39" t="str">
        <f>Source!H211</f>
        <v>100 м</v>
      </c>
      <c r="E294" s="10">
        <f>Source!I211</f>
        <v>1</v>
      </c>
      <c r="F294" s="40">
        <f>Source!AL211+Source!AM211+Source!AO211</f>
        <v>237.45</v>
      </c>
      <c r="G294" s="41"/>
      <c r="H294" s="42"/>
      <c r="I294" s="41" t="str">
        <f>Source!BO211</f>
        <v>м08-02-390-1</v>
      </c>
      <c r="J294" s="41"/>
      <c r="K294" s="42"/>
      <c r="L294" s="43"/>
      <c r="S294">
        <f>ROUND((Source!FX211/100)*((ROUND(Source!AF211*Source!I211, 2)+ROUND(Source!AE211*Source!I211, 2))), 2)</f>
        <v>147.31</v>
      </c>
      <c r="T294">
        <f>Source!X211</f>
        <v>4868.5</v>
      </c>
      <c r="U294">
        <f>ROUND((Source!FY211/100)*((ROUND(Source!AF211*Source!I211, 2)+ROUND(Source!AE211*Source!I211, 2))), 2)</f>
        <v>100.79</v>
      </c>
      <c r="V294">
        <f>Source!Y211</f>
        <v>3331.08</v>
      </c>
    </row>
    <row r="295" spans="1:26">
      <c r="C295" s="31" t="str">
        <f>"Объем: "&amp;Source!I211&amp;"=100/"&amp;"100"</f>
        <v>Объем: 1=100/100</v>
      </c>
    </row>
    <row r="296" spans="1:26" ht="14.25">
      <c r="A296" s="23"/>
      <c r="B296" s="57"/>
      <c r="C296" s="57" t="s">
        <v>666</v>
      </c>
      <c r="D296" s="39"/>
      <c r="E296" s="10"/>
      <c r="F296" s="40">
        <f>Source!AO211</f>
        <v>154.91999999999999</v>
      </c>
      <c r="G296" s="41" t="str">
        <f>Source!DG211</f>
        <v/>
      </c>
      <c r="H296" s="42">
        <f>ROUND(Source!AF211*Source!I211, 2)</f>
        <v>154.91999999999999</v>
      </c>
      <c r="I296" s="41"/>
      <c r="J296" s="41">
        <f>IF(Source!BA211&lt;&gt; 0, Source!BA211, 1)</f>
        <v>33.049999999999997</v>
      </c>
      <c r="K296" s="42">
        <f>Source!S211</f>
        <v>5120.1099999999997</v>
      </c>
      <c r="L296" s="43"/>
      <c r="R296">
        <f>H296</f>
        <v>154.91999999999999</v>
      </c>
    </row>
    <row r="297" spans="1:26" ht="14.25">
      <c r="A297" s="23"/>
      <c r="B297" s="57"/>
      <c r="C297" s="57" t="s">
        <v>87</v>
      </c>
      <c r="D297" s="39"/>
      <c r="E297" s="10"/>
      <c r="F297" s="40">
        <f>Source!AM211</f>
        <v>31.2</v>
      </c>
      <c r="G297" s="41" t="str">
        <f>Source!DE211</f>
        <v/>
      </c>
      <c r="H297" s="42">
        <f>ROUND(Source!AD211*Source!I211, 2)</f>
        <v>31.2</v>
      </c>
      <c r="I297" s="41"/>
      <c r="J297" s="41">
        <f>IF(Source!BB211&lt;&gt; 0, Source!BB211, 1)</f>
        <v>8.84</v>
      </c>
      <c r="K297" s="42">
        <f>Source!Q211</f>
        <v>275.81</v>
      </c>
      <c r="L297" s="43"/>
    </row>
    <row r="298" spans="1:26" ht="14.25">
      <c r="A298" s="23"/>
      <c r="B298" s="57"/>
      <c r="C298" s="57" t="s">
        <v>672</v>
      </c>
      <c r="D298" s="39"/>
      <c r="E298" s="10"/>
      <c r="F298" s="40">
        <f>Source!AN211</f>
        <v>0.14000000000000001</v>
      </c>
      <c r="G298" s="41" t="str">
        <f>Source!DF211</f>
        <v/>
      </c>
      <c r="H298" s="55">
        <f>ROUND(Source!AE211*Source!I211, 2)</f>
        <v>0.14000000000000001</v>
      </c>
      <c r="I298" s="41"/>
      <c r="J298" s="41">
        <f>IF(Source!BS211&lt;&gt; 0, Source!BS211, 1)</f>
        <v>33.049999999999997</v>
      </c>
      <c r="K298" s="55">
        <f>Source!R211</f>
        <v>4.63</v>
      </c>
      <c r="L298" s="43"/>
      <c r="R298">
        <f>H298</f>
        <v>0.14000000000000001</v>
      </c>
    </row>
    <row r="299" spans="1:26" ht="14.25">
      <c r="A299" s="23"/>
      <c r="B299" s="57"/>
      <c r="C299" s="57" t="s">
        <v>673</v>
      </c>
      <c r="D299" s="39"/>
      <c r="E299" s="10"/>
      <c r="F299" s="40">
        <f>Source!AL211</f>
        <v>51.33</v>
      </c>
      <c r="G299" s="41" t="str">
        <f>Source!DD211</f>
        <v/>
      </c>
      <c r="H299" s="42">
        <f>ROUND(Source!AC211*Source!I211, 2)</f>
        <v>51.33</v>
      </c>
      <c r="I299" s="41"/>
      <c r="J299" s="41">
        <f>IF(Source!BC211&lt;&gt; 0, Source!BC211, 1)</f>
        <v>4.63</v>
      </c>
      <c r="K299" s="42">
        <f>Source!P211</f>
        <v>237.66</v>
      </c>
      <c r="L299" s="43"/>
    </row>
    <row r="300" spans="1:26" ht="14.25">
      <c r="A300" s="23"/>
      <c r="B300" s="57"/>
      <c r="C300" s="57" t="s">
        <v>667</v>
      </c>
      <c r="D300" s="39" t="s">
        <v>668</v>
      </c>
      <c r="E300" s="10">
        <f>Source!BZ211</f>
        <v>95</v>
      </c>
      <c r="F300" s="60"/>
      <c r="G300" s="41"/>
      <c r="H300" s="42">
        <f>SUM(S294:S302)</f>
        <v>147.31</v>
      </c>
      <c r="I300" s="44"/>
      <c r="J300" s="38">
        <f>Source!AT211</f>
        <v>95</v>
      </c>
      <c r="K300" s="42">
        <f>SUM(T294:T302)</f>
        <v>4868.5</v>
      </c>
      <c r="L300" s="43"/>
    </row>
    <row r="301" spans="1:26" ht="14.25">
      <c r="A301" s="23"/>
      <c r="B301" s="57"/>
      <c r="C301" s="57" t="s">
        <v>669</v>
      </c>
      <c r="D301" s="39" t="s">
        <v>668</v>
      </c>
      <c r="E301" s="10">
        <f>Source!CA211</f>
        <v>65</v>
      </c>
      <c r="F301" s="60"/>
      <c r="G301" s="41"/>
      <c r="H301" s="42">
        <f>SUM(U294:U302)</f>
        <v>100.79</v>
      </c>
      <c r="I301" s="44"/>
      <c r="J301" s="38">
        <f>Source!AU211</f>
        <v>65</v>
      </c>
      <c r="K301" s="42">
        <f>SUM(V294:V302)</f>
        <v>3331.08</v>
      </c>
      <c r="L301" s="43"/>
    </row>
    <row r="302" spans="1:26" ht="14.25">
      <c r="A302" s="58"/>
      <c r="B302" s="59"/>
      <c r="C302" s="59" t="s">
        <v>670</v>
      </c>
      <c r="D302" s="46" t="s">
        <v>671</v>
      </c>
      <c r="E302" s="47">
        <f>Source!AQ211</f>
        <v>16.29</v>
      </c>
      <c r="F302" s="48"/>
      <c r="G302" s="51" t="str">
        <f>Source!DI211</f>
        <v/>
      </c>
      <c r="H302" s="50"/>
      <c r="I302" s="51"/>
      <c r="J302" s="51"/>
      <c r="K302" s="50"/>
      <c r="L302" s="54">
        <f>Source!U211</f>
        <v>16.29</v>
      </c>
    </row>
    <row r="303" spans="1:26" ht="15">
      <c r="G303" s="68">
        <f>H296+H297+H299+H300+H301</f>
        <v>485.55</v>
      </c>
      <c r="H303" s="68"/>
      <c r="J303" s="68">
        <f>K296+K297+K299+K300+K301</f>
        <v>13833.16</v>
      </c>
      <c r="K303" s="68"/>
      <c r="L303" s="53">
        <f>Source!U211</f>
        <v>16.29</v>
      </c>
      <c r="O303" s="32">
        <f>G303</f>
        <v>485.55</v>
      </c>
      <c r="P303" s="32">
        <f>J303</f>
        <v>13833.16</v>
      </c>
      <c r="Q303" s="32">
        <f>L303</f>
        <v>16.29</v>
      </c>
      <c r="W303">
        <f>IF(Source!BI211&lt;=1,H296+H297+H299+H300+H301, 0)</f>
        <v>0</v>
      </c>
      <c r="X303">
        <f>IF(Source!BI211=2,H296+H297+H299+H300+H301, 0)</f>
        <v>485.55</v>
      </c>
      <c r="Y303">
        <f>IF(Source!BI211=3,H296+H297+H299+H300+H301, 0)</f>
        <v>0</v>
      </c>
      <c r="Z303">
        <f>IF(Source!BI211=4,H296+H297+H299+H300+H301, 0)</f>
        <v>0</v>
      </c>
    </row>
    <row r="304" spans="1:26" ht="52.5">
      <c r="A304" s="23" t="str">
        <f>Source!E212</f>
        <v>6</v>
      </c>
      <c r="B304" s="57" t="s">
        <v>677</v>
      </c>
      <c r="C304" s="57" t="str">
        <f>Source!G212</f>
        <v>Провод в коробах, сечением до 6 мм2</v>
      </c>
      <c r="D304" s="39" t="str">
        <f>Source!H212</f>
        <v>100 м</v>
      </c>
      <c r="E304" s="10">
        <f>Source!I212</f>
        <v>1</v>
      </c>
      <c r="F304" s="40">
        <f>Source!AL212+Source!AM212+Source!AO212</f>
        <v>41.59</v>
      </c>
      <c r="G304" s="41"/>
      <c r="H304" s="42"/>
      <c r="I304" s="41" t="str">
        <f>Source!BO212</f>
        <v>м08-02-399-1</v>
      </c>
      <c r="J304" s="41"/>
      <c r="K304" s="42"/>
      <c r="L304" s="43"/>
      <c r="S304">
        <f>ROUND((Source!FX212/100)*((ROUND(Source!AF212*Source!I212, 2)+ROUND(Source!AE212*Source!I212, 2))), 2)</f>
        <v>29.1</v>
      </c>
      <c r="T304">
        <f>Source!X212</f>
        <v>961.6</v>
      </c>
      <c r="U304">
        <f>ROUND((Source!FY212/100)*((ROUND(Source!AF212*Source!I212, 2)+ROUND(Source!AE212*Source!I212, 2))), 2)</f>
        <v>19.91</v>
      </c>
      <c r="V304">
        <f>Source!Y212</f>
        <v>657.94</v>
      </c>
    </row>
    <row r="305" spans="1:26">
      <c r="C305" s="31" t="str">
        <f>"Объем: "&amp;Source!I212&amp;"=100/"&amp;"100"</f>
        <v>Объем: 1=100/100</v>
      </c>
    </row>
    <row r="306" spans="1:26" ht="14.25">
      <c r="A306" s="23"/>
      <c r="B306" s="57"/>
      <c r="C306" s="57" t="s">
        <v>666</v>
      </c>
      <c r="D306" s="39"/>
      <c r="E306" s="10"/>
      <c r="F306" s="40">
        <f>Source!AO212</f>
        <v>26.51</v>
      </c>
      <c r="G306" s="41" t="str">
        <f>Source!DG212</f>
        <v>)*1,15</v>
      </c>
      <c r="H306" s="42">
        <f>ROUND(Source!AF212*Source!I212, 2)</f>
        <v>30.49</v>
      </c>
      <c r="I306" s="41"/>
      <c r="J306" s="41">
        <f>IF(Source!BA212&lt;&gt; 0, Source!BA212, 1)</f>
        <v>33.049999999999997</v>
      </c>
      <c r="K306" s="42">
        <f>Source!S212</f>
        <v>1007.58</v>
      </c>
      <c r="L306" s="43"/>
      <c r="R306">
        <f>H306</f>
        <v>30.49</v>
      </c>
    </row>
    <row r="307" spans="1:26" ht="14.25">
      <c r="A307" s="23"/>
      <c r="B307" s="57"/>
      <c r="C307" s="57" t="s">
        <v>87</v>
      </c>
      <c r="D307" s="39"/>
      <c r="E307" s="10"/>
      <c r="F307" s="40">
        <f>Source!AM212</f>
        <v>2.2200000000000002</v>
      </c>
      <c r="G307" s="41" t="str">
        <f>Source!DE212</f>
        <v/>
      </c>
      <c r="H307" s="42">
        <f>ROUND(Source!AD212*Source!I212, 2)</f>
        <v>2.2200000000000002</v>
      </c>
      <c r="I307" s="41"/>
      <c r="J307" s="41">
        <f>IF(Source!BB212&lt;&gt; 0, Source!BB212, 1)</f>
        <v>9.2200000000000006</v>
      </c>
      <c r="K307" s="42">
        <f>Source!Q212</f>
        <v>20.47</v>
      </c>
      <c r="L307" s="43"/>
    </row>
    <row r="308" spans="1:26" ht="14.25">
      <c r="A308" s="23"/>
      <c r="B308" s="57"/>
      <c r="C308" s="57" t="s">
        <v>672</v>
      </c>
      <c r="D308" s="39"/>
      <c r="E308" s="10"/>
      <c r="F308" s="40">
        <f>Source!AN212</f>
        <v>0.14000000000000001</v>
      </c>
      <c r="G308" s="41" t="str">
        <f>Source!DF212</f>
        <v/>
      </c>
      <c r="H308" s="55">
        <f>ROUND(Source!AE212*Source!I212, 2)</f>
        <v>0.14000000000000001</v>
      </c>
      <c r="I308" s="41"/>
      <c r="J308" s="41">
        <f>IF(Source!BS212&lt;&gt; 0, Source!BS212, 1)</f>
        <v>33.049999999999997</v>
      </c>
      <c r="K308" s="55">
        <f>Source!R212</f>
        <v>4.63</v>
      </c>
      <c r="L308" s="43"/>
      <c r="R308">
        <f>H308</f>
        <v>0.14000000000000001</v>
      </c>
    </row>
    <row r="309" spans="1:26" ht="14.25">
      <c r="A309" s="23"/>
      <c r="B309" s="57"/>
      <c r="C309" s="57" t="s">
        <v>673</v>
      </c>
      <c r="D309" s="39"/>
      <c r="E309" s="10"/>
      <c r="F309" s="40">
        <f>Source!AL212</f>
        <v>12.86</v>
      </c>
      <c r="G309" s="41" t="str">
        <f>Source!DD212</f>
        <v/>
      </c>
      <c r="H309" s="42">
        <f>ROUND(Source!AC212*Source!I212, 2)</f>
        <v>12.86</v>
      </c>
      <c r="I309" s="41"/>
      <c r="J309" s="41">
        <f>IF(Source!BC212&lt;&gt; 0, Source!BC212, 1)</f>
        <v>5.05</v>
      </c>
      <c r="K309" s="42">
        <f>Source!P212</f>
        <v>64.94</v>
      </c>
      <c r="L309" s="43"/>
    </row>
    <row r="310" spans="1:26" ht="14.25">
      <c r="A310" s="23"/>
      <c r="B310" s="57"/>
      <c r="C310" s="57" t="s">
        <v>667</v>
      </c>
      <c r="D310" s="39" t="s">
        <v>668</v>
      </c>
      <c r="E310" s="10">
        <f>Source!BZ212</f>
        <v>95</v>
      </c>
      <c r="F310" s="60"/>
      <c r="G310" s="41"/>
      <c r="H310" s="42">
        <f>SUM(S304:S312)</f>
        <v>29.1</v>
      </c>
      <c r="I310" s="44"/>
      <c r="J310" s="38">
        <f>Source!AT212</f>
        <v>95</v>
      </c>
      <c r="K310" s="42">
        <f>SUM(T304:T312)</f>
        <v>961.6</v>
      </c>
      <c r="L310" s="43"/>
    </row>
    <row r="311" spans="1:26" ht="14.25">
      <c r="A311" s="23"/>
      <c r="B311" s="57"/>
      <c r="C311" s="57" t="s">
        <v>669</v>
      </c>
      <c r="D311" s="39" t="s">
        <v>668</v>
      </c>
      <c r="E311" s="10">
        <f>Source!CA212</f>
        <v>65</v>
      </c>
      <c r="F311" s="60"/>
      <c r="G311" s="41"/>
      <c r="H311" s="42">
        <f>SUM(U304:U312)</f>
        <v>19.91</v>
      </c>
      <c r="I311" s="44"/>
      <c r="J311" s="38">
        <f>Source!AU212</f>
        <v>65</v>
      </c>
      <c r="K311" s="42">
        <f>SUM(V304:V312)</f>
        <v>657.94</v>
      </c>
      <c r="L311" s="43"/>
    </row>
    <row r="312" spans="1:26" ht="14.25">
      <c r="A312" s="58"/>
      <c r="B312" s="59"/>
      <c r="C312" s="59" t="s">
        <v>670</v>
      </c>
      <c r="D312" s="46" t="s">
        <v>671</v>
      </c>
      <c r="E312" s="47">
        <f>Source!AQ212</f>
        <v>2.82</v>
      </c>
      <c r="F312" s="48"/>
      <c r="G312" s="51" t="str">
        <f>Source!DI212</f>
        <v>)*1,15</v>
      </c>
      <c r="H312" s="50"/>
      <c r="I312" s="51"/>
      <c r="J312" s="51"/>
      <c r="K312" s="50"/>
      <c r="L312" s="54">
        <f>Source!U212</f>
        <v>3.2429999999999994</v>
      </c>
    </row>
    <row r="313" spans="1:26" ht="15">
      <c r="G313" s="68">
        <f>H306+H307+H309+H310+H311</f>
        <v>94.58</v>
      </c>
      <c r="H313" s="68"/>
      <c r="J313" s="68">
        <f>K306+K307+K309+K310+K311</f>
        <v>2712.53</v>
      </c>
      <c r="K313" s="68"/>
      <c r="L313" s="53">
        <f>Source!U212</f>
        <v>3.2429999999999994</v>
      </c>
      <c r="O313" s="32">
        <f>G313</f>
        <v>94.58</v>
      </c>
      <c r="P313" s="32">
        <f>J313</f>
        <v>2712.53</v>
      </c>
      <c r="Q313" s="32">
        <f>L313</f>
        <v>3.2429999999999994</v>
      </c>
      <c r="W313">
        <f>IF(Source!BI212&lt;=1,H306+H307+H309+H310+H311, 0)</f>
        <v>0</v>
      </c>
      <c r="X313">
        <f>IF(Source!BI212=2,H306+H307+H309+H310+H311, 0)</f>
        <v>94.58</v>
      </c>
      <c r="Y313">
        <f>IF(Source!BI212=3,H306+H307+H309+H310+H311, 0)</f>
        <v>0</v>
      </c>
      <c r="Z313">
        <f>IF(Source!BI212=4,H306+H307+H309+H310+H311, 0)</f>
        <v>0</v>
      </c>
    </row>
    <row r="314" spans="1:26" ht="42.75">
      <c r="A314" s="23" t="str">
        <f>Source!E213</f>
        <v>8</v>
      </c>
      <c r="B314" s="57" t="str">
        <f>Source!F213</f>
        <v>т01-01-01-041</v>
      </c>
      <c r="C314" s="57" t="str">
        <f>Source!G213</f>
        <v>Погрузка при автомобильных перевозках мусора строительного с погрузкой вручную</v>
      </c>
      <c r="D314" s="39" t="str">
        <f>Source!H213</f>
        <v>1 Т ГРУЗА</v>
      </c>
      <c r="E314" s="10">
        <f>Source!I213</f>
        <v>1.5</v>
      </c>
      <c r="F314" s="40">
        <f>Source!AL213+Source!AM213+Source!AO213</f>
        <v>42.98</v>
      </c>
      <c r="G314" s="41"/>
      <c r="H314" s="42"/>
      <c r="I314" s="41" t="str">
        <f>Source!BO213</f>
        <v/>
      </c>
      <c r="J314" s="41"/>
      <c r="K314" s="42"/>
      <c r="L314" s="43"/>
      <c r="S314">
        <f>ROUND((Source!FX213/100)*((ROUND(Source!AF213*Source!I213, 2)+ROUND(Source!AE213*Source!I213, 2))), 2)</f>
        <v>0</v>
      </c>
      <c r="T314">
        <f>Source!X213</f>
        <v>0</v>
      </c>
      <c r="U314">
        <f>ROUND((Source!FY213/100)*((ROUND(Source!AF213*Source!I213, 2)+ROUND(Source!AE213*Source!I213, 2))), 2)</f>
        <v>0</v>
      </c>
      <c r="V314">
        <f>Source!Y213</f>
        <v>0</v>
      </c>
    </row>
    <row r="315" spans="1:26" ht="14.25">
      <c r="A315" s="58"/>
      <c r="B315" s="59"/>
      <c r="C315" s="59" t="s">
        <v>87</v>
      </c>
      <c r="D315" s="46"/>
      <c r="E315" s="47"/>
      <c r="F315" s="48">
        <f>Source!AM213</f>
        <v>42.98</v>
      </c>
      <c r="G315" s="51" t="str">
        <f>Source!DE213</f>
        <v/>
      </c>
      <c r="H315" s="50">
        <f>ROUND(Source!AD213*Source!I213, 2)</f>
        <v>64.47</v>
      </c>
      <c r="I315" s="51"/>
      <c r="J315" s="51">
        <f>IF(Source!BB213&lt;&gt; 0, Source!BB213, 1)</f>
        <v>14.43</v>
      </c>
      <c r="K315" s="50">
        <f>Source!Q213</f>
        <v>930.3</v>
      </c>
      <c r="L315" s="52"/>
    </row>
    <row r="316" spans="1:26" ht="15">
      <c r="G316" s="68">
        <f>H315</f>
        <v>64.47</v>
      </c>
      <c r="H316" s="68"/>
      <c r="J316" s="68">
        <f>K315</f>
        <v>930.3</v>
      </c>
      <c r="K316" s="68"/>
      <c r="L316" s="53">
        <f>Source!U213</f>
        <v>0</v>
      </c>
      <c r="O316" s="32">
        <f>G316</f>
        <v>64.47</v>
      </c>
      <c r="P316" s="32">
        <f>J316</f>
        <v>930.3</v>
      </c>
      <c r="Q316" s="32">
        <f>L316</f>
        <v>0</v>
      </c>
      <c r="W316">
        <f>IF(Source!BI213&lt;=1,H315, 0)</f>
        <v>64.47</v>
      </c>
      <c r="X316">
        <f>IF(Source!BI213=2,H315, 0)</f>
        <v>0</v>
      </c>
      <c r="Y316">
        <f>IF(Source!BI213=3,H315, 0)</f>
        <v>0</v>
      </c>
      <c r="Z316">
        <f>IF(Source!BI213=4,H315, 0)</f>
        <v>0</v>
      </c>
    </row>
    <row r="317" spans="1:26" ht="57">
      <c r="A317" s="23" t="str">
        <f>Source!E214</f>
        <v>9</v>
      </c>
      <c r="B317" s="57" t="str">
        <f>Source!F214</f>
        <v>т03-21-01-030</v>
      </c>
      <c r="C317" s="57" t="str">
        <f>Source!G214</f>
        <v>Перевозка грузов I класса автомобилями-самосвалами грузоподъемностью 10 т работающих вне карьера на расстояние до 30 км</v>
      </c>
      <c r="D317" s="39" t="str">
        <f>Source!H214</f>
        <v>1 Т ГРУЗА</v>
      </c>
      <c r="E317" s="10">
        <f>Source!I214</f>
        <v>1.5</v>
      </c>
      <c r="F317" s="40">
        <f>Source!AL214+Source!AM214+Source!AO214</f>
        <v>19.29</v>
      </c>
      <c r="G317" s="41"/>
      <c r="H317" s="42"/>
      <c r="I317" s="41" t="str">
        <f>Source!BO214</f>
        <v/>
      </c>
      <c r="J317" s="41"/>
      <c r="K317" s="42"/>
      <c r="L317" s="43"/>
      <c r="S317">
        <f>ROUND((Source!FX214/100)*((ROUND(Source!AF214*Source!I214, 2)+ROUND(Source!AE214*Source!I214, 2))), 2)</f>
        <v>0</v>
      </c>
      <c r="T317">
        <f>Source!X214</f>
        <v>0</v>
      </c>
      <c r="U317">
        <f>ROUND((Source!FY214/100)*((ROUND(Source!AF214*Source!I214, 2)+ROUND(Source!AE214*Source!I214, 2))), 2)</f>
        <v>0</v>
      </c>
      <c r="V317">
        <f>Source!Y214</f>
        <v>0</v>
      </c>
    </row>
    <row r="318" spans="1:26" ht="14.25">
      <c r="A318" s="58"/>
      <c r="B318" s="59"/>
      <c r="C318" s="59" t="s">
        <v>87</v>
      </c>
      <c r="D318" s="46"/>
      <c r="E318" s="47"/>
      <c r="F318" s="48">
        <f>Source!AM214</f>
        <v>19.29</v>
      </c>
      <c r="G318" s="51" t="str">
        <f>Source!DE214</f>
        <v/>
      </c>
      <c r="H318" s="50">
        <f>ROUND(Source!AD214*Source!I214, 2)</f>
        <v>28.94</v>
      </c>
      <c r="I318" s="51"/>
      <c r="J318" s="51">
        <f>IF(Source!BB214&lt;&gt; 0, Source!BB214, 1)</f>
        <v>8.9600000000000009</v>
      </c>
      <c r="K318" s="50">
        <f>Source!Q214</f>
        <v>259.26</v>
      </c>
      <c r="L318" s="52"/>
    </row>
    <row r="319" spans="1:26" ht="15">
      <c r="G319" s="68">
        <f>H318</f>
        <v>28.94</v>
      </c>
      <c r="H319" s="68"/>
      <c r="J319" s="68">
        <f>K318</f>
        <v>259.26</v>
      </c>
      <c r="K319" s="68"/>
      <c r="L319" s="53">
        <f>Source!U214</f>
        <v>0</v>
      </c>
      <c r="O319" s="32">
        <f>G319</f>
        <v>28.94</v>
      </c>
      <c r="P319" s="32">
        <f>J319</f>
        <v>259.26</v>
      </c>
      <c r="Q319" s="32">
        <f>L319</f>
        <v>0</v>
      </c>
      <c r="W319">
        <f>IF(Source!BI214&lt;=1,H318, 0)</f>
        <v>28.94</v>
      </c>
      <c r="X319">
        <f>IF(Source!BI214=2,H318, 0)</f>
        <v>0</v>
      </c>
      <c r="Y319">
        <f>IF(Source!BI214=3,H318, 0)</f>
        <v>0</v>
      </c>
      <c r="Z319">
        <f>IF(Source!BI214=4,H318, 0)</f>
        <v>0</v>
      </c>
    </row>
    <row r="321" spans="1:32" ht="15">
      <c r="A321" s="67" t="str">
        <f>CONCATENATE("Итого по разделу: ",IF(Source!G216&lt;&gt;"Новый раздел", Source!G216, ""))</f>
        <v>Итого по разделу: электромонтажные работы</v>
      </c>
      <c r="B321" s="67"/>
      <c r="C321" s="67"/>
      <c r="D321" s="67"/>
      <c r="E321" s="67"/>
      <c r="F321" s="67"/>
      <c r="G321" s="66">
        <f>SUM(O270:O320)</f>
        <v>1157.1500000000001</v>
      </c>
      <c r="H321" s="66"/>
      <c r="I321" s="37"/>
      <c r="J321" s="66">
        <f>SUM(P270:P320)</f>
        <v>22555.659999999996</v>
      </c>
      <c r="K321" s="66"/>
      <c r="L321" s="53">
        <f>SUM(Q270:Q320)</f>
        <v>21.266699999999997</v>
      </c>
    </row>
    <row r="325" spans="1:32" ht="15">
      <c r="A325" s="67" t="str">
        <f>CONCATENATE("Итого по локальной смете: ",IF(Source!G246&lt;&gt;"Новая локальная смета", Source!G246, ""))</f>
        <v xml:space="preserve">Итого по локальной смете: </v>
      </c>
      <c r="B325" s="67"/>
      <c r="C325" s="67"/>
      <c r="D325" s="67"/>
      <c r="E325" s="67"/>
      <c r="F325" s="67"/>
      <c r="G325" s="66">
        <f>SUM(O42:O324)</f>
        <v>91456.999999999985</v>
      </c>
      <c r="H325" s="66"/>
      <c r="I325" s="37"/>
      <c r="J325" s="66">
        <f>SUM(P42:P324)</f>
        <v>669673.36000000022</v>
      </c>
      <c r="K325" s="66"/>
      <c r="L325" s="53">
        <f>SUM(Q42:Q324)</f>
        <v>483.70988299999999</v>
      </c>
    </row>
    <row r="329" spans="1:32" ht="15">
      <c r="A329" s="67" t="str">
        <f>CONCATENATE("Итого по смете: ",IF(Source!G276&lt;&gt;"Новый объект", Source!G276, ""))</f>
        <v>Итого по смете: Спортивный зал Ильинский Погост 2021.</v>
      </c>
      <c r="B329" s="67"/>
      <c r="C329" s="67"/>
      <c r="D329" s="67"/>
      <c r="E329" s="67"/>
      <c r="F329" s="67"/>
      <c r="G329" s="66">
        <f>SUM(O1:O328)</f>
        <v>91456.999999999985</v>
      </c>
      <c r="H329" s="66"/>
      <c r="I329" s="37"/>
      <c r="J329" s="66">
        <f>SUM(P1:P328)</f>
        <v>669673.36000000022</v>
      </c>
      <c r="K329" s="66"/>
      <c r="L329" s="53">
        <f>SUM(Q1:Q328)</f>
        <v>483.70988299999999</v>
      </c>
      <c r="AF329" s="61" t="str">
        <f>CONCATENATE("Итого по смете: ",IF(Source!G276&lt;&gt;"Новый объект", Source!G276, ""))</f>
        <v>Итого по смете: Спортивный зал Ильинский Погост 2021.</v>
      </c>
    </row>
    <row r="331" spans="1:32" ht="14.25">
      <c r="C331" s="74" t="str">
        <f>Source!H305</f>
        <v>с НДС 20%</v>
      </c>
      <c r="D331" s="74"/>
      <c r="E331" s="74"/>
      <c r="F331" s="74"/>
      <c r="G331" s="74"/>
      <c r="H331" s="74"/>
      <c r="I331" s="74"/>
      <c r="J331" s="75">
        <v>133934.67000000001</v>
      </c>
      <c r="K331" s="75"/>
    </row>
    <row r="332" spans="1:32" ht="14.25">
      <c r="C332" s="74" t="str">
        <f>Source!H306</f>
        <v>Всего с НДС 20%</v>
      </c>
      <c r="D332" s="74"/>
      <c r="E332" s="74"/>
      <c r="F332" s="74"/>
      <c r="G332" s="74"/>
      <c r="H332" s="74"/>
      <c r="I332" s="74"/>
      <c r="J332" s="75">
        <v>803608.03</v>
      </c>
      <c r="K332" s="75"/>
    </row>
    <row r="335" spans="1:32" ht="14.25">
      <c r="A335" s="36" t="s">
        <v>678</v>
      </c>
      <c r="B335" s="36"/>
      <c r="C335" s="10" t="s">
        <v>679</v>
      </c>
      <c r="D335" s="33" t="str">
        <f>IF(Source!CP12&lt;&gt;"", Source!CP12," ")</f>
        <v xml:space="preserve"> </v>
      </c>
      <c r="E335" s="33"/>
      <c r="F335" s="33"/>
      <c r="G335" s="33"/>
      <c r="H335" s="33"/>
      <c r="I335" s="11" t="str">
        <f>IF(Source!CO12&lt;&gt;"", Source!CO12," ")</f>
        <v xml:space="preserve"> </v>
      </c>
      <c r="J335" s="10"/>
      <c r="K335" s="11"/>
      <c r="L335" s="11"/>
    </row>
    <row r="336" spans="1:32" ht="14.25">
      <c r="A336" s="11"/>
      <c r="B336" s="11"/>
      <c r="C336" s="10"/>
      <c r="D336" s="72" t="s">
        <v>680</v>
      </c>
      <c r="E336" s="72"/>
      <c r="F336" s="72"/>
      <c r="G336" s="72"/>
      <c r="H336" s="72"/>
      <c r="I336" s="11"/>
      <c r="J336" s="10"/>
      <c r="K336" s="11"/>
      <c r="L336" s="11"/>
    </row>
    <row r="337" spans="1:12" ht="14.25">
      <c r="A337" s="11"/>
      <c r="B337" s="11"/>
      <c r="C337" s="10"/>
      <c r="D337" s="11"/>
      <c r="E337" s="11"/>
      <c r="F337" s="11"/>
      <c r="G337" s="11"/>
      <c r="H337" s="11"/>
      <c r="I337" s="11"/>
      <c r="J337" s="10"/>
      <c r="K337" s="11"/>
      <c r="L337" s="11"/>
    </row>
    <row r="338" spans="1:12" ht="14.25">
      <c r="A338" s="36" t="s">
        <v>678</v>
      </c>
      <c r="B338" s="36"/>
      <c r="C338" s="10" t="s">
        <v>681</v>
      </c>
      <c r="D338" s="33" t="str">
        <f>IF(Source!AC12&lt;&gt;"", Source!AC12," ")</f>
        <v xml:space="preserve"> </v>
      </c>
      <c r="E338" s="33"/>
      <c r="F338" s="33"/>
      <c r="G338" s="33"/>
      <c r="H338" s="33"/>
      <c r="I338" s="11" t="str">
        <f>IF(Source!AB12&lt;&gt;"", Source!AB12," ")</f>
        <v xml:space="preserve"> </v>
      </c>
      <c r="J338" s="10"/>
      <c r="K338" s="11"/>
      <c r="L338" s="11"/>
    </row>
    <row r="339" spans="1:12" ht="14.25">
      <c r="A339" s="11"/>
      <c r="B339" s="11"/>
      <c r="C339" s="11"/>
      <c r="D339" s="72" t="s">
        <v>680</v>
      </c>
      <c r="E339" s="72"/>
      <c r="F339" s="72"/>
      <c r="G339" s="72"/>
      <c r="H339" s="72"/>
      <c r="I339" s="11"/>
      <c r="J339" s="11"/>
      <c r="K339" s="11"/>
      <c r="L339" s="11"/>
    </row>
    <row r="340" spans="1:12" ht="14.25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</row>
    <row r="341" spans="1:12" ht="14.25">
      <c r="A341" s="11"/>
      <c r="B341" s="11"/>
      <c r="C341" s="10" t="s">
        <v>682</v>
      </c>
      <c r="D341" s="33" t="str">
        <f>IF(Source!AE12&lt;&gt;"", Source!AE12," ")</f>
        <v xml:space="preserve"> </v>
      </c>
      <c r="E341" s="33"/>
      <c r="F341" s="33"/>
      <c r="G341" s="33"/>
      <c r="H341" s="33"/>
      <c r="I341" s="11" t="str">
        <f>IF(Source!AD12&lt;&gt;"", Source!AD12," ")</f>
        <v xml:space="preserve"> </v>
      </c>
      <c r="J341" s="10"/>
      <c r="K341" s="11"/>
      <c r="L341" s="11"/>
    </row>
    <row r="342" spans="1:12" ht="14.25">
      <c r="A342" s="11"/>
      <c r="B342" s="11"/>
      <c r="C342" s="11"/>
      <c r="D342" s="72" t="s">
        <v>680</v>
      </c>
      <c r="E342" s="72"/>
      <c r="F342" s="72"/>
      <c r="G342" s="72"/>
      <c r="H342" s="72"/>
      <c r="I342" s="11"/>
      <c r="J342" s="11"/>
      <c r="K342" s="11"/>
      <c r="L342" s="11"/>
    </row>
  </sheetData>
  <mergeCells count="171">
    <mergeCell ref="B3:E3"/>
    <mergeCell ref="H3:L3"/>
    <mergeCell ref="B4:E4"/>
    <mergeCell ref="H4:L4"/>
    <mergeCell ref="B6:E6"/>
    <mergeCell ref="H6:L6"/>
    <mergeCell ref="B15:K15"/>
    <mergeCell ref="B17:K17"/>
    <mergeCell ref="B19:K19"/>
    <mergeCell ref="B20:K20"/>
    <mergeCell ref="A22:L22"/>
    <mergeCell ref="G25:H25"/>
    <mergeCell ref="I25:J25"/>
    <mergeCell ref="B7:E7"/>
    <mergeCell ref="H7:L7"/>
    <mergeCell ref="B10:K10"/>
    <mergeCell ref="B11:K11"/>
    <mergeCell ref="F13:G13"/>
    <mergeCell ref="H13:K13"/>
    <mergeCell ref="C28:F28"/>
    <mergeCell ref="G28:H28"/>
    <mergeCell ref="I28:J28"/>
    <mergeCell ref="K28:L28"/>
    <mergeCell ref="C29:F29"/>
    <mergeCell ref="G29:H29"/>
    <mergeCell ref="I29:J29"/>
    <mergeCell ref="K29:L29"/>
    <mergeCell ref="C26:F26"/>
    <mergeCell ref="G26:H26"/>
    <mergeCell ref="I26:J26"/>
    <mergeCell ref="K26:L26"/>
    <mergeCell ref="C27:F27"/>
    <mergeCell ref="G27:H27"/>
    <mergeCell ref="I27:J27"/>
    <mergeCell ref="K27:L27"/>
    <mergeCell ref="C32:F32"/>
    <mergeCell ref="G32:H32"/>
    <mergeCell ref="I32:J32"/>
    <mergeCell ref="K32:L32"/>
    <mergeCell ref="C33:F33"/>
    <mergeCell ref="G33:H33"/>
    <mergeCell ref="I33:J33"/>
    <mergeCell ref="C30:F30"/>
    <mergeCell ref="G30:H30"/>
    <mergeCell ref="I30:J30"/>
    <mergeCell ref="K30:L30"/>
    <mergeCell ref="C31:F31"/>
    <mergeCell ref="G31:H31"/>
    <mergeCell ref="I31:J31"/>
    <mergeCell ref="K31:L31"/>
    <mergeCell ref="A38:L38"/>
    <mergeCell ref="C331:I331"/>
    <mergeCell ref="J331:K331"/>
    <mergeCell ref="C332:I332"/>
    <mergeCell ref="J332:K332"/>
    <mergeCell ref="D336:H336"/>
    <mergeCell ref="J98:K98"/>
    <mergeCell ref="G98:H98"/>
    <mergeCell ref="J89:K89"/>
    <mergeCell ref="G89:H89"/>
    <mergeCell ref="A44:L44"/>
    <mergeCell ref="A42:L42"/>
    <mergeCell ref="J59:K59"/>
    <mergeCell ref="G59:H59"/>
    <mergeCell ref="F57:G57"/>
    <mergeCell ref="F56:G56"/>
    <mergeCell ref="J52:K52"/>
    <mergeCell ref="G52:H52"/>
    <mergeCell ref="J82:K82"/>
    <mergeCell ref="G82:H82"/>
    <mergeCell ref="J75:K75"/>
    <mergeCell ref="G75:H75"/>
    <mergeCell ref="J67:K67"/>
    <mergeCell ref="G67:H67"/>
    <mergeCell ref="D339:H339"/>
    <mergeCell ref="D342:H342"/>
    <mergeCell ref="G118:H118"/>
    <mergeCell ref="A106:L106"/>
    <mergeCell ref="A104:L104"/>
    <mergeCell ref="G100:H100"/>
    <mergeCell ref="J100:K100"/>
    <mergeCell ref="A100:F100"/>
    <mergeCell ref="F149:G149"/>
    <mergeCell ref="F148:G148"/>
    <mergeCell ref="F169:G169"/>
    <mergeCell ref="F168:G168"/>
    <mergeCell ref="J161:K161"/>
    <mergeCell ref="G161:H161"/>
    <mergeCell ref="F159:G159"/>
    <mergeCell ref="F158:G158"/>
    <mergeCell ref="J151:K151"/>
    <mergeCell ref="G151:H151"/>
    <mergeCell ref="F128:G128"/>
    <mergeCell ref="F127:G127"/>
    <mergeCell ref="J120:K120"/>
    <mergeCell ref="G120:H120"/>
    <mergeCell ref="J118:K118"/>
    <mergeCell ref="G221:H221"/>
    <mergeCell ref="J208:K208"/>
    <mergeCell ref="A208:F208"/>
    <mergeCell ref="J141:K141"/>
    <mergeCell ref="G141:H141"/>
    <mergeCell ref="F139:G139"/>
    <mergeCell ref="F138:G138"/>
    <mergeCell ref="J131:K131"/>
    <mergeCell ref="G131:H131"/>
    <mergeCell ref="F179:G179"/>
    <mergeCell ref="F178:G178"/>
    <mergeCell ref="J171:K171"/>
    <mergeCell ref="G171:H171"/>
    <mergeCell ref="F190:G190"/>
    <mergeCell ref="F189:G189"/>
    <mergeCell ref="J183:K183"/>
    <mergeCell ref="G183:H183"/>
    <mergeCell ref="G264:H264"/>
    <mergeCell ref="F262:G262"/>
    <mergeCell ref="F261:G261"/>
    <mergeCell ref="J256:K256"/>
    <mergeCell ref="F197:G197"/>
    <mergeCell ref="J192:K192"/>
    <mergeCell ref="G192:H192"/>
    <mergeCell ref="G204:H204"/>
    <mergeCell ref="J204:K204"/>
    <mergeCell ref="A204:F204"/>
    <mergeCell ref="J202:K202"/>
    <mergeCell ref="G202:H202"/>
    <mergeCell ref="F198:G198"/>
    <mergeCell ref="J221:K221"/>
    <mergeCell ref="F248:G248"/>
    <mergeCell ref="J242:K242"/>
    <mergeCell ref="G242:H242"/>
    <mergeCell ref="F238:G238"/>
    <mergeCell ref="F237:G237"/>
    <mergeCell ref="J230:K230"/>
    <mergeCell ref="G230:H230"/>
    <mergeCell ref="G256:H256"/>
    <mergeCell ref="A212:L212"/>
    <mergeCell ref="G208:H208"/>
    <mergeCell ref="J254:K254"/>
    <mergeCell ref="G254:H254"/>
    <mergeCell ref="J252:K252"/>
    <mergeCell ref="G252:H252"/>
    <mergeCell ref="F249:G249"/>
    <mergeCell ref="A325:F325"/>
    <mergeCell ref="J280:K280"/>
    <mergeCell ref="G280:H280"/>
    <mergeCell ref="A270:L270"/>
    <mergeCell ref="G266:H266"/>
    <mergeCell ref="J266:K266"/>
    <mergeCell ref="J290:K290"/>
    <mergeCell ref="G290:H290"/>
    <mergeCell ref="G321:H321"/>
    <mergeCell ref="J321:K321"/>
    <mergeCell ref="A321:F321"/>
    <mergeCell ref="J319:K319"/>
    <mergeCell ref="G319:H319"/>
    <mergeCell ref="J316:K316"/>
    <mergeCell ref="G316:H316"/>
    <mergeCell ref="J313:K313"/>
    <mergeCell ref="G313:H313"/>
    <mergeCell ref="A266:F266"/>
    <mergeCell ref="J264:K264"/>
    <mergeCell ref="G329:H329"/>
    <mergeCell ref="J329:K329"/>
    <mergeCell ref="A329:F329"/>
    <mergeCell ref="G325:H325"/>
    <mergeCell ref="J325:K325"/>
    <mergeCell ref="J303:K303"/>
    <mergeCell ref="G303:H303"/>
    <mergeCell ref="J293:K293"/>
    <mergeCell ref="G293:H293"/>
  </mergeCells>
  <pageMargins left="0.4" right="0.2" top="0.2" bottom="0.4" header="0.2" footer="0.2"/>
  <pageSetup paperSize="9" scale="58" fitToHeight="0" orientation="portrait" horizontalDpi="360" verticalDpi="360" r:id="rId1"/>
  <headerFooter>
    <oddHeader>&amp;L&amp;8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K343"/>
  <sheetViews>
    <sheetView workbookViewId="0">
      <selection activeCell="A339" sqref="A339:AN339"/>
    </sheetView>
  </sheetViews>
  <sheetFormatPr defaultColWidth="9.140625" defaultRowHeight="12.75"/>
  <cols>
    <col min="1" max="256" width="9.140625" customWidth="1"/>
  </cols>
  <sheetData>
    <row r="1" spans="1:133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58436</v>
      </c>
      <c r="M1">
        <v>10</v>
      </c>
      <c r="N1">
        <v>11</v>
      </c>
      <c r="O1">
        <v>3</v>
      </c>
      <c r="P1">
        <v>0</v>
      </c>
      <c r="Q1">
        <v>0</v>
      </c>
    </row>
    <row r="12" spans="1:133">
      <c r="A12" s="1">
        <v>1</v>
      </c>
      <c r="B12" s="1">
        <v>337</v>
      </c>
      <c r="C12" s="1">
        <v>0</v>
      </c>
      <c r="D12" s="1">
        <f>ROW(A276)</f>
        <v>276</v>
      </c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>
        <v>0</v>
      </c>
      <c r="M12" s="1">
        <v>2</v>
      </c>
      <c r="N12" s="1"/>
      <c r="O12" s="1">
        <v>0</v>
      </c>
      <c r="P12" s="1">
        <v>0</v>
      </c>
      <c r="Q12" s="1">
        <v>0</v>
      </c>
      <c r="R12" s="1">
        <v>0</v>
      </c>
      <c r="S12" s="1"/>
      <c r="T12" s="1">
        <v>1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6</v>
      </c>
      <c r="BI12" s="1" t="s">
        <v>7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8</v>
      </c>
      <c r="BZ12" s="1" t="s">
        <v>9</v>
      </c>
      <c r="CA12" s="1" t="s">
        <v>10</v>
      </c>
      <c r="CB12" s="1" t="s">
        <v>10</v>
      </c>
      <c r="CC12" s="1" t="s">
        <v>10</v>
      </c>
      <c r="CD12" s="1" t="s">
        <v>10</v>
      </c>
      <c r="CE12" s="1" t="s">
        <v>11</v>
      </c>
      <c r="CF12" s="1">
        <v>0</v>
      </c>
      <c r="CG12" s="1">
        <v>0</v>
      </c>
      <c r="CH12" s="1">
        <v>8200</v>
      </c>
      <c r="CI12" s="1" t="s">
        <v>3</v>
      </c>
      <c r="CJ12" s="1" t="s">
        <v>3</v>
      </c>
      <c r="CK12" s="1">
        <v>1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5" spans="1:133">
      <c r="A15" s="1">
        <v>15</v>
      </c>
      <c r="B15" s="1">
        <v>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</row>
    <row r="18" spans="1:245">
      <c r="A18" s="2">
        <v>52</v>
      </c>
      <c r="B18" s="2">
        <f t="shared" ref="B18:G18" si="0">B276</f>
        <v>337</v>
      </c>
      <c r="C18" s="2">
        <f t="shared" si="0"/>
        <v>1</v>
      </c>
      <c r="D18" s="2">
        <f t="shared" si="0"/>
        <v>12</v>
      </c>
      <c r="E18" s="2">
        <f t="shared" si="0"/>
        <v>0</v>
      </c>
      <c r="F18" s="2" t="str">
        <f t="shared" si="0"/>
        <v>Новый объект</v>
      </c>
      <c r="G18" s="2" t="str">
        <f t="shared" si="0"/>
        <v>Спортивный зал Ильинский Погост 2021.</v>
      </c>
      <c r="H18" s="2"/>
      <c r="I18" s="2"/>
      <c r="J18" s="2"/>
      <c r="K18" s="2"/>
      <c r="L18" s="2"/>
      <c r="M18" s="2"/>
      <c r="N18" s="2"/>
      <c r="O18" s="2">
        <f t="shared" ref="O18:AT18" si="1">O276</f>
        <v>457023.42</v>
      </c>
      <c r="P18" s="2">
        <f t="shared" si="1"/>
        <v>306110.12</v>
      </c>
      <c r="Q18" s="2">
        <f t="shared" si="1"/>
        <v>9881.35</v>
      </c>
      <c r="R18" s="2">
        <f t="shared" si="1"/>
        <v>4092.97</v>
      </c>
      <c r="S18" s="2">
        <f t="shared" si="1"/>
        <v>141031.95000000001</v>
      </c>
      <c r="T18" s="2">
        <f t="shared" si="1"/>
        <v>0</v>
      </c>
      <c r="U18" s="2">
        <f t="shared" si="1"/>
        <v>483.70988299999999</v>
      </c>
      <c r="V18" s="2">
        <f t="shared" si="1"/>
        <v>11.583264999999997</v>
      </c>
      <c r="W18" s="2">
        <f t="shared" si="1"/>
        <v>2190.69</v>
      </c>
      <c r="X18" s="2">
        <f t="shared" si="1"/>
        <v>140294.04</v>
      </c>
      <c r="Y18" s="2">
        <f t="shared" si="1"/>
        <v>83470.070000000007</v>
      </c>
      <c r="Z18" s="2">
        <f t="shared" si="1"/>
        <v>0</v>
      </c>
      <c r="AA18" s="2">
        <f t="shared" si="1"/>
        <v>0</v>
      </c>
      <c r="AB18" s="2">
        <f t="shared" si="1"/>
        <v>0</v>
      </c>
      <c r="AC18" s="2">
        <f t="shared" si="1"/>
        <v>0</v>
      </c>
      <c r="AD18" s="2">
        <f t="shared" si="1"/>
        <v>0</v>
      </c>
      <c r="AE18" s="2">
        <f t="shared" si="1"/>
        <v>0</v>
      </c>
      <c r="AF18" s="2">
        <f t="shared" si="1"/>
        <v>0</v>
      </c>
      <c r="AG18" s="2">
        <f t="shared" si="1"/>
        <v>0</v>
      </c>
      <c r="AH18" s="2">
        <f t="shared" si="1"/>
        <v>0</v>
      </c>
      <c r="AI18" s="2">
        <f t="shared" si="1"/>
        <v>0</v>
      </c>
      <c r="AJ18" s="2">
        <f t="shared" si="1"/>
        <v>0</v>
      </c>
      <c r="AK18" s="2">
        <f t="shared" si="1"/>
        <v>0</v>
      </c>
      <c r="AL18" s="2">
        <f t="shared" si="1"/>
        <v>0</v>
      </c>
      <c r="AM18" s="2">
        <f t="shared" si="1"/>
        <v>0</v>
      </c>
      <c r="AN18" s="2">
        <f t="shared" si="1"/>
        <v>0</v>
      </c>
      <c r="AO18" s="2">
        <f t="shared" si="1"/>
        <v>0</v>
      </c>
      <c r="AP18" s="2">
        <f t="shared" si="1"/>
        <v>0</v>
      </c>
      <c r="AQ18" s="2">
        <f t="shared" si="1"/>
        <v>0</v>
      </c>
      <c r="AR18" s="2">
        <f t="shared" si="1"/>
        <v>680787.53</v>
      </c>
      <c r="AS18" s="2">
        <f t="shared" si="1"/>
        <v>659421.43000000005</v>
      </c>
      <c r="AT18" s="2">
        <f t="shared" si="1"/>
        <v>21366.1</v>
      </c>
      <c r="AU18" s="2">
        <f t="shared" ref="AU18:BZ18" si="2">AU276</f>
        <v>0</v>
      </c>
      <c r="AV18" s="2">
        <f t="shared" si="2"/>
        <v>306110.12</v>
      </c>
      <c r="AW18" s="2">
        <f t="shared" si="2"/>
        <v>306110.12</v>
      </c>
      <c r="AX18" s="2">
        <f t="shared" si="2"/>
        <v>0</v>
      </c>
      <c r="AY18" s="2">
        <f t="shared" si="2"/>
        <v>306110.12</v>
      </c>
      <c r="AZ18" s="2">
        <f t="shared" si="2"/>
        <v>0</v>
      </c>
      <c r="BA18" s="2">
        <f t="shared" si="2"/>
        <v>0</v>
      </c>
      <c r="BB18" s="2">
        <f t="shared" si="2"/>
        <v>0</v>
      </c>
      <c r="BC18" s="2">
        <f t="shared" si="2"/>
        <v>0</v>
      </c>
      <c r="BD18" s="2">
        <f t="shared" si="2"/>
        <v>1189.56</v>
      </c>
      <c r="BE18" s="2">
        <f t="shared" si="2"/>
        <v>0</v>
      </c>
      <c r="BF18" s="2">
        <f t="shared" si="2"/>
        <v>0</v>
      </c>
      <c r="BG18" s="2">
        <f t="shared" si="2"/>
        <v>0</v>
      </c>
      <c r="BH18" s="2">
        <f t="shared" si="2"/>
        <v>0</v>
      </c>
      <c r="BI18" s="2">
        <f t="shared" si="2"/>
        <v>0</v>
      </c>
      <c r="BJ18" s="2">
        <f t="shared" si="2"/>
        <v>0</v>
      </c>
      <c r="BK18" s="2">
        <f t="shared" si="2"/>
        <v>0</v>
      </c>
      <c r="BL18" s="2">
        <f t="shared" si="2"/>
        <v>0</v>
      </c>
      <c r="BM18" s="2">
        <f t="shared" si="2"/>
        <v>0</v>
      </c>
      <c r="BN18" s="2">
        <f t="shared" si="2"/>
        <v>0</v>
      </c>
      <c r="BO18" s="2">
        <f t="shared" si="2"/>
        <v>0</v>
      </c>
      <c r="BP18" s="2">
        <f t="shared" si="2"/>
        <v>0</v>
      </c>
      <c r="BQ18" s="2">
        <f t="shared" si="2"/>
        <v>0</v>
      </c>
      <c r="BR18" s="2">
        <f t="shared" si="2"/>
        <v>0</v>
      </c>
      <c r="BS18" s="2">
        <f t="shared" si="2"/>
        <v>0</v>
      </c>
      <c r="BT18" s="2">
        <f t="shared" si="2"/>
        <v>0</v>
      </c>
      <c r="BU18" s="2">
        <f t="shared" si="2"/>
        <v>0</v>
      </c>
      <c r="BV18" s="2">
        <f t="shared" si="2"/>
        <v>0</v>
      </c>
      <c r="BW18" s="2">
        <f t="shared" si="2"/>
        <v>0</v>
      </c>
      <c r="BX18" s="2">
        <f t="shared" si="2"/>
        <v>0</v>
      </c>
      <c r="BY18" s="2">
        <f t="shared" si="2"/>
        <v>0</v>
      </c>
      <c r="BZ18" s="2">
        <f t="shared" si="2"/>
        <v>0</v>
      </c>
      <c r="CA18" s="2">
        <f t="shared" ref="CA18:DF18" si="3">CA276</f>
        <v>0</v>
      </c>
      <c r="CB18" s="2">
        <f t="shared" si="3"/>
        <v>0</v>
      </c>
      <c r="CC18" s="2">
        <f t="shared" si="3"/>
        <v>0</v>
      </c>
      <c r="CD18" s="2">
        <f t="shared" si="3"/>
        <v>0</v>
      </c>
      <c r="CE18" s="2">
        <f t="shared" si="3"/>
        <v>0</v>
      </c>
      <c r="CF18" s="2">
        <f t="shared" si="3"/>
        <v>0</v>
      </c>
      <c r="CG18" s="2">
        <f t="shared" si="3"/>
        <v>0</v>
      </c>
      <c r="CH18" s="2">
        <f t="shared" si="3"/>
        <v>0</v>
      </c>
      <c r="CI18" s="2">
        <f t="shared" si="3"/>
        <v>0</v>
      </c>
      <c r="CJ18" s="2">
        <f t="shared" si="3"/>
        <v>0</v>
      </c>
      <c r="CK18" s="2">
        <f t="shared" si="3"/>
        <v>0</v>
      </c>
      <c r="CL18" s="2">
        <f t="shared" si="3"/>
        <v>0</v>
      </c>
      <c r="CM18" s="2">
        <f t="shared" si="3"/>
        <v>0</v>
      </c>
      <c r="CN18" s="2">
        <f t="shared" si="3"/>
        <v>0</v>
      </c>
      <c r="CO18" s="2">
        <f t="shared" si="3"/>
        <v>0</v>
      </c>
      <c r="CP18" s="2">
        <f t="shared" si="3"/>
        <v>0</v>
      </c>
      <c r="CQ18" s="2">
        <f t="shared" si="3"/>
        <v>0</v>
      </c>
      <c r="CR18" s="2">
        <f t="shared" si="3"/>
        <v>0</v>
      </c>
      <c r="CS18" s="2">
        <f t="shared" si="3"/>
        <v>0</v>
      </c>
      <c r="CT18" s="2">
        <f t="shared" si="3"/>
        <v>0</v>
      </c>
      <c r="CU18" s="2">
        <f t="shared" si="3"/>
        <v>0</v>
      </c>
      <c r="CV18" s="2">
        <f t="shared" si="3"/>
        <v>0</v>
      </c>
      <c r="CW18" s="2">
        <f t="shared" si="3"/>
        <v>0</v>
      </c>
      <c r="CX18" s="2">
        <f t="shared" si="3"/>
        <v>0</v>
      </c>
      <c r="CY18" s="2">
        <f t="shared" si="3"/>
        <v>0</v>
      </c>
      <c r="CZ18" s="2">
        <f t="shared" si="3"/>
        <v>0</v>
      </c>
      <c r="DA18" s="2">
        <f t="shared" si="3"/>
        <v>0</v>
      </c>
      <c r="DB18" s="2">
        <f t="shared" si="3"/>
        <v>0</v>
      </c>
      <c r="DC18" s="2">
        <f t="shared" si="3"/>
        <v>0</v>
      </c>
      <c r="DD18" s="2">
        <f t="shared" si="3"/>
        <v>0</v>
      </c>
      <c r="DE18" s="2">
        <f t="shared" si="3"/>
        <v>0</v>
      </c>
      <c r="DF18" s="2">
        <f t="shared" si="3"/>
        <v>0</v>
      </c>
      <c r="DG18" s="3">
        <f t="shared" ref="DG18:EL18" si="4">DG276</f>
        <v>0</v>
      </c>
      <c r="DH18" s="3">
        <f t="shared" si="4"/>
        <v>0</v>
      </c>
      <c r="DI18" s="3">
        <f t="shared" si="4"/>
        <v>0</v>
      </c>
      <c r="DJ18" s="3">
        <f t="shared" si="4"/>
        <v>0</v>
      </c>
      <c r="DK18" s="3">
        <f t="shared" si="4"/>
        <v>0</v>
      </c>
      <c r="DL18" s="3">
        <f t="shared" si="4"/>
        <v>0</v>
      </c>
      <c r="DM18" s="3">
        <f t="shared" si="4"/>
        <v>0</v>
      </c>
      <c r="DN18" s="3">
        <f t="shared" si="4"/>
        <v>0</v>
      </c>
      <c r="DO18" s="3">
        <f t="shared" si="4"/>
        <v>0</v>
      </c>
      <c r="DP18" s="3">
        <f t="shared" si="4"/>
        <v>0</v>
      </c>
      <c r="DQ18" s="3">
        <f t="shared" si="4"/>
        <v>0</v>
      </c>
      <c r="DR18" s="3">
        <f t="shared" si="4"/>
        <v>0</v>
      </c>
      <c r="DS18" s="3">
        <f t="shared" si="4"/>
        <v>0</v>
      </c>
      <c r="DT18" s="3">
        <f t="shared" si="4"/>
        <v>0</v>
      </c>
      <c r="DU18" s="3">
        <f t="shared" si="4"/>
        <v>0</v>
      </c>
      <c r="DV18" s="3">
        <f t="shared" si="4"/>
        <v>0</v>
      </c>
      <c r="DW18" s="3">
        <f t="shared" si="4"/>
        <v>0</v>
      </c>
      <c r="DX18" s="3">
        <f t="shared" si="4"/>
        <v>0</v>
      </c>
      <c r="DY18" s="3">
        <f t="shared" si="4"/>
        <v>0</v>
      </c>
      <c r="DZ18" s="3">
        <f t="shared" si="4"/>
        <v>0</v>
      </c>
      <c r="EA18" s="3">
        <f t="shared" si="4"/>
        <v>0</v>
      </c>
      <c r="EB18" s="3">
        <f t="shared" si="4"/>
        <v>0</v>
      </c>
      <c r="EC18" s="3">
        <f t="shared" si="4"/>
        <v>0</v>
      </c>
      <c r="ED18" s="3">
        <f t="shared" si="4"/>
        <v>0</v>
      </c>
      <c r="EE18" s="3">
        <f t="shared" si="4"/>
        <v>0</v>
      </c>
      <c r="EF18" s="3">
        <f t="shared" si="4"/>
        <v>0</v>
      </c>
      <c r="EG18" s="3">
        <f t="shared" si="4"/>
        <v>0</v>
      </c>
      <c r="EH18" s="3">
        <f t="shared" si="4"/>
        <v>0</v>
      </c>
      <c r="EI18" s="3">
        <f t="shared" si="4"/>
        <v>0</v>
      </c>
      <c r="EJ18" s="3">
        <f t="shared" si="4"/>
        <v>0</v>
      </c>
      <c r="EK18" s="3">
        <f t="shared" si="4"/>
        <v>0</v>
      </c>
      <c r="EL18" s="3">
        <f t="shared" si="4"/>
        <v>0</v>
      </c>
      <c r="EM18" s="3">
        <f t="shared" ref="EM18:FR18" si="5">EM276</f>
        <v>0</v>
      </c>
      <c r="EN18" s="3">
        <f t="shared" si="5"/>
        <v>0</v>
      </c>
      <c r="EO18" s="3">
        <f t="shared" si="5"/>
        <v>0</v>
      </c>
      <c r="EP18" s="3">
        <f t="shared" si="5"/>
        <v>0</v>
      </c>
      <c r="EQ18" s="3">
        <f t="shared" si="5"/>
        <v>0</v>
      </c>
      <c r="ER18" s="3">
        <f t="shared" si="5"/>
        <v>0</v>
      </c>
      <c r="ES18" s="3">
        <f t="shared" si="5"/>
        <v>0</v>
      </c>
      <c r="ET18" s="3">
        <f t="shared" si="5"/>
        <v>0</v>
      </c>
      <c r="EU18" s="3">
        <f t="shared" si="5"/>
        <v>0</v>
      </c>
      <c r="EV18" s="3">
        <f t="shared" si="5"/>
        <v>0</v>
      </c>
      <c r="EW18" s="3">
        <f t="shared" si="5"/>
        <v>0</v>
      </c>
      <c r="EX18" s="3">
        <f t="shared" si="5"/>
        <v>0</v>
      </c>
      <c r="EY18" s="3">
        <f t="shared" si="5"/>
        <v>0</v>
      </c>
      <c r="EZ18" s="3">
        <f t="shared" si="5"/>
        <v>0</v>
      </c>
      <c r="FA18" s="3">
        <f t="shared" si="5"/>
        <v>0</v>
      </c>
      <c r="FB18" s="3">
        <f t="shared" si="5"/>
        <v>0</v>
      </c>
      <c r="FC18" s="3">
        <f t="shared" si="5"/>
        <v>0</v>
      </c>
      <c r="FD18" s="3">
        <f t="shared" si="5"/>
        <v>0</v>
      </c>
      <c r="FE18" s="3">
        <f t="shared" si="5"/>
        <v>0</v>
      </c>
      <c r="FF18" s="3">
        <f t="shared" si="5"/>
        <v>0</v>
      </c>
      <c r="FG18" s="3">
        <f t="shared" si="5"/>
        <v>0</v>
      </c>
      <c r="FH18" s="3">
        <f t="shared" si="5"/>
        <v>0</v>
      </c>
      <c r="FI18" s="3">
        <f t="shared" si="5"/>
        <v>0</v>
      </c>
      <c r="FJ18" s="3">
        <f t="shared" si="5"/>
        <v>0</v>
      </c>
      <c r="FK18" s="3">
        <f t="shared" si="5"/>
        <v>0</v>
      </c>
      <c r="FL18" s="3">
        <f t="shared" si="5"/>
        <v>0</v>
      </c>
      <c r="FM18" s="3">
        <f t="shared" si="5"/>
        <v>0</v>
      </c>
      <c r="FN18" s="3">
        <f t="shared" si="5"/>
        <v>0</v>
      </c>
      <c r="FO18" s="3">
        <f t="shared" si="5"/>
        <v>0</v>
      </c>
      <c r="FP18" s="3">
        <f t="shared" si="5"/>
        <v>0</v>
      </c>
      <c r="FQ18" s="3">
        <f t="shared" si="5"/>
        <v>0</v>
      </c>
      <c r="FR18" s="3">
        <f t="shared" si="5"/>
        <v>0</v>
      </c>
      <c r="FS18" s="3">
        <f t="shared" ref="FS18:GX18" si="6">FS276</f>
        <v>0</v>
      </c>
      <c r="FT18" s="3">
        <f t="shared" si="6"/>
        <v>0</v>
      </c>
      <c r="FU18" s="3">
        <f t="shared" si="6"/>
        <v>0</v>
      </c>
      <c r="FV18" s="3">
        <f t="shared" si="6"/>
        <v>0</v>
      </c>
      <c r="FW18" s="3">
        <f t="shared" si="6"/>
        <v>0</v>
      </c>
      <c r="FX18" s="3">
        <f t="shared" si="6"/>
        <v>0</v>
      </c>
      <c r="FY18" s="3">
        <f t="shared" si="6"/>
        <v>0</v>
      </c>
      <c r="FZ18" s="3">
        <f t="shared" si="6"/>
        <v>0</v>
      </c>
      <c r="GA18" s="3">
        <f t="shared" si="6"/>
        <v>0</v>
      </c>
      <c r="GB18" s="3">
        <f t="shared" si="6"/>
        <v>0</v>
      </c>
      <c r="GC18" s="3">
        <f t="shared" si="6"/>
        <v>0</v>
      </c>
      <c r="GD18" s="3">
        <f t="shared" si="6"/>
        <v>0</v>
      </c>
      <c r="GE18" s="3">
        <f t="shared" si="6"/>
        <v>0</v>
      </c>
      <c r="GF18" s="3">
        <f t="shared" si="6"/>
        <v>0</v>
      </c>
      <c r="GG18" s="3">
        <f t="shared" si="6"/>
        <v>0</v>
      </c>
      <c r="GH18" s="3">
        <f t="shared" si="6"/>
        <v>0</v>
      </c>
      <c r="GI18" s="3">
        <f t="shared" si="6"/>
        <v>0</v>
      </c>
      <c r="GJ18" s="3">
        <f t="shared" si="6"/>
        <v>0</v>
      </c>
      <c r="GK18" s="3">
        <f t="shared" si="6"/>
        <v>0</v>
      </c>
      <c r="GL18" s="3">
        <f t="shared" si="6"/>
        <v>0</v>
      </c>
      <c r="GM18" s="3">
        <f t="shared" si="6"/>
        <v>0</v>
      </c>
      <c r="GN18" s="3">
        <f t="shared" si="6"/>
        <v>0</v>
      </c>
      <c r="GO18" s="3">
        <f t="shared" si="6"/>
        <v>0</v>
      </c>
      <c r="GP18" s="3">
        <f t="shared" si="6"/>
        <v>0</v>
      </c>
      <c r="GQ18" s="3">
        <f t="shared" si="6"/>
        <v>0</v>
      </c>
      <c r="GR18" s="3">
        <f t="shared" si="6"/>
        <v>0</v>
      </c>
      <c r="GS18" s="3">
        <f t="shared" si="6"/>
        <v>0</v>
      </c>
      <c r="GT18" s="3">
        <f t="shared" si="6"/>
        <v>0</v>
      </c>
      <c r="GU18" s="3">
        <f t="shared" si="6"/>
        <v>0</v>
      </c>
      <c r="GV18" s="3">
        <f t="shared" si="6"/>
        <v>0</v>
      </c>
      <c r="GW18" s="3">
        <f t="shared" si="6"/>
        <v>0</v>
      </c>
      <c r="GX18" s="3">
        <f t="shared" si="6"/>
        <v>0</v>
      </c>
    </row>
    <row r="20" spans="1:245">
      <c r="A20" s="1">
        <v>3</v>
      </c>
      <c r="B20" s="1">
        <v>1</v>
      </c>
      <c r="C20" s="1"/>
      <c r="D20" s="1">
        <f>ROW(A246)</f>
        <v>246</v>
      </c>
      <c r="E20" s="1"/>
      <c r="F20" s="1" t="s">
        <v>12</v>
      </c>
      <c r="G20" s="1" t="s">
        <v>12</v>
      </c>
      <c r="H20" s="1" t="s">
        <v>3</v>
      </c>
      <c r="I20" s="1">
        <v>0</v>
      </c>
      <c r="J20" s="1" t="s">
        <v>3</v>
      </c>
      <c r="K20" s="1">
        <v>0</v>
      </c>
      <c r="L20" s="1" t="s">
        <v>3</v>
      </c>
      <c r="M20" s="1" t="s">
        <v>3</v>
      </c>
      <c r="N20" s="1"/>
      <c r="O20" s="1"/>
      <c r="P20" s="1"/>
      <c r="Q20" s="1"/>
      <c r="R20" s="1"/>
      <c r="S20" s="1">
        <v>0</v>
      </c>
      <c r="T20" s="1"/>
      <c r="U20" s="1" t="s">
        <v>3</v>
      </c>
      <c r="V20" s="1">
        <v>0</v>
      </c>
      <c r="W20" s="1"/>
      <c r="X20" s="1"/>
      <c r="Y20" s="1"/>
      <c r="Z20" s="1"/>
      <c r="AA20" s="1"/>
      <c r="AB20" s="1" t="s">
        <v>3</v>
      </c>
      <c r="AC20" s="1" t="s">
        <v>3</v>
      </c>
      <c r="AD20" s="1" t="s">
        <v>3</v>
      </c>
      <c r="AE20" s="1" t="s">
        <v>3</v>
      </c>
      <c r="AF20" s="1" t="s">
        <v>3</v>
      </c>
      <c r="AG20" s="1" t="s">
        <v>3</v>
      </c>
      <c r="AH20" s="1"/>
      <c r="AI20" s="1"/>
      <c r="AJ20" s="1"/>
      <c r="AK20" s="1"/>
      <c r="AL20" s="1"/>
      <c r="AM20" s="1"/>
      <c r="AN20" s="1"/>
      <c r="AO20" s="1"/>
      <c r="AP20" s="1" t="s">
        <v>3</v>
      </c>
      <c r="AQ20" s="1" t="s">
        <v>3</v>
      </c>
      <c r="AR20" s="1" t="s">
        <v>3</v>
      </c>
      <c r="AS20" s="1"/>
      <c r="AT20" s="1"/>
      <c r="AU20" s="1"/>
      <c r="AV20" s="1"/>
      <c r="AW20" s="1"/>
      <c r="AX20" s="1"/>
      <c r="AY20" s="1"/>
      <c r="AZ20" s="1" t="s">
        <v>3</v>
      </c>
      <c r="BA20" s="1"/>
      <c r="BB20" s="1" t="s">
        <v>3</v>
      </c>
      <c r="BC20" s="1" t="s">
        <v>3</v>
      </c>
      <c r="BD20" s="1" t="s">
        <v>3</v>
      </c>
      <c r="BE20" s="1" t="s">
        <v>3</v>
      </c>
      <c r="BF20" s="1" t="s">
        <v>3</v>
      </c>
      <c r="BG20" s="1" t="s">
        <v>3</v>
      </c>
      <c r="BH20" s="1" t="s">
        <v>3</v>
      </c>
      <c r="BI20" s="1" t="s">
        <v>3</v>
      </c>
      <c r="BJ20" s="1" t="s">
        <v>3</v>
      </c>
      <c r="BK20" s="1" t="s">
        <v>3</v>
      </c>
      <c r="BL20" s="1" t="s">
        <v>3</v>
      </c>
      <c r="BM20" s="1" t="s">
        <v>3</v>
      </c>
      <c r="BN20" s="1" t="s">
        <v>3</v>
      </c>
      <c r="BO20" s="1" t="s">
        <v>3</v>
      </c>
      <c r="BP20" s="1" t="s">
        <v>3</v>
      </c>
      <c r="BQ20" s="1"/>
      <c r="BR20" s="1"/>
      <c r="BS20" s="1"/>
      <c r="BT20" s="1"/>
      <c r="BU20" s="1"/>
      <c r="BV20" s="1"/>
      <c r="BW20" s="1"/>
      <c r="BX20" s="1">
        <v>0</v>
      </c>
      <c r="BY20" s="1"/>
      <c r="BZ20" s="1"/>
      <c r="CA20" s="1"/>
      <c r="CB20" s="1"/>
      <c r="CC20" s="1"/>
      <c r="CD20" s="1"/>
      <c r="CE20" s="1"/>
      <c r="CF20" s="1">
        <v>0</v>
      </c>
      <c r="CG20" s="1">
        <v>0</v>
      </c>
      <c r="CH20" s="1"/>
      <c r="CI20" s="1" t="s">
        <v>3</v>
      </c>
      <c r="CJ20" s="1" t="s">
        <v>3</v>
      </c>
      <c r="CK20" t="s">
        <v>3</v>
      </c>
      <c r="CL20" t="s">
        <v>3</v>
      </c>
      <c r="CM20" t="s">
        <v>3</v>
      </c>
      <c r="CN20" t="s">
        <v>3</v>
      </c>
      <c r="CO20" t="s">
        <v>3</v>
      </c>
      <c r="CP20" t="s">
        <v>3</v>
      </c>
      <c r="CQ20" t="s">
        <v>3</v>
      </c>
    </row>
    <row r="22" spans="1:245">
      <c r="A22" s="2">
        <v>52</v>
      </c>
      <c r="B22" s="2">
        <f t="shared" ref="B22:G22" si="7">B246</f>
        <v>1</v>
      </c>
      <c r="C22" s="2">
        <f t="shared" si="7"/>
        <v>3</v>
      </c>
      <c r="D22" s="2">
        <f t="shared" si="7"/>
        <v>20</v>
      </c>
      <c r="E22" s="2">
        <f t="shared" si="7"/>
        <v>0</v>
      </c>
      <c r="F22" s="2" t="str">
        <f t="shared" si="7"/>
        <v>Новая локальная смета</v>
      </c>
      <c r="G22" s="2" t="str">
        <f t="shared" si="7"/>
        <v>Новая локальная смета</v>
      </c>
      <c r="H22" s="2"/>
      <c r="I22" s="2"/>
      <c r="J22" s="2"/>
      <c r="K22" s="2"/>
      <c r="L22" s="2"/>
      <c r="M22" s="2"/>
      <c r="N22" s="2"/>
      <c r="O22" s="2">
        <f t="shared" ref="O22:AT22" si="8">O246</f>
        <v>457023.42</v>
      </c>
      <c r="P22" s="2">
        <f t="shared" si="8"/>
        <v>306110.12</v>
      </c>
      <c r="Q22" s="2">
        <f t="shared" si="8"/>
        <v>9881.35</v>
      </c>
      <c r="R22" s="2">
        <f t="shared" si="8"/>
        <v>4092.97</v>
      </c>
      <c r="S22" s="2">
        <f t="shared" si="8"/>
        <v>141031.95000000001</v>
      </c>
      <c r="T22" s="2">
        <f t="shared" si="8"/>
        <v>0</v>
      </c>
      <c r="U22" s="2">
        <f t="shared" si="8"/>
        <v>483.70988299999999</v>
      </c>
      <c r="V22" s="2">
        <f t="shared" si="8"/>
        <v>11.583264999999997</v>
      </c>
      <c r="W22" s="2">
        <f t="shared" si="8"/>
        <v>2190.69</v>
      </c>
      <c r="X22" s="2">
        <f t="shared" si="8"/>
        <v>140294.04</v>
      </c>
      <c r="Y22" s="2">
        <f t="shared" si="8"/>
        <v>83470.070000000007</v>
      </c>
      <c r="Z22" s="2">
        <f t="shared" si="8"/>
        <v>0</v>
      </c>
      <c r="AA22" s="2">
        <f t="shared" si="8"/>
        <v>0</v>
      </c>
      <c r="AB22" s="2">
        <f t="shared" si="8"/>
        <v>0</v>
      </c>
      <c r="AC22" s="2">
        <f t="shared" si="8"/>
        <v>0</v>
      </c>
      <c r="AD22" s="2">
        <f t="shared" si="8"/>
        <v>0</v>
      </c>
      <c r="AE22" s="2">
        <f t="shared" si="8"/>
        <v>0</v>
      </c>
      <c r="AF22" s="2">
        <f t="shared" si="8"/>
        <v>0</v>
      </c>
      <c r="AG22" s="2">
        <f t="shared" si="8"/>
        <v>0</v>
      </c>
      <c r="AH22" s="2">
        <f t="shared" si="8"/>
        <v>0</v>
      </c>
      <c r="AI22" s="2">
        <f t="shared" si="8"/>
        <v>0</v>
      </c>
      <c r="AJ22" s="2">
        <f t="shared" si="8"/>
        <v>0</v>
      </c>
      <c r="AK22" s="2">
        <f t="shared" si="8"/>
        <v>0</v>
      </c>
      <c r="AL22" s="2">
        <f t="shared" si="8"/>
        <v>0</v>
      </c>
      <c r="AM22" s="2">
        <f t="shared" si="8"/>
        <v>0</v>
      </c>
      <c r="AN22" s="2">
        <f t="shared" si="8"/>
        <v>0</v>
      </c>
      <c r="AO22" s="2">
        <f t="shared" si="8"/>
        <v>0</v>
      </c>
      <c r="AP22" s="2">
        <f t="shared" si="8"/>
        <v>0</v>
      </c>
      <c r="AQ22" s="2">
        <f t="shared" si="8"/>
        <v>0</v>
      </c>
      <c r="AR22" s="2">
        <f t="shared" si="8"/>
        <v>680787.53</v>
      </c>
      <c r="AS22" s="2">
        <f t="shared" si="8"/>
        <v>659421.43000000005</v>
      </c>
      <c r="AT22" s="2">
        <f t="shared" si="8"/>
        <v>21366.1</v>
      </c>
      <c r="AU22" s="2">
        <f t="shared" ref="AU22:BZ22" si="9">AU246</f>
        <v>0</v>
      </c>
      <c r="AV22" s="2">
        <f t="shared" si="9"/>
        <v>306110.12</v>
      </c>
      <c r="AW22" s="2">
        <f t="shared" si="9"/>
        <v>306110.12</v>
      </c>
      <c r="AX22" s="2">
        <f t="shared" si="9"/>
        <v>0</v>
      </c>
      <c r="AY22" s="2">
        <f t="shared" si="9"/>
        <v>306110.12</v>
      </c>
      <c r="AZ22" s="2">
        <f t="shared" si="9"/>
        <v>0</v>
      </c>
      <c r="BA22" s="2">
        <f t="shared" si="9"/>
        <v>0</v>
      </c>
      <c r="BB22" s="2">
        <f t="shared" si="9"/>
        <v>0</v>
      </c>
      <c r="BC22" s="2">
        <f t="shared" si="9"/>
        <v>0</v>
      </c>
      <c r="BD22" s="2">
        <f t="shared" si="9"/>
        <v>1189.56</v>
      </c>
      <c r="BE22" s="2">
        <f t="shared" si="9"/>
        <v>0</v>
      </c>
      <c r="BF22" s="2">
        <f t="shared" si="9"/>
        <v>0</v>
      </c>
      <c r="BG22" s="2">
        <f t="shared" si="9"/>
        <v>0</v>
      </c>
      <c r="BH22" s="2">
        <f t="shared" si="9"/>
        <v>0</v>
      </c>
      <c r="BI22" s="2">
        <f t="shared" si="9"/>
        <v>0</v>
      </c>
      <c r="BJ22" s="2">
        <f t="shared" si="9"/>
        <v>0</v>
      </c>
      <c r="BK22" s="2">
        <f t="shared" si="9"/>
        <v>0</v>
      </c>
      <c r="BL22" s="2">
        <f t="shared" si="9"/>
        <v>0</v>
      </c>
      <c r="BM22" s="2">
        <f t="shared" si="9"/>
        <v>0</v>
      </c>
      <c r="BN22" s="2">
        <f t="shared" si="9"/>
        <v>0</v>
      </c>
      <c r="BO22" s="2">
        <f t="shared" si="9"/>
        <v>0</v>
      </c>
      <c r="BP22" s="2">
        <f t="shared" si="9"/>
        <v>0</v>
      </c>
      <c r="BQ22" s="2">
        <f t="shared" si="9"/>
        <v>0</v>
      </c>
      <c r="BR22" s="2">
        <f t="shared" si="9"/>
        <v>0</v>
      </c>
      <c r="BS22" s="2">
        <f t="shared" si="9"/>
        <v>0</v>
      </c>
      <c r="BT22" s="2">
        <f t="shared" si="9"/>
        <v>0</v>
      </c>
      <c r="BU22" s="2">
        <f t="shared" si="9"/>
        <v>0</v>
      </c>
      <c r="BV22" s="2">
        <f t="shared" si="9"/>
        <v>0</v>
      </c>
      <c r="BW22" s="2">
        <f t="shared" si="9"/>
        <v>0</v>
      </c>
      <c r="BX22" s="2">
        <f t="shared" si="9"/>
        <v>0</v>
      </c>
      <c r="BY22" s="2">
        <f t="shared" si="9"/>
        <v>0</v>
      </c>
      <c r="BZ22" s="2">
        <f t="shared" si="9"/>
        <v>0</v>
      </c>
      <c r="CA22" s="2">
        <f t="shared" ref="CA22:DF22" si="10">CA246</f>
        <v>0</v>
      </c>
      <c r="CB22" s="2">
        <f t="shared" si="10"/>
        <v>0</v>
      </c>
      <c r="CC22" s="2">
        <f t="shared" si="10"/>
        <v>0</v>
      </c>
      <c r="CD22" s="2">
        <f t="shared" si="10"/>
        <v>0</v>
      </c>
      <c r="CE22" s="2">
        <f t="shared" si="10"/>
        <v>0</v>
      </c>
      <c r="CF22" s="2">
        <f t="shared" si="10"/>
        <v>0</v>
      </c>
      <c r="CG22" s="2">
        <f t="shared" si="10"/>
        <v>0</v>
      </c>
      <c r="CH22" s="2">
        <f t="shared" si="10"/>
        <v>0</v>
      </c>
      <c r="CI22" s="2">
        <f t="shared" si="10"/>
        <v>0</v>
      </c>
      <c r="CJ22" s="2">
        <f t="shared" si="10"/>
        <v>0</v>
      </c>
      <c r="CK22" s="2">
        <f t="shared" si="10"/>
        <v>0</v>
      </c>
      <c r="CL22" s="2">
        <f t="shared" si="10"/>
        <v>0</v>
      </c>
      <c r="CM22" s="2">
        <f t="shared" si="10"/>
        <v>0</v>
      </c>
      <c r="CN22" s="2">
        <f t="shared" si="10"/>
        <v>0</v>
      </c>
      <c r="CO22" s="2">
        <f t="shared" si="10"/>
        <v>0</v>
      </c>
      <c r="CP22" s="2">
        <f t="shared" si="10"/>
        <v>0</v>
      </c>
      <c r="CQ22" s="2">
        <f t="shared" si="10"/>
        <v>0</v>
      </c>
      <c r="CR22" s="2">
        <f t="shared" si="10"/>
        <v>0</v>
      </c>
      <c r="CS22" s="2">
        <f t="shared" si="10"/>
        <v>0</v>
      </c>
      <c r="CT22" s="2">
        <f t="shared" si="10"/>
        <v>0</v>
      </c>
      <c r="CU22" s="2">
        <f t="shared" si="10"/>
        <v>0</v>
      </c>
      <c r="CV22" s="2">
        <f t="shared" si="10"/>
        <v>0</v>
      </c>
      <c r="CW22" s="2">
        <f t="shared" si="10"/>
        <v>0</v>
      </c>
      <c r="CX22" s="2">
        <f t="shared" si="10"/>
        <v>0</v>
      </c>
      <c r="CY22" s="2">
        <f t="shared" si="10"/>
        <v>0</v>
      </c>
      <c r="CZ22" s="2">
        <f t="shared" si="10"/>
        <v>0</v>
      </c>
      <c r="DA22" s="2">
        <f t="shared" si="10"/>
        <v>0</v>
      </c>
      <c r="DB22" s="2">
        <f t="shared" si="10"/>
        <v>0</v>
      </c>
      <c r="DC22" s="2">
        <f t="shared" si="10"/>
        <v>0</v>
      </c>
      <c r="DD22" s="2">
        <f t="shared" si="10"/>
        <v>0</v>
      </c>
      <c r="DE22" s="2">
        <f t="shared" si="10"/>
        <v>0</v>
      </c>
      <c r="DF22" s="2">
        <f t="shared" si="10"/>
        <v>0</v>
      </c>
      <c r="DG22" s="3">
        <f t="shared" ref="DG22:EL22" si="11">DG246</f>
        <v>0</v>
      </c>
      <c r="DH22" s="3">
        <f t="shared" si="11"/>
        <v>0</v>
      </c>
      <c r="DI22" s="3">
        <f t="shared" si="11"/>
        <v>0</v>
      </c>
      <c r="DJ22" s="3">
        <f t="shared" si="11"/>
        <v>0</v>
      </c>
      <c r="DK22" s="3">
        <f t="shared" si="11"/>
        <v>0</v>
      </c>
      <c r="DL22" s="3">
        <f t="shared" si="11"/>
        <v>0</v>
      </c>
      <c r="DM22" s="3">
        <f t="shared" si="11"/>
        <v>0</v>
      </c>
      <c r="DN22" s="3">
        <f t="shared" si="11"/>
        <v>0</v>
      </c>
      <c r="DO22" s="3">
        <f t="shared" si="11"/>
        <v>0</v>
      </c>
      <c r="DP22" s="3">
        <f t="shared" si="11"/>
        <v>0</v>
      </c>
      <c r="DQ22" s="3">
        <f t="shared" si="11"/>
        <v>0</v>
      </c>
      <c r="DR22" s="3">
        <f t="shared" si="11"/>
        <v>0</v>
      </c>
      <c r="DS22" s="3">
        <f t="shared" si="11"/>
        <v>0</v>
      </c>
      <c r="DT22" s="3">
        <f t="shared" si="11"/>
        <v>0</v>
      </c>
      <c r="DU22" s="3">
        <f t="shared" si="11"/>
        <v>0</v>
      </c>
      <c r="DV22" s="3">
        <f t="shared" si="11"/>
        <v>0</v>
      </c>
      <c r="DW22" s="3">
        <f t="shared" si="11"/>
        <v>0</v>
      </c>
      <c r="DX22" s="3">
        <f t="shared" si="11"/>
        <v>0</v>
      </c>
      <c r="DY22" s="3">
        <f t="shared" si="11"/>
        <v>0</v>
      </c>
      <c r="DZ22" s="3">
        <f t="shared" si="11"/>
        <v>0</v>
      </c>
      <c r="EA22" s="3">
        <f t="shared" si="11"/>
        <v>0</v>
      </c>
      <c r="EB22" s="3">
        <f t="shared" si="11"/>
        <v>0</v>
      </c>
      <c r="EC22" s="3">
        <f t="shared" si="11"/>
        <v>0</v>
      </c>
      <c r="ED22" s="3">
        <f t="shared" si="11"/>
        <v>0</v>
      </c>
      <c r="EE22" s="3">
        <f t="shared" si="11"/>
        <v>0</v>
      </c>
      <c r="EF22" s="3">
        <f t="shared" si="11"/>
        <v>0</v>
      </c>
      <c r="EG22" s="3">
        <f t="shared" si="11"/>
        <v>0</v>
      </c>
      <c r="EH22" s="3">
        <f t="shared" si="11"/>
        <v>0</v>
      </c>
      <c r="EI22" s="3">
        <f t="shared" si="11"/>
        <v>0</v>
      </c>
      <c r="EJ22" s="3">
        <f t="shared" si="11"/>
        <v>0</v>
      </c>
      <c r="EK22" s="3">
        <f t="shared" si="11"/>
        <v>0</v>
      </c>
      <c r="EL22" s="3">
        <f t="shared" si="11"/>
        <v>0</v>
      </c>
      <c r="EM22" s="3">
        <f t="shared" ref="EM22:FR22" si="12">EM246</f>
        <v>0</v>
      </c>
      <c r="EN22" s="3">
        <f t="shared" si="12"/>
        <v>0</v>
      </c>
      <c r="EO22" s="3">
        <f t="shared" si="12"/>
        <v>0</v>
      </c>
      <c r="EP22" s="3">
        <f t="shared" si="12"/>
        <v>0</v>
      </c>
      <c r="EQ22" s="3">
        <f t="shared" si="12"/>
        <v>0</v>
      </c>
      <c r="ER22" s="3">
        <f t="shared" si="12"/>
        <v>0</v>
      </c>
      <c r="ES22" s="3">
        <f t="shared" si="12"/>
        <v>0</v>
      </c>
      <c r="ET22" s="3">
        <f t="shared" si="12"/>
        <v>0</v>
      </c>
      <c r="EU22" s="3">
        <f t="shared" si="12"/>
        <v>0</v>
      </c>
      <c r="EV22" s="3">
        <f t="shared" si="12"/>
        <v>0</v>
      </c>
      <c r="EW22" s="3">
        <f t="shared" si="12"/>
        <v>0</v>
      </c>
      <c r="EX22" s="3">
        <f t="shared" si="12"/>
        <v>0</v>
      </c>
      <c r="EY22" s="3">
        <f t="shared" si="12"/>
        <v>0</v>
      </c>
      <c r="EZ22" s="3">
        <f t="shared" si="12"/>
        <v>0</v>
      </c>
      <c r="FA22" s="3">
        <f t="shared" si="12"/>
        <v>0</v>
      </c>
      <c r="FB22" s="3">
        <f t="shared" si="12"/>
        <v>0</v>
      </c>
      <c r="FC22" s="3">
        <f t="shared" si="12"/>
        <v>0</v>
      </c>
      <c r="FD22" s="3">
        <f t="shared" si="12"/>
        <v>0</v>
      </c>
      <c r="FE22" s="3">
        <f t="shared" si="12"/>
        <v>0</v>
      </c>
      <c r="FF22" s="3">
        <f t="shared" si="12"/>
        <v>0</v>
      </c>
      <c r="FG22" s="3">
        <f t="shared" si="12"/>
        <v>0</v>
      </c>
      <c r="FH22" s="3">
        <f t="shared" si="12"/>
        <v>0</v>
      </c>
      <c r="FI22" s="3">
        <f t="shared" si="12"/>
        <v>0</v>
      </c>
      <c r="FJ22" s="3">
        <f t="shared" si="12"/>
        <v>0</v>
      </c>
      <c r="FK22" s="3">
        <f t="shared" si="12"/>
        <v>0</v>
      </c>
      <c r="FL22" s="3">
        <f t="shared" si="12"/>
        <v>0</v>
      </c>
      <c r="FM22" s="3">
        <f t="shared" si="12"/>
        <v>0</v>
      </c>
      <c r="FN22" s="3">
        <f t="shared" si="12"/>
        <v>0</v>
      </c>
      <c r="FO22" s="3">
        <f t="shared" si="12"/>
        <v>0</v>
      </c>
      <c r="FP22" s="3">
        <f t="shared" si="12"/>
        <v>0</v>
      </c>
      <c r="FQ22" s="3">
        <f t="shared" si="12"/>
        <v>0</v>
      </c>
      <c r="FR22" s="3">
        <f t="shared" si="12"/>
        <v>0</v>
      </c>
      <c r="FS22" s="3">
        <f t="shared" ref="FS22:GX22" si="13">FS246</f>
        <v>0</v>
      </c>
      <c r="FT22" s="3">
        <f t="shared" si="13"/>
        <v>0</v>
      </c>
      <c r="FU22" s="3">
        <f t="shared" si="13"/>
        <v>0</v>
      </c>
      <c r="FV22" s="3">
        <f t="shared" si="13"/>
        <v>0</v>
      </c>
      <c r="FW22" s="3">
        <f t="shared" si="13"/>
        <v>0</v>
      </c>
      <c r="FX22" s="3">
        <f t="shared" si="13"/>
        <v>0</v>
      </c>
      <c r="FY22" s="3">
        <f t="shared" si="13"/>
        <v>0</v>
      </c>
      <c r="FZ22" s="3">
        <f t="shared" si="13"/>
        <v>0</v>
      </c>
      <c r="GA22" s="3">
        <f t="shared" si="13"/>
        <v>0</v>
      </c>
      <c r="GB22" s="3">
        <f t="shared" si="13"/>
        <v>0</v>
      </c>
      <c r="GC22" s="3">
        <f t="shared" si="13"/>
        <v>0</v>
      </c>
      <c r="GD22" s="3">
        <f t="shared" si="13"/>
        <v>0</v>
      </c>
      <c r="GE22" s="3">
        <f t="shared" si="13"/>
        <v>0</v>
      </c>
      <c r="GF22" s="3">
        <f t="shared" si="13"/>
        <v>0</v>
      </c>
      <c r="GG22" s="3">
        <f t="shared" si="13"/>
        <v>0</v>
      </c>
      <c r="GH22" s="3">
        <f t="shared" si="13"/>
        <v>0</v>
      </c>
      <c r="GI22" s="3">
        <f t="shared" si="13"/>
        <v>0</v>
      </c>
      <c r="GJ22" s="3">
        <f t="shared" si="13"/>
        <v>0</v>
      </c>
      <c r="GK22" s="3">
        <f t="shared" si="13"/>
        <v>0</v>
      </c>
      <c r="GL22" s="3">
        <f t="shared" si="13"/>
        <v>0</v>
      </c>
      <c r="GM22" s="3">
        <f t="shared" si="13"/>
        <v>0</v>
      </c>
      <c r="GN22" s="3">
        <f t="shared" si="13"/>
        <v>0</v>
      </c>
      <c r="GO22" s="3">
        <f t="shared" si="13"/>
        <v>0</v>
      </c>
      <c r="GP22" s="3">
        <f t="shared" si="13"/>
        <v>0</v>
      </c>
      <c r="GQ22" s="3">
        <f t="shared" si="13"/>
        <v>0</v>
      </c>
      <c r="GR22" s="3">
        <f t="shared" si="13"/>
        <v>0</v>
      </c>
      <c r="GS22" s="3">
        <f t="shared" si="13"/>
        <v>0</v>
      </c>
      <c r="GT22" s="3">
        <f t="shared" si="13"/>
        <v>0</v>
      </c>
      <c r="GU22" s="3">
        <f t="shared" si="13"/>
        <v>0</v>
      </c>
      <c r="GV22" s="3">
        <f t="shared" si="13"/>
        <v>0</v>
      </c>
      <c r="GW22" s="3">
        <f t="shared" si="13"/>
        <v>0</v>
      </c>
      <c r="GX22" s="3">
        <f t="shared" si="13"/>
        <v>0</v>
      </c>
    </row>
    <row r="24" spans="1:245">
      <c r="A24">
        <v>19</v>
      </c>
      <c r="B24">
        <v>1</v>
      </c>
      <c r="F24" t="s">
        <v>3</v>
      </c>
      <c r="G24" t="s">
        <v>13</v>
      </c>
      <c r="H24" t="s">
        <v>3</v>
      </c>
      <c r="AA24">
        <v>1</v>
      </c>
      <c r="IK24">
        <v>0</v>
      </c>
    </row>
    <row r="26" spans="1:245">
      <c r="A26" s="1">
        <v>4</v>
      </c>
      <c r="B26" s="1">
        <v>1</v>
      </c>
      <c r="C26" s="1"/>
      <c r="D26" s="1">
        <f>ROW(A41)</f>
        <v>41</v>
      </c>
      <c r="E26" s="1"/>
      <c r="F26" s="1" t="s">
        <v>14</v>
      </c>
      <c r="G26" s="1" t="s">
        <v>15</v>
      </c>
      <c r="H26" s="1" t="s">
        <v>3</v>
      </c>
      <c r="I26" s="1">
        <v>0</v>
      </c>
      <c r="J26" s="1"/>
      <c r="K26" s="1">
        <v>0</v>
      </c>
      <c r="L26" s="1"/>
      <c r="M26" s="1" t="s">
        <v>3</v>
      </c>
      <c r="N26" s="1"/>
      <c r="O26" s="1"/>
      <c r="P26" s="1"/>
      <c r="Q26" s="1"/>
      <c r="R26" s="1"/>
      <c r="S26" s="1">
        <v>0</v>
      </c>
      <c r="T26" s="1"/>
      <c r="U26" s="1" t="s">
        <v>3</v>
      </c>
      <c r="V26" s="1">
        <v>0</v>
      </c>
      <c r="W26" s="1"/>
      <c r="X26" s="1"/>
      <c r="Y26" s="1"/>
      <c r="Z26" s="1"/>
      <c r="AA26" s="1"/>
      <c r="AB26" s="1" t="s">
        <v>3</v>
      </c>
      <c r="AC26" s="1" t="s">
        <v>3</v>
      </c>
      <c r="AD26" s="1" t="s">
        <v>3</v>
      </c>
      <c r="AE26" s="1" t="s">
        <v>3</v>
      </c>
      <c r="AF26" s="1" t="s">
        <v>3</v>
      </c>
      <c r="AG26" s="1" t="s">
        <v>3</v>
      </c>
      <c r="AH26" s="1"/>
      <c r="AI26" s="1"/>
      <c r="AJ26" s="1"/>
      <c r="AK26" s="1"/>
      <c r="AL26" s="1"/>
      <c r="AM26" s="1"/>
      <c r="AN26" s="1"/>
      <c r="AO26" s="1"/>
      <c r="AP26" s="1" t="s">
        <v>3</v>
      </c>
      <c r="AQ26" s="1" t="s">
        <v>3</v>
      </c>
      <c r="AR26" s="1" t="s">
        <v>3</v>
      </c>
      <c r="AS26" s="1"/>
      <c r="AT26" s="1"/>
      <c r="AU26" s="1"/>
      <c r="AV26" s="1"/>
      <c r="AW26" s="1"/>
      <c r="AX26" s="1"/>
      <c r="AY26" s="1"/>
      <c r="AZ26" s="1" t="s">
        <v>3</v>
      </c>
      <c r="BA26" s="1"/>
      <c r="BB26" s="1" t="s">
        <v>3</v>
      </c>
      <c r="BC26" s="1" t="s">
        <v>3</v>
      </c>
      <c r="BD26" s="1" t="s">
        <v>3</v>
      </c>
      <c r="BE26" s="1" t="s">
        <v>3</v>
      </c>
      <c r="BF26" s="1" t="s">
        <v>3</v>
      </c>
      <c r="BG26" s="1" t="s">
        <v>3</v>
      </c>
      <c r="BH26" s="1" t="s">
        <v>3</v>
      </c>
      <c r="BI26" s="1" t="s">
        <v>3</v>
      </c>
      <c r="BJ26" s="1" t="s">
        <v>3</v>
      </c>
      <c r="BK26" s="1" t="s">
        <v>3</v>
      </c>
      <c r="BL26" s="1" t="s">
        <v>3</v>
      </c>
      <c r="BM26" s="1" t="s">
        <v>3</v>
      </c>
      <c r="BN26" s="1" t="s">
        <v>3</v>
      </c>
      <c r="BO26" s="1" t="s">
        <v>3</v>
      </c>
      <c r="BP26" s="1" t="s">
        <v>3</v>
      </c>
      <c r="BQ26" s="1"/>
      <c r="BR26" s="1"/>
      <c r="BS26" s="1"/>
      <c r="BT26" s="1"/>
      <c r="BU26" s="1"/>
      <c r="BV26" s="1"/>
      <c r="BW26" s="1"/>
      <c r="BX26" s="1">
        <v>0</v>
      </c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>
        <v>0</v>
      </c>
    </row>
    <row r="28" spans="1:245">
      <c r="A28" s="2">
        <v>52</v>
      </c>
      <c r="B28" s="2">
        <f t="shared" ref="B28:G28" si="14">B41</f>
        <v>1</v>
      </c>
      <c r="C28" s="2">
        <f t="shared" si="14"/>
        <v>4</v>
      </c>
      <c r="D28" s="2">
        <f t="shared" si="14"/>
        <v>26</v>
      </c>
      <c r="E28" s="2">
        <f t="shared" si="14"/>
        <v>0</v>
      </c>
      <c r="F28" s="2" t="str">
        <f t="shared" si="14"/>
        <v>Новый раздел</v>
      </c>
      <c r="G28" s="2" t="str">
        <f t="shared" si="14"/>
        <v>Демонтаж</v>
      </c>
      <c r="H28" s="2"/>
      <c r="I28" s="2"/>
      <c r="J28" s="2"/>
      <c r="K28" s="2"/>
      <c r="L28" s="2"/>
      <c r="M28" s="2"/>
      <c r="N28" s="2"/>
      <c r="O28" s="2">
        <f t="shared" ref="O28:AT28" si="15">O41</f>
        <v>14630.18</v>
      </c>
      <c r="P28" s="2">
        <f t="shared" si="15"/>
        <v>0</v>
      </c>
      <c r="Q28" s="2">
        <f t="shared" si="15"/>
        <v>2.2400000000000002</v>
      </c>
      <c r="R28" s="2">
        <f t="shared" si="15"/>
        <v>2.14</v>
      </c>
      <c r="S28" s="2">
        <f t="shared" si="15"/>
        <v>14627.94</v>
      </c>
      <c r="T28" s="2">
        <f t="shared" si="15"/>
        <v>0</v>
      </c>
      <c r="U28" s="2">
        <f t="shared" si="15"/>
        <v>56.655440000000013</v>
      </c>
      <c r="V28" s="2">
        <f t="shared" si="15"/>
        <v>4.7999999999999996E-3</v>
      </c>
      <c r="W28" s="2">
        <f t="shared" si="15"/>
        <v>0</v>
      </c>
      <c r="X28" s="2">
        <f t="shared" si="15"/>
        <v>13188.37</v>
      </c>
      <c r="Y28" s="2">
        <f t="shared" si="15"/>
        <v>9317.49</v>
      </c>
      <c r="Z28" s="2">
        <f t="shared" si="15"/>
        <v>0</v>
      </c>
      <c r="AA28" s="2">
        <f t="shared" si="15"/>
        <v>0</v>
      </c>
      <c r="AB28" s="2">
        <f t="shared" si="15"/>
        <v>14630.18</v>
      </c>
      <c r="AC28" s="2">
        <f t="shared" si="15"/>
        <v>0</v>
      </c>
      <c r="AD28" s="2">
        <f t="shared" si="15"/>
        <v>2.2400000000000002</v>
      </c>
      <c r="AE28" s="2">
        <f t="shared" si="15"/>
        <v>2.14</v>
      </c>
      <c r="AF28" s="2">
        <f t="shared" si="15"/>
        <v>14627.94</v>
      </c>
      <c r="AG28" s="2">
        <f t="shared" si="15"/>
        <v>0</v>
      </c>
      <c r="AH28" s="2">
        <f t="shared" si="15"/>
        <v>56.655440000000013</v>
      </c>
      <c r="AI28" s="2">
        <f t="shared" si="15"/>
        <v>4.7999999999999996E-3</v>
      </c>
      <c r="AJ28" s="2">
        <f t="shared" si="15"/>
        <v>0</v>
      </c>
      <c r="AK28" s="2">
        <f t="shared" si="15"/>
        <v>13188.37</v>
      </c>
      <c r="AL28" s="2">
        <f t="shared" si="15"/>
        <v>9317.49</v>
      </c>
      <c r="AM28" s="2">
        <f t="shared" si="15"/>
        <v>0</v>
      </c>
      <c r="AN28" s="2">
        <f t="shared" si="15"/>
        <v>0</v>
      </c>
      <c r="AO28" s="2">
        <f t="shared" si="15"/>
        <v>0</v>
      </c>
      <c r="AP28" s="2">
        <f t="shared" si="15"/>
        <v>0</v>
      </c>
      <c r="AQ28" s="2">
        <f t="shared" si="15"/>
        <v>0</v>
      </c>
      <c r="AR28" s="2">
        <f t="shared" si="15"/>
        <v>37136.04</v>
      </c>
      <c r="AS28" s="2">
        <f t="shared" si="15"/>
        <v>37136.04</v>
      </c>
      <c r="AT28" s="2">
        <f t="shared" si="15"/>
        <v>0</v>
      </c>
      <c r="AU28" s="2">
        <f t="shared" ref="AU28:BZ28" si="16">AU41</f>
        <v>0</v>
      </c>
      <c r="AV28" s="2">
        <f t="shared" si="16"/>
        <v>0</v>
      </c>
      <c r="AW28" s="2">
        <f t="shared" si="16"/>
        <v>0</v>
      </c>
      <c r="AX28" s="2">
        <f t="shared" si="16"/>
        <v>0</v>
      </c>
      <c r="AY28" s="2">
        <f t="shared" si="16"/>
        <v>0</v>
      </c>
      <c r="AZ28" s="2">
        <f t="shared" si="16"/>
        <v>0</v>
      </c>
      <c r="BA28" s="2">
        <f t="shared" si="16"/>
        <v>0</v>
      </c>
      <c r="BB28" s="2">
        <f t="shared" si="16"/>
        <v>0</v>
      </c>
      <c r="BC28" s="2">
        <f t="shared" si="16"/>
        <v>0</v>
      </c>
      <c r="BD28" s="2">
        <f t="shared" si="16"/>
        <v>0</v>
      </c>
      <c r="BE28" s="2">
        <f t="shared" si="16"/>
        <v>0</v>
      </c>
      <c r="BF28" s="2">
        <f t="shared" si="16"/>
        <v>0</v>
      </c>
      <c r="BG28" s="2">
        <f t="shared" si="16"/>
        <v>0</v>
      </c>
      <c r="BH28" s="2">
        <f t="shared" si="16"/>
        <v>0</v>
      </c>
      <c r="BI28" s="2">
        <f t="shared" si="16"/>
        <v>0</v>
      </c>
      <c r="BJ28" s="2">
        <f t="shared" si="16"/>
        <v>0</v>
      </c>
      <c r="BK28" s="2">
        <f t="shared" si="16"/>
        <v>0</v>
      </c>
      <c r="BL28" s="2">
        <f t="shared" si="16"/>
        <v>0</v>
      </c>
      <c r="BM28" s="2">
        <f t="shared" si="16"/>
        <v>0</v>
      </c>
      <c r="BN28" s="2">
        <f t="shared" si="16"/>
        <v>0</v>
      </c>
      <c r="BO28" s="2">
        <f t="shared" si="16"/>
        <v>0</v>
      </c>
      <c r="BP28" s="2">
        <f t="shared" si="16"/>
        <v>0</v>
      </c>
      <c r="BQ28" s="2">
        <f t="shared" si="16"/>
        <v>0</v>
      </c>
      <c r="BR28" s="2">
        <f t="shared" si="16"/>
        <v>0</v>
      </c>
      <c r="BS28" s="2">
        <f t="shared" si="16"/>
        <v>0</v>
      </c>
      <c r="BT28" s="2">
        <f t="shared" si="16"/>
        <v>0</v>
      </c>
      <c r="BU28" s="2">
        <f t="shared" si="16"/>
        <v>0</v>
      </c>
      <c r="BV28" s="2">
        <f t="shared" si="16"/>
        <v>0</v>
      </c>
      <c r="BW28" s="2">
        <f t="shared" si="16"/>
        <v>0</v>
      </c>
      <c r="BX28" s="2">
        <f t="shared" si="16"/>
        <v>0</v>
      </c>
      <c r="BY28" s="2">
        <f t="shared" si="16"/>
        <v>0</v>
      </c>
      <c r="BZ28" s="2">
        <f t="shared" si="16"/>
        <v>0</v>
      </c>
      <c r="CA28" s="2">
        <f t="shared" ref="CA28:DF28" si="17">CA41</f>
        <v>37136.04</v>
      </c>
      <c r="CB28" s="2">
        <f t="shared" si="17"/>
        <v>37136.04</v>
      </c>
      <c r="CC28" s="2">
        <f t="shared" si="17"/>
        <v>0</v>
      </c>
      <c r="CD28" s="2">
        <f t="shared" si="17"/>
        <v>0</v>
      </c>
      <c r="CE28" s="2">
        <f t="shared" si="17"/>
        <v>0</v>
      </c>
      <c r="CF28" s="2">
        <f t="shared" si="17"/>
        <v>0</v>
      </c>
      <c r="CG28" s="2">
        <f t="shared" si="17"/>
        <v>0</v>
      </c>
      <c r="CH28" s="2">
        <f t="shared" si="17"/>
        <v>0</v>
      </c>
      <c r="CI28" s="2">
        <f t="shared" si="17"/>
        <v>0</v>
      </c>
      <c r="CJ28" s="2">
        <f t="shared" si="17"/>
        <v>0</v>
      </c>
      <c r="CK28" s="2">
        <f t="shared" si="17"/>
        <v>0</v>
      </c>
      <c r="CL28" s="2">
        <f t="shared" si="17"/>
        <v>0</v>
      </c>
      <c r="CM28" s="2">
        <f t="shared" si="17"/>
        <v>0</v>
      </c>
      <c r="CN28" s="2">
        <f t="shared" si="17"/>
        <v>0</v>
      </c>
      <c r="CO28" s="2">
        <f t="shared" si="17"/>
        <v>0</v>
      </c>
      <c r="CP28" s="2">
        <f t="shared" si="17"/>
        <v>0</v>
      </c>
      <c r="CQ28" s="2">
        <f t="shared" si="17"/>
        <v>0</v>
      </c>
      <c r="CR28" s="2">
        <f t="shared" si="17"/>
        <v>0</v>
      </c>
      <c r="CS28" s="2">
        <f t="shared" si="17"/>
        <v>0</v>
      </c>
      <c r="CT28" s="2">
        <f t="shared" si="17"/>
        <v>0</v>
      </c>
      <c r="CU28" s="2">
        <f t="shared" si="17"/>
        <v>0</v>
      </c>
      <c r="CV28" s="2">
        <f t="shared" si="17"/>
        <v>0</v>
      </c>
      <c r="CW28" s="2">
        <f t="shared" si="17"/>
        <v>0</v>
      </c>
      <c r="CX28" s="2">
        <f t="shared" si="17"/>
        <v>0</v>
      </c>
      <c r="CY28" s="2">
        <f t="shared" si="17"/>
        <v>0</v>
      </c>
      <c r="CZ28" s="2">
        <f t="shared" si="17"/>
        <v>0</v>
      </c>
      <c r="DA28" s="2">
        <f t="shared" si="17"/>
        <v>0</v>
      </c>
      <c r="DB28" s="2">
        <f t="shared" si="17"/>
        <v>0</v>
      </c>
      <c r="DC28" s="2">
        <f t="shared" si="17"/>
        <v>0</v>
      </c>
      <c r="DD28" s="2">
        <f t="shared" si="17"/>
        <v>0</v>
      </c>
      <c r="DE28" s="2">
        <f t="shared" si="17"/>
        <v>0</v>
      </c>
      <c r="DF28" s="2">
        <f t="shared" si="17"/>
        <v>0</v>
      </c>
      <c r="DG28" s="3">
        <f t="shared" ref="DG28:EL28" si="18">DG41</f>
        <v>0</v>
      </c>
      <c r="DH28" s="3">
        <f t="shared" si="18"/>
        <v>0</v>
      </c>
      <c r="DI28" s="3">
        <f t="shared" si="18"/>
        <v>0</v>
      </c>
      <c r="DJ28" s="3">
        <f t="shared" si="18"/>
        <v>0</v>
      </c>
      <c r="DK28" s="3">
        <f t="shared" si="18"/>
        <v>0</v>
      </c>
      <c r="DL28" s="3">
        <f t="shared" si="18"/>
        <v>0</v>
      </c>
      <c r="DM28" s="3">
        <f t="shared" si="18"/>
        <v>0</v>
      </c>
      <c r="DN28" s="3">
        <f t="shared" si="18"/>
        <v>0</v>
      </c>
      <c r="DO28" s="3">
        <f t="shared" si="18"/>
        <v>0</v>
      </c>
      <c r="DP28" s="3">
        <f t="shared" si="18"/>
        <v>0</v>
      </c>
      <c r="DQ28" s="3">
        <f t="shared" si="18"/>
        <v>0</v>
      </c>
      <c r="DR28" s="3">
        <f t="shared" si="18"/>
        <v>0</v>
      </c>
      <c r="DS28" s="3">
        <f t="shared" si="18"/>
        <v>0</v>
      </c>
      <c r="DT28" s="3">
        <f t="shared" si="18"/>
        <v>0</v>
      </c>
      <c r="DU28" s="3">
        <f t="shared" si="18"/>
        <v>0</v>
      </c>
      <c r="DV28" s="3">
        <f t="shared" si="18"/>
        <v>0</v>
      </c>
      <c r="DW28" s="3">
        <f t="shared" si="18"/>
        <v>0</v>
      </c>
      <c r="DX28" s="3">
        <f t="shared" si="18"/>
        <v>0</v>
      </c>
      <c r="DY28" s="3">
        <f t="shared" si="18"/>
        <v>0</v>
      </c>
      <c r="DZ28" s="3">
        <f t="shared" si="18"/>
        <v>0</v>
      </c>
      <c r="EA28" s="3">
        <f t="shared" si="18"/>
        <v>0</v>
      </c>
      <c r="EB28" s="3">
        <f t="shared" si="18"/>
        <v>0</v>
      </c>
      <c r="EC28" s="3">
        <f t="shared" si="18"/>
        <v>0</v>
      </c>
      <c r="ED28" s="3">
        <f t="shared" si="18"/>
        <v>0</v>
      </c>
      <c r="EE28" s="3">
        <f t="shared" si="18"/>
        <v>0</v>
      </c>
      <c r="EF28" s="3">
        <f t="shared" si="18"/>
        <v>0</v>
      </c>
      <c r="EG28" s="3">
        <f t="shared" si="18"/>
        <v>0</v>
      </c>
      <c r="EH28" s="3">
        <f t="shared" si="18"/>
        <v>0</v>
      </c>
      <c r="EI28" s="3">
        <f t="shared" si="18"/>
        <v>0</v>
      </c>
      <c r="EJ28" s="3">
        <f t="shared" si="18"/>
        <v>0</v>
      </c>
      <c r="EK28" s="3">
        <f t="shared" si="18"/>
        <v>0</v>
      </c>
      <c r="EL28" s="3">
        <f t="shared" si="18"/>
        <v>0</v>
      </c>
      <c r="EM28" s="3">
        <f t="shared" ref="EM28:FR28" si="19">EM41</f>
        <v>0</v>
      </c>
      <c r="EN28" s="3">
        <f t="shared" si="19"/>
        <v>0</v>
      </c>
      <c r="EO28" s="3">
        <f t="shared" si="19"/>
        <v>0</v>
      </c>
      <c r="EP28" s="3">
        <f t="shared" si="19"/>
        <v>0</v>
      </c>
      <c r="EQ28" s="3">
        <f t="shared" si="19"/>
        <v>0</v>
      </c>
      <c r="ER28" s="3">
        <f t="shared" si="19"/>
        <v>0</v>
      </c>
      <c r="ES28" s="3">
        <f t="shared" si="19"/>
        <v>0</v>
      </c>
      <c r="ET28" s="3">
        <f t="shared" si="19"/>
        <v>0</v>
      </c>
      <c r="EU28" s="3">
        <f t="shared" si="19"/>
        <v>0</v>
      </c>
      <c r="EV28" s="3">
        <f t="shared" si="19"/>
        <v>0</v>
      </c>
      <c r="EW28" s="3">
        <f t="shared" si="19"/>
        <v>0</v>
      </c>
      <c r="EX28" s="3">
        <f t="shared" si="19"/>
        <v>0</v>
      </c>
      <c r="EY28" s="3">
        <f t="shared" si="19"/>
        <v>0</v>
      </c>
      <c r="EZ28" s="3">
        <f t="shared" si="19"/>
        <v>0</v>
      </c>
      <c r="FA28" s="3">
        <f t="shared" si="19"/>
        <v>0</v>
      </c>
      <c r="FB28" s="3">
        <f t="shared" si="19"/>
        <v>0</v>
      </c>
      <c r="FC28" s="3">
        <f t="shared" si="19"/>
        <v>0</v>
      </c>
      <c r="FD28" s="3">
        <f t="shared" si="19"/>
        <v>0</v>
      </c>
      <c r="FE28" s="3">
        <f t="shared" si="19"/>
        <v>0</v>
      </c>
      <c r="FF28" s="3">
        <f t="shared" si="19"/>
        <v>0</v>
      </c>
      <c r="FG28" s="3">
        <f t="shared" si="19"/>
        <v>0</v>
      </c>
      <c r="FH28" s="3">
        <f t="shared" si="19"/>
        <v>0</v>
      </c>
      <c r="FI28" s="3">
        <f t="shared" si="19"/>
        <v>0</v>
      </c>
      <c r="FJ28" s="3">
        <f t="shared" si="19"/>
        <v>0</v>
      </c>
      <c r="FK28" s="3">
        <f t="shared" si="19"/>
        <v>0</v>
      </c>
      <c r="FL28" s="3">
        <f t="shared" si="19"/>
        <v>0</v>
      </c>
      <c r="FM28" s="3">
        <f t="shared" si="19"/>
        <v>0</v>
      </c>
      <c r="FN28" s="3">
        <f t="shared" si="19"/>
        <v>0</v>
      </c>
      <c r="FO28" s="3">
        <f t="shared" si="19"/>
        <v>0</v>
      </c>
      <c r="FP28" s="3">
        <f t="shared" si="19"/>
        <v>0</v>
      </c>
      <c r="FQ28" s="3">
        <f t="shared" si="19"/>
        <v>0</v>
      </c>
      <c r="FR28" s="3">
        <f t="shared" si="19"/>
        <v>0</v>
      </c>
      <c r="FS28" s="3">
        <f t="shared" ref="FS28:GX28" si="20">FS41</f>
        <v>0</v>
      </c>
      <c r="FT28" s="3">
        <f t="shared" si="20"/>
        <v>0</v>
      </c>
      <c r="FU28" s="3">
        <f t="shared" si="20"/>
        <v>0</v>
      </c>
      <c r="FV28" s="3">
        <f t="shared" si="20"/>
        <v>0</v>
      </c>
      <c r="FW28" s="3">
        <f t="shared" si="20"/>
        <v>0</v>
      </c>
      <c r="FX28" s="3">
        <f t="shared" si="20"/>
        <v>0</v>
      </c>
      <c r="FY28" s="3">
        <f t="shared" si="20"/>
        <v>0</v>
      </c>
      <c r="FZ28" s="3">
        <f t="shared" si="20"/>
        <v>0</v>
      </c>
      <c r="GA28" s="3">
        <f t="shared" si="20"/>
        <v>0</v>
      </c>
      <c r="GB28" s="3">
        <f t="shared" si="20"/>
        <v>0</v>
      </c>
      <c r="GC28" s="3">
        <f t="shared" si="20"/>
        <v>0</v>
      </c>
      <c r="GD28" s="3">
        <f t="shared" si="20"/>
        <v>0</v>
      </c>
      <c r="GE28" s="3">
        <f t="shared" si="20"/>
        <v>0</v>
      </c>
      <c r="GF28" s="3">
        <f t="shared" si="20"/>
        <v>0</v>
      </c>
      <c r="GG28" s="3">
        <f t="shared" si="20"/>
        <v>0</v>
      </c>
      <c r="GH28" s="3">
        <f t="shared" si="20"/>
        <v>0</v>
      </c>
      <c r="GI28" s="3">
        <f t="shared" si="20"/>
        <v>0</v>
      </c>
      <c r="GJ28" s="3">
        <f t="shared" si="20"/>
        <v>0</v>
      </c>
      <c r="GK28" s="3">
        <f t="shared" si="20"/>
        <v>0</v>
      </c>
      <c r="GL28" s="3">
        <f t="shared" si="20"/>
        <v>0</v>
      </c>
      <c r="GM28" s="3">
        <f t="shared" si="20"/>
        <v>0</v>
      </c>
      <c r="GN28" s="3">
        <f t="shared" si="20"/>
        <v>0</v>
      </c>
      <c r="GO28" s="3">
        <f t="shared" si="20"/>
        <v>0</v>
      </c>
      <c r="GP28" s="3">
        <f t="shared" si="20"/>
        <v>0</v>
      </c>
      <c r="GQ28" s="3">
        <f t="shared" si="20"/>
        <v>0</v>
      </c>
      <c r="GR28" s="3">
        <f t="shared" si="20"/>
        <v>0</v>
      </c>
      <c r="GS28" s="3">
        <f t="shared" si="20"/>
        <v>0</v>
      </c>
      <c r="GT28" s="3">
        <f t="shared" si="20"/>
        <v>0</v>
      </c>
      <c r="GU28" s="3">
        <f t="shared" si="20"/>
        <v>0</v>
      </c>
      <c r="GV28" s="3">
        <f t="shared" si="20"/>
        <v>0</v>
      </c>
      <c r="GW28" s="3">
        <f t="shared" si="20"/>
        <v>0</v>
      </c>
      <c r="GX28" s="3">
        <f t="shared" si="20"/>
        <v>0</v>
      </c>
    </row>
    <row r="30" spans="1:245">
      <c r="A30">
        <v>17</v>
      </c>
      <c r="B30">
        <v>1</v>
      </c>
      <c r="C30">
        <f>ROW(SmtRes!A2)</f>
        <v>2</v>
      </c>
      <c r="D30">
        <f>ROW(EtalonRes!A2)</f>
        <v>2</v>
      </c>
      <c r="E30" t="s">
        <v>16</v>
      </c>
      <c r="F30" t="s">
        <v>17</v>
      </c>
      <c r="G30" t="s">
        <v>18</v>
      </c>
      <c r="H30" t="s">
        <v>19</v>
      </c>
      <c r="I30">
        <f>ROUND(90.8/100,9)</f>
        <v>0.90800000000000003</v>
      </c>
      <c r="J30">
        <v>0</v>
      </c>
      <c r="O30">
        <f t="shared" ref="O30:O39" si="21">ROUND(CP30,2)</f>
        <v>4082.18</v>
      </c>
      <c r="P30">
        <f t="shared" ref="P30:P39" si="22">ROUND(CQ30*I30,2)</f>
        <v>0</v>
      </c>
      <c r="Q30">
        <f t="shared" ref="Q30:Q39" si="23">ROUND(CR30*I30,2)</f>
        <v>0</v>
      </c>
      <c r="R30">
        <f t="shared" ref="R30:R39" si="24">ROUND(CS30*I30,2)</f>
        <v>0</v>
      </c>
      <c r="S30">
        <f t="shared" ref="S30:S39" si="25">ROUND(CT30*I30,2)</f>
        <v>4082.18</v>
      </c>
      <c r="T30">
        <f t="shared" ref="T30:T39" si="26">ROUND(CU30*I30,2)</f>
        <v>0</v>
      </c>
      <c r="U30">
        <f t="shared" ref="U30:U39" si="27">CV30*I30</f>
        <v>15.835520000000002</v>
      </c>
      <c r="V30">
        <f t="shared" ref="V30:V39" si="28">CW30*I30</f>
        <v>0</v>
      </c>
      <c r="W30">
        <f t="shared" ref="W30:W39" si="29">ROUND(CX30*I30,2)</f>
        <v>0</v>
      </c>
      <c r="X30">
        <f t="shared" ref="X30:X39" si="30">ROUND(CY30,2)</f>
        <v>3265.74</v>
      </c>
      <c r="Y30">
        <f t="shared" ref="Y30:Y39" si="31">ROUND(CZ30,2)</f>
        <v>2775.88</v>
      </c>
      <c r="AA30">
        <v>35841400</v>
      </c>
      <c r="AB30">
        <f t="shared" ref="AB30:AB39" si="32">ROUND((AC30+AD30+AF30),6)</f>
        <v>136.03</v>
      </c>
      <c r="AC30">
        <f t="shared" ref="AC30:AC39" si="33">ROUND((ES30),6)</f>
        <v>0</v>
      </c>
      <c r="AD30">
        <f t="shared" ref="AD30:AD39" si="34">ROUND((((ET30)-(EU30))+AE30),6)</f>
        <v>0</v>
      </c>
      <c r="AE30">
        <f t="shared" ref="AE30:AE39" si="35">ROUND((EU30),6)</f>
        <v>0</v>
      </c>
      <c r="AF30">
        <f t="shared" ref="AF30:AF39" si="36">ROUND((EV30),6)</f>
        <v>136.03</v>
      </c>
      <c r="AG30">
        <f t="shared" ref="AG30:AG39" si="37">ROUND((AP30),6)</f>
        <v>0</v>
      </c>
      <c r="AH30">
        <f t="shared" ref="AH30:AH39" si="38">(EW30)</f>
        <v>17.440000000000001</v>
      </c>
      <c r="AI30">
        <f t="shared" ref="AI30:AI39" si="39">(EX30)</f>
        <v>0</v>
      </c>
      <c r="AJ30">
        <f t="shared" ref="AJ30:AJ39" si="40">(AS30)</f>
        <v>0</v>
      </c>
      <c r="AK30">
        <v>136.03</v>
      </c>
      <c r="AL30">
        <v>0</v>
      </c>
      <c r="AM30">
        <v>0</v>
      </c>
      <c r="AN30">
        <v>0</v>
      </c>
      <c r="AO30">
        <v>136.03</v>
      </c>
      <c r="AP30">
        <v>0</v>
      </c>
      <c r="AQ30">
        <v>17.440000000000001</v>
      </c>
      <c r="AR30">
        <v>0</v>
      </c>
      <c r="AS30">
        <v>0</v>
      </c>
      <c r="AT30">
        <v>80</v>
      </c>
      <c r="AU30">
        <v>68</v>
      </c>
      <c r="AV30">
        <v>1</v>
      </c>
      <c r="AW30">
        <v>1</v>
      </c>
      <c r="AZ30">
        <v>1</v>
      </c>
      <c r="BA30">
        <v>33.049999999999997</v>
      </c>
      <c r="BB30">
        <v>1</v>
      </c>
      <c r="BC30">
        <v>1</v>
      </c>
      <c r="BD30" t="s">
        <v>3</v>
      </c>
      <c r="BE30" t="s">
        <v>3</v>
      </c>
      <c r="BF30" t="s">
        <v>3</v>
      </c>
      <c r="BG30" t="s">
        <v>3</v>
      </c>
      <c r="BH30">
        <v>0</v>
      </c>
      <c r="BI30">
        <v>1</v>
      </c>
      <c r="BJ30" t="s">
        <v>20</v>
      </c>
      <c r="BM30">
        <v>57001</v>
      </c>
      <c r="BN30">
        <v>0</v>
      </c>
      <c r="BO30" t="s">
        <v>17</v>
      </c>
      <c r="BP30">
        <v>1</v>
      </c>
      <c r="BQ30">
        <v>6</v>
      </c>
      <c r="BR30">
        <v>0</v>
      </c>
      <c r="BS30">
        <v>33.049999999999997</v>
      </c>
      <c r="BT30">
        <v>1</v>
      </c>
      <c r="BU30">
        <v>1</v>
      </c>
      <c r="BV30">
        <v>1</v>
      </c>
      <c r="BW30">
        <v>1</v>
      </c>
      <c r="BX30">
        <v>1</v>
      </c>
      <c r="BY30" t="s">
        <v>3</v>
      </c>
      <c r="BZ30">
        <v>80</v>
      </c>
      <c r="CA30">
        <v>68</v>
      </c>
      <c r="CE30">
        <v>0</v>
      </c>
      <c r="CF30">
        <v>0</v>
      </c>
      <c r="CG30">
        <v>0</v>
      </c>
      <c r="CM30">
        <v>0</v>
      </c>
      <c r="CN30" t="s">
        <v>3</v>
      </c>
      <c r="CO30">
        <v>0</v>
      </c>
      <c r="CP30">
        <f t="shared" ref="CP30:CP39" si="41">(P30+Q30+S30)</f>
        <v>4082.18</v>
      </c>
      <c r="CQ30">
        <f t="shared" ref="CQ30:CQ39" si="42">AC30*BC30</f>
        <v>0</v>
      </c>
      <c r="CR30">
        <f t="shared" ref="CR30:CR39" si="43">AD30*BB30</f>
        <v>0</v>
      </c>
      <c r="CS30">
        <f t="shared" ref="CS30:CS39" si="44">AE30*BS30</f>
        <v>0</v>
      </c>
      <c r="CT30">
        <f t="shared" ref="CT30:CT39" si="45">AF30*BA30</f>
        <v>4495.7914999999994</v>
      </c>
      <c r="CU30">
        <f t="shared" ref="CU30:CU39" si="46">AG30</f>
        <v>0</v>
      </c>
      <c r="CV30">
        <f t="shared" ref="CV30:CV39" si="47">AH30</f>
        <v>17.440000000000001</v>
      </c>
      <c r="CW30">
        <f t="shared" ref="CW30:CW39" si="48">AI30</f>
        <v>0</v>
      </c>
      <c r="CX30">
        <f t="shared" ref="CX30:CX39" si="49">AJ30</f>
        <v>0</v>
      </c>
      <c r="CY30">
        <f t="shared" ref="CY30:CY39" si="50">(((S30+R30)*AT30)/100)</f>
        <v>3265.7439999999997</v>
      </c>
      <c r="CZ30">
        <f t="shared" ref="CZ30:CZ39" si="51">(((S30+R30)*AU30)/100)</f>
        <v>2775.8824</v>
      </c>
      <c r="DC30" t="s">
        <v>3</v>
      </c>
      <c r="DD30" t="s">
        <v>3</v>
      </c>
      <c r="DE30" t="s">
        <v>3</v>
      </c>
      <c r="DF30" t="s">
        <v>3</v>
      </c>
      <c r="DG30" t="s">
        <v>3</v>
      </c>
      <c r="DH30" t="s">
        <v>3</v>
      </c>
      <c r="DI30" t="s">
        <v>3</v>
      </c>
      <c r="DJ30" t="s">
        <v>3</v>
      </c>
      <c r="DK30" t="s">
        <v>3</v>
      </c>
      <c r="DL30" t="s">
        <v>3</v>
      </c>
      <c r="DM30" t="s">
        <v>3</v>
      </c>
      <c r="DN30">
        <v>0</v>
      </c>
      <c r="DO30">
        <v>0</v>
      </c>
      <c r="DP30">
        <v>1</v>
      </c>
      <c r="DQ30">
        <v>1</v>
      </c>
      <c r="DU30">
        <v>1013</v>
      </c>
      <c r="DV30" t="s">
        <v>19</v>
      </c>
      <c r="DW30" t="s">
        <v>19</v>
      </c>
      <c r="DX30">
        <v>1</v>
      </c>
      <c r="DZ30" t="s">
        <v>3</v>
      </c>
      <c r="EA30" t="s">
        <v>3</v>
      </c>
      <c r="EB30" t="s">
        <v>3</v>
      </c>
      <c r="EC30" t="s">
        <v>3</v>
      </c>
      <c r="EE30">
        <v>35526158</v>
      </c>
      <c r="EF30">
        <v>6</v>
      </c>
      <c r="EG30" t="s">
        <v>21</v>
      </c>
      <c r="EH30">
        <v>0</v>
      </c>
      <c r="EI30" t="s">
        <v>3</v>
      </c>
      <c r="EJ30">
        <v>1</v>
      </c>
      <c r="EK30">
        <v>57001</v>
      </c>
      <c r="EL30" t="s">
        <v>22</v>
      </c>
      <c r="EM30" t="s">
        <v>23</v>
      </c>
      <c r="EO30" t="s">
        <v>3</v>
      </c>
      <c r="EQ30">
        <v>0</v>
      </c>
      <c r="ER30">
        <v>136.03</v>
      </c>
      <c r="ES30">
        <v>0</v>
      </c>
      <c r="ET30">
        <v>0</v>
      </c>
      <c r="EU30">
        <v>0</v>
      </c>
      <c r="EV30">
        <v>136.03</v>
      </c>
      <c r="EW30">
        <v>17.440000000000001</v>
      </c>
      <c r="EX30">
        <v>0</v>
      </c>
      <c r="EY30">
        <v>0</v>
      </c>
      <c r="FQ30">
        <v>0</v>
      </c>
      <c r="FR30">
        <f t="shared" ref="FR30:FR39" si="52">ROUND(IF(AND(BH30=3,BI30=3),P30,0),2)</f>
        <v>0</v>
      </c>
      <c r="FS30">
        <v>0</v>
      </c>
      <c r="FX30">
        <v>80</v>
      </c>
      <c r="FY30">
        <v>68</v>
      </c>
      <c r="GA30" t="s">
        <v>3</v>
      </c>
      <c r="GD30">
        <v>1</v>
      </c>
      <c r="GF30">
        <v>-1748443520</v>
      </c>
      <c r="GG30">
        <v>2</v>
      </c>
      <c r="GH30">
        <v>1</v>
      </c>
      <c r="GI30">
        <v>2</v>
      </c>
      <c r="GJ30">
        <v>0</v>
      </c>
      <c r="GK30">
        <v>0</v>
      </c>
      <c r="GL30">
        <f t="shared" ref="GL30:GL39" si="53">ROUND(IF(AND(BH30=3,BI30=3,FS30&lt;&gt;0),P30,0),2)</f>
        <v>0</v>
      </c>
      <c r="GM30">
        <f t="shared" ref="GM30:GM39" si="54">ROUND(O30+X30+Y30,2)+GX30</f>
        <v>10123.799999999999</v>
      </c>
      <c r="GN30">
        <f t="shared" ref="GN30:GN39" si="55">IF(OR(BI30=0,BI30=1),ROUND(O30+X30+Y30,2),0)</f>
        <v>10123.799999999999</v>
      </c>
      <c r="GO30">
        <f t="shared" ref="GO30:GO39" si="56">IF(BI30=2,ROUND(O30+X30+Y30,2),0)</f>
        <v>0</v>
      </c>
      <c r="GP30">
        <f t="shared" ref="GP30:GP39" si="57">IF(BI30=4,ROUND(O30+X30+Y30,2)+GX30,0)</f>
        <v>0</v>
      </c>
      <c r="GR30">
        <v>0</v>
      </c>
      <c r="GS30">
        <v>3</v>
      </c>
      <c r="GT30">
        <v>0</v>
      </c>
      <c r="GU30" t="s">
        <v>3</v>
      </c>
      <c r="GV30">
        <f t="shared" ref="GV30:GV39" si="58">ROUND((GT30),6)</f>
        <v>0</v>
      </c>
      <c r="GW30">
        <v>1</v>
      </c>
      <c r="GX30">
        <f t="shared" ref="GX30:GX39" si="59">ROUND(HC30*I30,2)</f>
        <v>0</v>
      </c>
      <c r="HA30">
        <v>0</v>
      </c>
      <c r="HB30">
        <v>0</v>
      </c>
      <c r="HC30">
        <f t="shared" ref="HC30:HC39" si="60">GV30*GW30</f>
        <v>0</v>
      </c>
      <c r="HE30" t="s">
        <v>3</v>
      </c>
      <c r="HF30" t="s">
        <v>3</v>
      </c>
      <c r="IK30">
        <v>0</v>
      </c>
    </row>
    <row r="31" spans="1:245">
      <c r="A31">
        <v>18</v>
      </c>
      <c r="B31">
        <v>1</v>
      </c>
      <c r="C31">
        <v>2</v>
      </c>
      <c r="E31" t="s">
        <v>24</v>
      </c>
      <c r="F31" t="s">
        <v>25</v>
      </c>
      <c r="G31" t="s">
        <v>26</v>
      </c>
      <c r="H31" t="s">
        <v>27</v>
      </c>
      <c r="I31">
        <f>I30*J31</f>
        <v>4.2403599999999999</v>
      </c>
      <c r="J31">
        <v>4.67</v>
      </c>
      <c r="O31">
        <f t="shared" si="21"/>
        <v>0</v>
      </c>
      <c r="P31">
        <f t="shared" si="22"/>
        <v>0</v>
      </c>
      <c r="Q31">
        <f t="shared" si="23"/>
        <v>0</v>
      </c>
      <c r="R31">
        <f t="shared" si="24"/>
        <v>0</v>
      </c>
      <c r="S31">
        <f t="shared" si="25"/>
        <v>0</v>
      </c>
      <c r="T31">
        <f t="shared" si="26"/>
        <v>0</v>
      </c>
      <c r="U31">
        <f t="shared" si="27"/>
        <v>0</v>
      </c>
      <c r="V31">
        <f t="shared" si="28"/>
        <v>0</v>
      </c>
      <c r="W31">
        <f t="shared" si="29"/>
        <v>0</v>
      </c>
      <c r="X31">
        <f t="shared" si="30"/>
        <v>0</v>
      </c>
      <c r="Y31">
        <f t="shared" si="31"/>
        <v>0</v>
      </c>
      <c r="AA31">
        <v>35841400</v>
      </c>
      <c r="AB31">
        <f t="shared" si="32"/>
        <v>0</v>
      </c>
      <c r="AC31">
        <f t="shared" si="33"/>
        <v>0</v>
      </c>
      <c r="AD31">
        <f t="shared" si="34"/>
        <v>0</v>
      </c>
      <c r="AE31">
        <f t="shared" si="35"/>
        <v>0</v>
      </c>
      <c r="AF31">
        <f t="shared" si="36"/>
        <v>0</v>
      </c>
      <c r="AG31">
        <f t="shared" si="37"/>
        <v>0</v>
      </c>
      <c r="AH31">
        <f t="shared" si="38"/>
        <v>0</v>
      </c>
      <c r="AI31">
        <f t="shared" si="39"/>
        <v>0</v>
      </c>
      <c r="AJ31">
        <f t="shared" si="40"/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80</v>
      </c>
      <c r="AU31">
        <v>68</v>
      </c>
      <c r="AV31">
        <v>1</v>
      </c>
      <c r="AW31">
        <v>1</v>
      </c>
      <c r="AZ31">
        <v>1</v>
      </c>
      <c r="BA31">
        <v>1</v>
      </c>
      <c r="BB31">
        <v>1</v>
      </c>
      <c r="BC31">
        <v>1</v>
      </c>
      <c r="BD31" t="s">
        <v>3</v>
      </c>
      <c r="BE31" t="s">
        <v>3</v>
      </c>
      <c r="BF31" t="s">
        <v>3</v>
      </c>
      <c r="BG31" t="s">
        <v>3</v>
      </c>
      <c r="BH31">
        <v>3</v>
      </c>
      <c r="BI31">
        <v>1</v>
      </c>
      <c r="BJ31" t="s">
        <v>28</v>
      </c>
      <c r="BM31">
        <v>57001</v>
      </c>
      <c r="BN31">
        <v>0</v>
      </c>
      <c r="BO31" t="s">
        <v>3</v>
      </c>
      <c r="BP31">
        <v>0</v>
      </c>
      <c r="BQ31">
        <v>6</v>
      </c>
      <c r="BR31">
        <v>0</v>
      </c>
      <c r="BS31">
        <v>1</v>
      </c>
      <c r="BT31">
        <v>1</v>
      </c>
      <c r="BU31">
        <v>1</v>
      </c>
      <c r="BV31">
        <v>1</v>
      </c>
      <c r="BW31">
        <v>1</v>
      </c>
      <c r="BX31">
        <v>1</v>
      </c>
      <c r="BY31" t="s">
        <v>3</v>
      </c>
      <c r="BZ31">
        <v>80</v>
      </c>
      <c r="CA31">
        <v>68</v>
      </c>
      <c r="CE31">
        <v>0</v>
      </c>
      <c r="CF31">
        <v>0</v>
      </c>
      <c r="CG31">
        <v>0</v>
      </c>
      <c r="CM31">
        <v>0</v>
      </c>
      <c r="CN31" t="s">
        <v>3</v>
      </c>
      <c r="CO31">
        <v>0</v>
      </c>
      <c r="CP31">
        <f t="shared" si="41"/>
        <v>0</v>
      </c>
      <c r="CQ31">
        <f t="shared" si="42"/>
        <v>0</v>
      </c>
      <c r="CR31">
        <f t="shared" si="43"/>
        <v>0</v>
      </c>
      <c r="CS31">
        <f t="shared" si="44"/>
        <v>0</v>
      </c>
      <c r="CT31">
        <f t="shared" si="45"/>
        <v>0</v>
      </c>
      <c r="CU31">
        <f t="shared" si="46"/>
        <v>0</v>
      </c>
      <c r="CV31">
        <f t="shared" si="47"/>
        <v>0</v>
      </c>
      <c r="CW31">
        <f t="shared" si="48"/>
        <v>0</v>
      </c>
      <c r="CX31">
        <f t="shared" si="49"/>
        <v>0</v>
      </c>
      <c r="CY31">
        <f t="shared" si="50"/>
        <v>0</v>
      </c>
      <c r="CZ31">
        <f t="shared" si="51"/>
        <v>0</v>
      </c>
      <c r="DC31" t="s">
        <v>3</v>
      </c>
      <c r="DD31" t="s">
        <v>3</v>
      </c>
      <c r="DE31" t="s">
        <v>3</v>
      </c>
      <c r="DF31" t="s">
        <v>3</v>
      </c>
      <c r="DG31" t="s">
        <v>3</v>
      </c>
      <c r="DH31" t="s">
        <v>3</v>
      </c>
      <c r="DI31" t="s">
        <v>3</v>
      </c>
      <c r="DJ31" t="s">
        <v>3</v>
      </c>
      <c r="DK31" t="s">
        <v>3</v>
      </c>
      <c r="DL31" t="s">
        <v>3</v>
      </c>
      <c r="DM31" t="s">
        <v>3</v>
      </c>
      <c r="DN31">
        <v>0</v>
      </c>
      <c r="DO31">
        <v>0</v>
      </c>
      <c r="DP31">
        <v>1</v>
      </c>
      <c r="DQ31">
        <v>1</v>
      </c>
      <c r="DU31">
        <v>1009</v>
      </c>
      <c r="DV31" t="s">
        <v>27</v>
      </c>
      <c r="DW31" t="s">
        <v>27</v>
      </c>
      <c r="DX31">
        <v>1000</v>
      </c>
      <c r="DZ31" t="s">
        <v>3</v>
      </c>
      <c r="EA31" t="s">
        <v>3</v>
      </c>
      <c r="EB31" t="s">
        <v>3</v>
      </c>
      <c r="EC31" t="s">
        <v>3</v>
      </c>
      <c r="EE31">
        <v>35526158</v>
      </c>
      <c r="EF31">
        <v>6</v>
      </c>
      <c r="EG31" t="s">
        <v>21</v>
      </c>
      <c r="EH31">
        <v>0</v>
      </c>
      <c r="EI31" t="s">
        <v>3</v>
      </c>
      <c r="EJ31">
        <v>1</v>
      </c>
      <c r="EK31">
        <v>57001</v>
      </c>
      <c r="EL31" t="s">
        <v>22</v>
      </c>
      <c r="EM31" t="s">
        <v>23</v>
      </c>
      <c r="EO31" t="s">
        <v>3</v>
      </c>
      <c r="EQ31">
        <v>0</v>
      </c>
      <c r="ER31">
        <v>0</v>
      </c>
      <c r="ES31">
        <v>0</v>
      </c>
      <c r="ET31">
        <v>0</v>
      </c>
      <c r="EU31">
        <v>0</v>
      </c>
      <c r="EV31">
        <v>0</v>
      </c>
      <c r="EW31">
        <v>0</v>
      </c>
      <c r="EX31">
        <v>0</v>
      </c>
      <c r="FQ31">
        <v>0</v>
      </c>
      <c r="FR31">
        <f t="shared" si="52"/>
        <v>0</v>
      </c>
      <c r="FS31">
        <v>0</v>
      </c>
      <c r="FX31">
        <v>80</v>
      </c>
      <c r="FY31">
        <v>68</v>
      </c>
      <c r="GA31" t="s">
        <v>3</v>
      </c>
      <c r="GD31">
        <v>1</v>
      </c>
      <c r="GF31">
        <v>-304821490</v>
      </c>
      <c r="GG31">
        <v>2</v>
      </c>
      <c r="GH31">
        <v>1</v>
      </c>
      <c r="GI31">
        <v>-2</v>
      </c>
      <c r="GJ31">
        <v>0</v>
      </c>
      <c r="GK31">
        <v>0</v>
      </c>
      <c r="GL31">
        <f t="shared" si="53"/>
        <v>0</v>
      </c>
      <c r="GM31">
        <f t="shared" si="54"/>
        <v>0</v>
      </c>
      <c r="GN31">
        <f t="shared" si="55"/>
        <v>0</v>
      </c>
      <c r="GO31">
        <f t="shared" si="56"/>
        <v>0</v>
      </c>
      <c r="GP31">
        <f t="shared" si="57"/>
        <v>0</v>
      </c>
      <c r="GR31">
        <v>0</v>
      </c>
      <c r="GS31">
        <v>3</v>
      </c>
      <c r="GT31">
        <v>0</v>
      </c>
      <c r="GU31" t="s">
        <v>3</v>
      </c>
      <c r="GV31">
        <f t="shared" si="58"/>
        <v>0</v>
      </c>
      <c r="GW31">
        <v>1</v>
      </c>
      <c r="GX31">
        <f t="shared" si="59"/>
        <v>0</v>
      </c>
      <c r="HA31">
        <v>0</v>
      </c>
      <c r="HB31">
        <v>0</v>
      </c>
      <c r="HC31">
        <f t="shared" si="60"/>
        <v>0</v>
      </c>
      <c r="HE31" t="s">
        <v>3</v>
      </c>
      <c r="HF31" t="s">
        <v>3</v>
      </c>
      <c r="IK31">
        <v>0</v>
      </c>
    </row>
    <row r="32" spans="1:245">
      <c r="A32">
        <v>17</v>
      </c>
      <c r="B32">
        <v>1</v>
      </c>
      <c r="C32">
        <f>ROW(SmtRes!A3)</f>
        <v>3</v>
      </c>
      <c r="D32">
        <f>ROW(EtalonRes!A3)</f>
        <v>3</v>
      </c>
      <c r="E32" t="s">
        <v>29</v>
      </c>
      <c r="F32" t="s">
        <v>30</v>
      </c>
      <c r="G32" t="s">
        <v>31</v>
      </c>
      <c r="H32" t="s">
        <v>32</v>
      </c>
      <c r="I32">
        <f>ROUND(129.8/100,9)</f>
        <v>1.298</v>
      </c>
      <c r="J32">
        <v>0</v>
      </c>
      <c r="O32">
        <f t="shared" si="21"/>
        <v>7636</v>
      </c>
      <c r="P32">
        <f t="shared" si="22"/>
        <v>0</v>
      </c>
      <c r="Q32">
        <f t="shared" si="23"/>
        <v>0</v>
      </c>
      <c r="R32">
        <f t="shared" si="24"/>
        <v>0</v>
      </c>
      <c r="S32">
        <f t="shared" si="25"/>
        <v>7636</v>
      </c>
      <c r="T32">
        <f t="shared" si="26"/>
        <v>0</v>
      </c>
      <c r="U32">
        <f t="shared" si="27"/>
        <v>29.620360000000002</v>
      </c>
      <c r="V32">
        <f t="shared" si="28"/>
        <v>0</v>
      </c>
      <c r="W32">
        <f t="shared" si="29"/>
        <v>0</v>
      </c>
      <c r="X32">
        <f t="shared" si="30"/>
        <v>7559.64</v>
      </c>
      <c r="Y32">
        <f t="shared" si="31"/>
        <v>4581.6000000000004</v>
      </c>
      <c r="AA32">
        <v>35841400</v>
      </c>
      <c r="AB32">
        <f t="shared" si="32"/>
        <v>178</v>
      </c>
      <c r="AC32">
        <f t="shared" si="33"/>
        <v>0</v>
      </c>
      <c r="AD32">
        <f t="shared" si="34"/>
        <v>0</v>
      </c>
      <c r="AE32">
        <f t="shared" si="35"/>
        <v>0</v>
      </c>
      <c r="AF32">
        <f t="shared" si="36"/>
        <v>178</v>
      </c>
      <c r="AG32">
        <f t="shared" si="37"/>
        <v>0</v>
      </c>
      <c r="AH32">
        <f t="shared" si="38"/>
        <v>22.82</v>
      </c>
      <c r="AI32">
        <f t="shared" si="39"/>
        <v>0</v>
      </c>
      <c r="AJ32">
        <f t="shared" si="40"/>
        <v>0</v>
      </c>
      <c r="AK32">
        <v>178</v>
      </c>
      <c r="AL32">
        <v>0</v>
      </c>
      <c r="AM32">
        <v>0</v>
      </c>
      <c r="AN32">
        <v>0</v>
      </c>
      <c r="AO32">
        <v>178</v>
      </c>
      <c r="AP32">
        <v>0</v>
      </c>
      <c r="AQ32">
        <v>22.82</v>
      </c>
      <c r="AR32">
        <v>0</v>
      </c>
      <c r="AS32">
        <v>0</v>
      </c>
      <c r="AT32">
        <v>99</v>
      </c>
      <c r="AU32">
        <v>60</v>
      </c>
      <c r="AV32">
        <v>1</v>
      </c>
      <c r="AW32">
        <v>1</v>
      </c>
      <c r="AZ32">
        <v>1</v>
      </c>
      <c r="BA32">
        <v>33.049999999999997</v>
      </c>
      <c r="BB32">
        <v>1</v>
      </c>
      <c r="BC32">
        <v>1</v>
      </c>
      <c r="BD32" t="s">
        <v>3</v>
      </c>
      <c r="BE32" t="s">
        <v>3</v>
      </c>
      <c r="BF32" t="s">
        <v>3</v>
      </c>
      <c r="BG32" t="s">
        <v>3</v>
      </c>
      <c r="BH32">
        <v>0</v>
      </c>
      <c r="BI32">
        <v>1</v>
      </c>
      <c r="BJ32" t="s">
        <v>33</v>
      </c>
      <c r="BM32">
        <v>46001</v>
      </c>
      <c r="BN32">
        <v>0</v>
      </c>
      <c r="BO32" t="s">
        <v>30</v>
      </c>
      <c r="BP32">
        <v>1</v>
      </c>
      <c r="BQ32">
        <v>2</v>
      </c>
      <c r="BR32">
        <v>0</v>
      </c>
      <c r="BS32">
        <v>33.049999999999997</v>
      </c>
      <c r="BT32">
        <v>1</v>
      </c>
      <c r="BU32">
        <v>1</v>
      </c>
      <c r="BV32">
        <v>1</v>
      </c>
      <c r="BW32">
        <v>1</v>
      </c>
      <c r="BX32">
        <v>1</v>
      </c>
      <c r="BY32" t="s">
        <v>3</v>
      </c>
      <c r="BZ32">
        <v>110</v>
      </c>
      <c r="CA32">
        <v>70</v>
      </c>
      <c r="CE32">
        <v>0</v>
      </c>
      <c r="CF32">
        <v>0</v>
      </c>
      <c r="CG32">
        <v>0</v>
      </c>
      <c r="CM32">
        <v>0</v>
      </c>
      <c r="CN32" t="s">
        <v>3</v>
      </c>
      <c r="CO32">
        <v>0</v>
      </c>
      <c r="CP32">
        <f t="shared" si="41"/>
        <v>7636</v>
      </c>
      <c r="CQ32">
        <f t="shared" si="42"/>
        <v>0</v>
      </c>
      <c r="CR32">
        <f t="shared" si="43"/>
        <v>0</v>
      </c>
      <c r="CS32">
        <f t="shared" si="44"/>
        <v>0</v>
      </c>
      <c r="CT32">
        <f t="shared" si="45"/>
        <v>5882.9</v>
      </c>
      <c r="CU32">
        <f t="shared" si="46"/>
        <v>0</v>
      </c>
      <c r="CV32">
        <f t="shared" si="47"/>
        <v>22.82</v>
      </c>
      <c r="CW32">
        <f t="shared" si="48"/>
        <v>0</v>
      </c>
      <c r="CX32">
        <f t="shared" si="49"/>
        <v>0</v>
      </c>
      <c r="CY32">
        <f t="shared" si="50"/>
        <v>7559.64</v>
      </c>
      <c r="CZ32">
        <f t="shared" si="51"/>
        <v>4581.6000000000004</v>
      </c>
      <c r="DC32" t="s">
        <v>3</v>
      </c>
      <c r="DD32" t="s">
        <v>3</v>
      </c>
      <c r="DE32" t="s">
        <v>3</v>
      </c>
      <c r="DF32" t="s">
        <v>3</v>
      </c>
      <c r="DG32" t="s">
        <v>3</v>
      </c>
      <c r="DH32" t="s">
        <v>3</v>
      </c>
      <c r="DI32" t="s">
        <v>3</v>
      </c>
      <c r="DJ32" t="s">
        <v>3</v>
      </c>
      <c r="DK32" t="s">
        <v>3</v>
      </c>
      <c r="DL32" t="s">
        <v>3</v>
      </c>
      <c r="DM32" t="s">
        <v>3</v>
      </c>
      <c r="DN32">
        <v>0</v>
      </c>
      <c r="DO32">
        <v>0</v>
      </c>
      <c r="DP32">
        <v>1</v>
      </c>
      <c r="DQ32">
        <v>1</v>
      </c>
      <c r="DU32">
        <v>1005</v>
      </c>
      <c r="DV32" t="s">
        <v>32</v>
      </c>
      <c r="DW32" t="s">
        <v>32</v>
      </c>
      <c r="DX32">
        <v>100</v>
      </c>
      <c r="DZ32" t="s">
        <v>3</v>
      </c>
      <c r="EA32" t="s">
        <v>3</v>
      </c>
      <c r="EB32" t="s">
        <v>3</v>
      </c>
      <c r="EC32" t="s">
        <v>3</v>
      </c>
      <c r="EE32">
        <v>35526147</v>
      </c>
      <c r="EF32">
        <v>2</v>
      </c>
      <c r="EG32" t="s">
        <v>34</v>
      </c>
      <c r="EH32">
        <v>0</v>
      </c>
      <c r="EI32" t="s">
        <v>3</v>
      </c>
      <c r="EJ32">
        <v>1</v>
      </c>
      <c r="EK32">
        <v>46001</v>
      </c>
      <c r="EL32" t="s">
        <v>35</v>
      </c>
      <c r="EM32" t="s">
        <v>36</v>
      </c>
      <c r="EO32" t="s">
        <v>3</v>
      </c>
      <c r="EQ32">
        <v>0</v>
      </c>
      <c r="ER32">
        <v>178</v>
      </c>
      <c r="ES32">
        <v>0</v>
      </c>
      <c r="ET32">
        <v>0</v>
      </c>
      <c r="EU32">
        <v>0</v>
      </c>
      <c r="EV32">
        <v>178</v>
      </c>
      <c r="EW32">
        <v>22.82</v>
      </c>
      <c r="EX32">
        <v>0</v>
      </c>
      <c r="EY32">
        <v>0</v>
      </c>
      <c r="FQ32">
        <v>0</v>
      </c>
      <c r="FR32">
        <f t="shared" si="52"/>
        <v>0</v>
      </c>
      <c r="FS32">
        <v>0</v>
      </c>
      <c r="FT32" t="s">
        <v>37</v>
      </c>
      <c r="FU32" t="s">
        <v>38</v>
      </c>
      <c r="FX32">
        <v>99</v>
      </c>
      <c r="FY32">
        <v>59.5</v>
      </c>
      <c r="GA32" t="s">
        <v>3</v>
      </c>
      <c r="GD32">
        <v>1</v>
      </c>
      <c r="GF32">
        <v>1912073335</v>
      </c>
      <c r="GG32">
        <v>2</v>
      </c>
      <c r="GH32">
        <v>1</v>
      </c>
      <c r="GI32">
        <v>2</v>
      </c>
      <c r="GJ32">
        <v>0</v>
      </c>
      <c r="GK32">
        <v>0</v>
      </c>
      <c r="GL32">
        <f t="shared" si="53"/>
        <v>0</v>
      </c>
      <c r="GM32">
        <f t="shared" si="54"/>
        <v>19777.240000000002</v>
      </c>
      <c r="GN32">
        <f t="shared" si="55"/>
        <v>19777.240000000002</v>
      </c>
      <c r="GO32">
        <f t="shared" si="56"/>
        <v>0</v>
      </c>
      <c r="GP32">
        <f t="shared" si="57"/>
        <v>0</v>
      </c>
      <c r="GR32">
        <v>0</v>
      </c>
      <c r="GS32">
        <v>3</v>
      </c>
      <c r="GT32">
        <v>0</v>
      </c>
      <c r="GU32" t="s">
        <v>3</v>
      </c>
      <c r="GV32">
        <f t="shared" si="58"/>
        <v>0</v>
      </c>
      <c r="GW32">
        <v>1</v>
      </c>
      <c r="GX32">
        <f t="shared" si="59"/>
        <v>0</v>
      </c>
      <c r="HA32">
        <v>0</v>
      </c>
      <c r="HB32">
        <v>0</v>
      </c>
      <c r="HC32">
        <f t="shared" si="60"/>
        <v>0</v>
      </c>
      <c r="HE32" t="s">
        <v>3</v>
      </c>
      <c r="HF32" t="s">
        <v>3</v>
      </c>
      <c r="IK32">
        <v>0</v>
      </c>
    </row>
    <row r="33" spans="1:245">
      <c r="A33">
        <v>17</v>
      </c>
      <c r="B33">
        <v>1</v>
      </c>
      <c r="C33">
        <f>ROW(SmtRes!A5)</f>
        <v>5</v>
      </c>
      <c r="D33">
        <f>ROW(EtalonRes!A5)</f>
        <v>5</v>
      </c>
      <c r="E33" t="s">
        <v>39</v>
      </c>
      <c r="F33" t="s">
        <v>40</v>
      </c>
      <c r="G33" t="s">
        <v>41</v>
      </c>
      <c r="H33" t="s">
        <v>19</v>
      </c>
      <c r="I33">
        <f>ROUND(90.8/100,9)</f>
        <v>0.90800000000000003</v>
      </c>
      <c r="J33">
        <v>0</v>
      </c>
      <c r="O33">
        <f t="shared" si="21"/>
        <v>1795.46</v>
      </c>
      <c r="P33">
        <f t="shared" si="22"/>
        <v>0</v>
      </c>
      <c r="Q33">
        <f t="shared" si="23"/>
        <v>0</v>
      </c>
      <c r="R33">
        <f t="shared" si="24"/>
        <v>0</v>
      </c>
      <c r="S33">
        <f t="shared" si="25"/>
        <v>1795.46</v>
      </c>
      <c r="T33">
        <f t="shared" si="26"/>
        <v>0</v>
      </c>
      <c r="U33">
        <f t="shared" si="27"/>
        <v>6.9643600000000001</v>
      </c>
      <c r="V33">
        <f t="shared" si="28"/>
        <v>0</v>
      </c>
      <c r="W33">
        <f t="shared" si="29"/>
        <v>0</v>
      </c>
      <c r="X33">
        <f t="shared" si="30"/>
        <v>1436.37</v>
      </c>
      <c r="Y33">
        <f t="shared" si="31"/>
        <v>1220.9100000000001</v>
      </c>
      <c r="AA33">
        <v>35841400</v>
      </c>
      <c r="AB33">
        <f t="shared" si="32"/>
        <v>59.83</v>
      </c>
      <c r="AC33">
        <f t="shared" si="33"/>
        <v>0</v>
      </c>
      <c r="AD33">
        <f t="shared" si="34"/>
        <v>0</v>
      </c>
      <c r="AE33">
        <f t="shared" si="35"/>
        <v>0</v>
      </c>
      <c r="AF33">
        <f t="shared" si="36"/>
        <v>59.83</v>
      </c>
      <c r="AG33">
        <f t="shared" si="37"/>
        <v>0</v>
      </c>
      <c r="AH33">
        <f t="shared" si="38"/>
        <v>7.67</v>
      </c>
      <c r="AI33">
        <f t="shared" si="39"/>
        <v>0</v>
      </c>
      <c r="AJ33">
        <f t="shared" si="40"/>
        <v>0</v>
      </c>
      <c r="AK33">
        <v>59.83</v>
      </c>
      <c r="AL33">
        <v>0</v>
      </c>
      <c r="AM33">
        <v>0</v>
      </c>
      <c r="AN33">
        <v>0</v>
      </c>
      <c r="AO33">
        <v>59.83</v>
      </c>
      <c r="AP33">
        <v>0</v>
      </c>
      <c r="AQ33">
        <v>7.67</v>
      </c>
      <c r="AR33">
        <v>0</v>
      </c>
      <c r="AS33">
        <v>0</v>
      </c>
      <c r="AT33">
        <v>80</v>
      </c>
      <c r="AU33">
        <v>68</v>
      </c>
      <c r="AV33">
        <v>1</v>
      </c>
      <c r="AW33">
        <v>1</v>
      </c>
      <c r="AZ33">
        <v>1</v>
      </c>
      <c r="BA33">
        <v>33.049999999999997</v>
      </c>
      <c r="BB33">
        <v>1</v>
      </c>
      <c r="BC33">
        <v>1</v>
      </c>
      <c r="BD33" t="s">
        <v>3</v>
      </c>
      <c r="BE33" t="s">
        <v>3</v>
      </c>
      <c r="BF33" t="s">
        <v>3</v>
      </c>
      <c r="BG33" t="s">
        <v>3</v>
      </c>
      <c r="BH33">
        <v>0</v>
      </c>
      <c r="BI33">
        <v>1</v>
      </c>
      <c r="BJ33" t="s">
        <v>42</v>
      </c>
      <c r="BM33">
        <v>57001</v>
      </c>
      <c r="BN33">
        <v>0</v>
      </c>
      <c r="BO33" t="s">
        <v>40</v>
      </c>
      <c r="BP33">
        <v>1</v>
      </c>
      <c r="BQ33">
        <v>6</v>
      </c>
      <c r="BR33">
        <v>0</v>
      </c>
      <c r="BS33">
        <v>33.049999999999997</v>
      </c>
      <c r="BT33">
        <v>1</v>
      </c>
      <c r="BU33">
        <v>1</v>
      </c>
      <c r="BV33">
        <v>1</v>
      </c>
      <c r="BW33">
        <v>1</v>
      </c>
      <c r="BX33">
        <v>1</v>
      </c>
      <c r="BY33" t="s">
        <v>3</v>
      </c>
      <c r="BZ33">
        <v>80</v>
      </c>
      <c r="CA33">
        <v>68</v>
      </c>
      <c r="CE33">
        <v>0</v>
      </c>
      <c r="CF33">
        <v>0</v>
      </c>
      <c r="CG33">
        <v>0</v>
      </c>
      <c r="CM33">
        <v>0</v>
      </c>
      <c r="CN33" t="s">
        <v>3</v>
      </c>
      <c r="CO33">
        <v>0</v>
      </c>
      <c r="CP33">
        <f t="shared" si="41"/>
        <v>1795.46</v>
      </c>
      <c r="CQ33">
        <f t="shared" si="42"/>
        <v>0</v>
      </c>
      <c r="CR33">
        <f t="shared" si="43"/>
        <v>0</v>
      </c>
      <c r="CS33">
        <f t="shared" si="44"/>
        <v>0</v>
      </c>
      <c r="CT33">
        <f t="shared" si="45"/>
        <v>1977.3814999999997</v>
      </c>
      <c r="CU33">
        <f t="shared" si="46"/>
        <v>0</v>
      </c>
      <c r="CV33">
        <f t="shared" si="47"/>
        <v>7.67</v>
      </c>
      <c r="CW33">
        <f t="shared" si="48"/>
        <v>0</v>
      </c>
      <c r="CX33">
        <f t="shared" si="49"/>
        <v>0</v>
      </c>
      <c r="CY33">
        <f t="shared" si="50"/>
        <v>1436.3679999999999</v>
      </c>
      <c r="CZ33">
        <f t="shared" si="51"/>
        <v>1220.9128000000001</v>
      </c>
      <c r="DC33" t="s">
        <v>3</v>
      </c>
      <c r="DD33" t="s">
        <v>3</v>
      </c>
      <c r="DE33" t="s">
        <v>3</v>
      </c>
      <c r="DF33" t="s">
        <v>3</v>
      </c>
      <c r="DG33" t="s">
        <v>3</v>
      </c>
      <c r="DH33" t="s">
        <v>3</v>
      </c>
      <c r="DI33" t="s">
        <v>3</v>
      </c>
      <c r="DJ33" t="s">
        <v>3</v>
      </c>
      <c r="DK33" t="s">
        <v>3</v>
      </c>
      <c r="DL33" t="s">
        <v>3</v>
      </c>
      <c r="DM33" t="s">
        <v>3</v>
      </c>
      <c r="DN33">
        <v>0</v>
      </c>
      <c r="DO33">
        <v>0</v>
      </c>
      <c r="DP33">
        <v>1</v>
      </c>
      <c r="DQ33">
        <v>1</v>
      </c>
      <c r="DU33">
        <v>1013</v>
      </c>
      <c r="DV33" t="s">
        <v>19</v>
      </c>
      <c r="DW33" t="s">
        <v>19</v>
      </c>
      <c r="DX33">
        <v>1</v>
      </c>
      <c r="DZ33" t="s">
        <v>3</v>
      </c>
      <c r="EA33" t="s">
        <v>3</v>
      </c>
      <c r="EB33" t="s">
        <v>3</v>
      </c>
      <c r="EC33" t="s">
        <v>3</v>
      </c>
      <c r="EE33">
        <v>35526158</v>
      </c>
      <c r="EF33">
        <v>6</v>
      </c>
      <c r="EG33" t="s">
        <v>21</v>
      </c>
      <c r="EH33">
        <v>0</v>
      </c>
      <c r="EI33" t="s">
        <v>3</v>
      </c>
      <c r="EJ33">
        <v>1</v>
      </c>
      <c r="EK33">
        <v>57001</v>
      </c>
      <c r="EL33" t="s">
        <v>22</v>
      </c>
      <c r="EM33" t="s">
        <v>23</v>
      </c>
      <c r="EO33" t="s">
        <v>3</v>
      </c>
      <c r="EQ33">
        <v>0</v>
      </c>
      <c r="ER33">
        <v>59.83</v>
      </c>
      <c r="ES33">
        <v>0</v>
      </c>
      <c r="ET33">
        <v>0</v>
      </c>
      <c r="EU33">
        <v>0</v>
      </c>
      <c r="EV33">
        <v>59.83</v>
      </c>
      <c r="EW33">
        <v>7.67</v>
      </c>
      <c r="EX33">
        <v>0</v>
      </c>
      <c r="EY33">
        <v>0</v>
      </c>
      <c r="FQ33">
        <v>0</v>
      </c>
      <c r="FR33">
        <f t="shared" si="52"/>
        <v>0</v>
      </c>
      <c r="FS33">
        <v>0</v>
      </c>
      <c r="FX33">
        <v>80</v>
      </c>
      <c r="FY33">
        <v>68</v>
      </c>
      <c r="GA33" t="s">
        <v>3</v>
      </c>
      <c r="GD33">
        <v>1</v>
      </c>
      <c r="GF33">
        <v>1095792533</v>
      </c>
      <c r="GG33">
        <v>2</v>
      </c>
      <c r="GH33">
        <v>1</v>
      </c>
      <c r="GI33">
        <v>2</v>
      </c>
      <c r="GJ33">
        <v>0</v>
      </c>
      <c r="GK33">
        <v>0</v>
      </c>
      <c r="GL33">
        <f t="shared" si="53"/>
        <v>0</v>
      </c>
      <c r="GM33">
        <f t="shared" si="54"/>
        <v>4452.74</v>
      </c>
      <c r="GN33">
        <f t="shared" si="55"/>
        <v>4452.74</v>
      </c>
      <c r="GO33">
        <f t="shared" si="56"/>
        <v>0</v>
      </c>
      <c r="GP33">
        <f t="shared" si="57"/>
        <v>0</v>
      </c>
      <c r="GR33">
        <v>0</v>
      </c>
      <c r="GS33">
        <v>3</v>
      </c>
      <c r="GT33">
        <v>0</v>
      </c>
      <c r="GU33" t="s">
        <v>3</v>
      </c>
      <c r="GV33">
        <f t="shared" si="58"/>
        <v>0</v>
      </c>
      <c r="GW33">
        <v>1</v>
      </c>
      <c r="GX33">
        <f t="shared" si="59"/>
        <v>0</v>
      </c>
      <c r="HA33">
        <v>0</v>
      </c>
      <c r="HB33">
        <v>0</v>
      </c>
      <c r="HC33">
        <f t="shared" si="60"/>
        <v>0</v>
      </c>
      <c r="HE33" t="s">
        <v>3</v>
      </c>
      <c r="HF33" t="s">
        <v>3</v>
      </c>
      <c r="IK33">
        <v>0</v>
      </c>
    </row>
    <row r="34" spans="1:245">
      <c r="A34">
        <v>18</v>
      </c>
      <c r="B34">
        <v>1</v>
      </c>
      <c r="C34">
        <v>5</v>
      </c>
      <c r="E34" t="s">
        <v>43</v>
      </c>
      <c r="F34" t="s">
        <v>25</v>
      </c>
      <c r="G34" t="s">
        <v>26</v>
      </c>
      <c r="H34" t="s">
        <v>27</v>
      </c>
      <c r="I34">
        <f>I33*J34</f>
        <v>0.63559999999999994</v>
      </c>
      <c r="J34">
        <v>0.7</v>
      </c>
      <c r="O34">
        <f t="shared" si="21"/>
        <v>0</v>
      </c>
      <c r="P34">
        <f t="shared" si="22"/>
        <v>0</v>
      </c>
      <c r="Q34">
        <f t="shared" si="23"/>
        <v>0</v>
      </c>
      <c r="R34">
        <f t="shared" si="24"/>
        <v>0</v>
      </c>
      <c r="S34">
        <f t="shared" si="25"/>
        <v>0</v>
      </c>
      <c r="T34">
        <f t="shared" si="26"/>
        <v>0</v>
      </c>
      <c r="U34">
        <f t="shared" si="27"/>
        <v>0</v>
      </c>
      <c r="V34">
        <f t="shared" si="28"/>
        <v>0</v>
      </c>
      <c r="W34">
        <f t="shared" si="29"/>
        <v>0</v>
      </c>
      <c r="X34">
        <f t="shared" si="30"/>
        <v>0</v>
      </c>
      <c r="Y34">
        <f t="shared" si="31"/>
        <v>0</v>
      </c>
      <c r="AA34">
        <v>35841400</v>
      </c>
      <c r="AB34">
        <f t="shared" si="32"/>
        <v>0</v>
      </c>
      <c r="AC34">
        <f t="shared" si="33"/>
        <v>0</v>
      </c>
      <c r="AD34">
        <f t="shared" si="34"/>
        <v>0</v>
      </c>
      <c r="AE34">
        <f t="shared" si="35"/>
        <v>0</v>
      </c>
      <c r="AF34">
        <f t="shared" si="36"/>
        <v>0</v>
      </c>
      <c r="AG34">
        <f t="shared" si="37"/>
        <v>0</v>
      </c>
      <c r="AH34">
        <f t="shared" si="38"/>
        <v>0</v>
      </c>
      <c r="AI34">
        <f t="shared" si="39"/>
        <v>0</v>
      </c>
      <c r="AJ34">
        <f t="shared" si="40"/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80</v>
      </c>
      <c r="AU34">
        <v>68</v>
      </c>
      <c r="AV34">
        <v>1</v>
      </c>
      <c r="AW34">
        <v>1</v>
      </c>
      <c r="AZ34">
        <v>1</v>
      </c>
      <c r="BA34">
        <v>1</v>
      </c>
      <c r="BB34">
        <v>1</v>
      </c>
      <c r="BC34">
        <v>1</v>
      </c>
      <c r="BD34" t="s">
        <v>3</v>
      </c>
      <c r="BE34" t="s">
        <v>3</v>
      </c>
      <c r="BF34" t="s">
        <v>3</v>
      </c>
      <c r="BG34" t="s">
        <v>3</v>
      </c>
      <c r="BH34">
        <v>3</v>
      </c>
      <c r="BI34">
        <v>1</v>
      </c>
      <c r="BJ34" t="s">
        <v>28</v>
      </c>
      <c r="BM34">
        <v>57001</v>
      </c>
      <c r="BN34">
        <v>0</v>
      </c>
      <c r="BO34" t="s">
        <v>3</v>
      </c>
      <c r="BP34">
        <v>0</v>
      </c>
      <c r="BQ34">
        <v>6</v>
      </c>
      <c r="BR34">
        <v>0</v>
      </c>
      <c r="BS34">
        <v>1</v>
      </c>
      <c r="BT34">
        <v>1</v>
      </c>
      <c r="BU34">
        <v>1</v>
      </c>
      <c r="BV34">
        <v>1</v>
      </c>
      <c r="BW34">
        <v>1</v>
      </c>
      <c r="BX34">
        <v>1</v>
      </c>
      <c r="BY34" t="s">
        <v>3</v>
      </c>
      <c r="BZ34">
        <v>80</v>
      </c>
      <c r="CA34">
        <v>68</v>
      </c>
      <c r="CE34">
        <v>0</v>
      </c>
      <c r="CF34">
        <v>0</v>
      </c>
      <c r="CG34">
        <v>0</v>
      </c>
      <c r="CM34">
        <v>0</v>
      </c>
      <c r="CN34" t="s">
        <v>3</v>
      </c>
      <c r="CO34">
        <v>0</v>
      </c>
      <c r="CP34">
        <f t="shared" si="41"/>
        <v>0</v>
      </c>
      <c r="CQ34">
        <f t="shared" si="42"/>
        <v>0</v>
      </c>
      <c r="CR34">
        <f t="shared" si="43"/>
        <v>0</v>
      </c>
      <c r="CS34">
        <f t="shared" si="44"/>
        <v>0</v>
      </c>
      <c r="CT34">
        <f t="shared" si="45"/>
        <v>0</v>
      </c>
      <c r="CU34">
        <f t="shared" si="46"/>
        <v>0</v>
      </c>
      <c r="CV34">
        <f t="shared" si="47"/>
        <v>0</v>
      </c>
      <c r="CW34">
        <f t="shared" si="48"/>
        <v>0</v>
      </c>
      <c r="CX34">
        <f t="shared" si="49"/>
        <v>0</v>
      </c>
      <c r="CY34">
        <f t="shared" si="50"/>
        <v>0</v>
      </c>
      <c r="CZ34">
        <f t="shared" si="51"/>
        <v>0</v>
      </c>
      <c r="DC34" t="s">
        <v>3</v>
      </c>
      <c r="DD34" t="s">
        <v>3</v>
      </c>
      <c r="DE34" t="s">
        <v>3</v>
      </c>
      <c r="DF34" t="s">
        <v>3</v>
      </c>
      <c r="DG34" t="s">
        <v>3</v>
      </c>
      <c r="DH34" t="s">
        <v>3</v>
      </c>
      <c r="DI34" t="s">
        <v>3</v>
      </c>
      <c r="DJ34" t="s">
        <v>3</v>
      </c>
      <c r="DK34" t="s">
        <v>3</v>
      </c>
      <c r="DL34" t="s">
        <v>3</v>
      </c>
      <c r="DM34" t="s">
        <v>3</v>
      </c>
      <c r="DN34">
        <v>0</v>
      </c>
      <c r="DO34">
        <v>0</v>
      </c>
      <c r="DP34">
        <v>1</v>
      </c>
      <c r="DQ34">
        <v>1</v>
      </c>
      <c r="DU34">
        <v>1009</v>
      </c>
      <c r="DV34" t="s">
        <v>27</v>
      </c>
      <c r="DW34" t="s">
        <v>27</v>
      </c>
      <c r="DX34">
        <v>1000</v>
      </c>
      <c r="DZ34" t="s">
        <v>3</v>
      </c>
      <c r="EA34" t="s">
        <v>3</v>
      </c>
      <c r="EB34" t="s">
        <v>3</v>
      </c>
      <c r="EC34" t="s">
        <v>3</v>
      </c>
      <c r="EE34">
        <v>35526158</v>
      </c>
      <c r="EF34">
        <v>6</v>
      </c>
      <c r="EG34" t="s">
        <v>21</v>
      </c>
      <c r="EH34">
        <v>0</v>
      </c>
      <c r="EI34" t="s">
        <v>3</v>
      </c>
      <c r="EJ34">
        <v>1</v>
      </c>
      <c r="EK34">
        <v>57001</v>
      </c>
      <c r="EL34" t="s">
        <v>22</v>
      </c>
      <c r="EM34" t="s">
        <v>23</v>
      </c>
      <c r="EO34" t="s">
        <v>3</v>
      </c>
      <c r="EQ34">
        <v>0</v>
      </c>
      <c r="ER34">
        <v>0</v>
      </c>
      <c r="ES34">
        <v>0</v>
      </c>
      <c r="ET34">
        <v>0</v>
      </c>
      <c r="EU34">
        <v>0</v>
      </c>
      <c r="EV34">
        <v>0</v>
      </c>
      <c r="EW34">
        <v>0</v>
      </c>
      <c r="EX34">
        <v>0</v>
      </c>
      <c r="FQ34">
        <v>0</v>
      </c>
      <c r="FR34">
        <f t="shared" si="52"/>
        <v>0</v>
      </c>
      <c r="FS34">
        <v>0</v>
      </c>
      <c r="FX34">
        <v>80</v>
      </c>
      <c r="FY34">
        <v>68</v>
      </c>
      <c r="GA34" t="s">
        <v>3</v>
      </c>
      <c r="GD34">
        <v>1</v>
      </c>
      <c r="GF34">
        <v>-304821490</v>
      </c>
      <c r="GG34">
        <v>2</v>
      </c>
      <c r="GH34">
        <v>1</v>
      </c>
      <c r="GI34">
        <v>-2</v>
      </c>
      <c r="GJ34">
        <v>0</v>
      </c>
      <c r="GK34">
        <v>0</v>
      </c>
      <c r="GL34">
        <f t="shared" si="53"/>
        <v>0</v>
      </c>
      <c r="GM34">
        <f t="shared" si="54"/>
        <v>0</v>
      </c>
      <c r="GN34">
        <f t="shared" si="55"/>
        <v>0</v>
      </c>
      <c r="GO34">
        <f t="shared" si="56"/>
        <v>0</v>
      </c>
      <c r="GP34">
        <f t="shared" si="57"/>
        <v>0</v>
      </c>
      <c r="GR34">
        <v>0</v>
      </c>
      <c r="GS34">
        <v>3</v>
      </c>
      <c r="GT34">
        <v>0</v>
      </c>
      <c r="GU34" t="s">
        <v>3</v>
      </c>
      <c r="GV34">
        <f t="shared" si="58"/>
        <v>0</v>
      </c>
      <c r="GW34">
        <v>1</v>
      </c>
      <c r="GX34">
        <f t="shared" si="59"/>
        <v>0</v>
      </c>
      <c r="HA34">
        <v>0</v>
      </c>
      <c r="HB34">
        <v>0</v>
      </c>
      <c r="HC34">
        <f t="shared" si="60"/>
        <v>0</v>
      </c>
      <c r="HE34" t="s">
        <v>3</v>
      </c>
      <c r="HF34" t="s">
        <v>3</v>
      </c>
      <c r="IK34">
        <v>0</v>
      </c>
    </row>
    <row r="35" spans="1:245">
      <c r="A35">
        <v>17</v>
      </c>
      <c r="B35">
        <v>1</v>
      </c>
      <c r="C35">
        <f>ROW(SmtRes!A7)</f>
        <v>7</v>
      </c>
      <c r="D35">
        <f>ROW(EtalonRes!A7)</f>
        <v>7</v>
      </c>
      <c r="E35" t="s">
        <v>44</v>
      </c>
      <c r="F35" t="s">
        <v>45</v>
      </c>
      <c r="G35" t="s">
        <v>46</v>
      </c>
      <c r="H35" t="s">
        <v>47</v>
      </c>
      <c r="I35">
        <f>ROUND(46/100,9)</f>
        <v>0.46</v>
      </c>
      <c r="J35">
        <v>0</v>
      </c>
      <c r="O35">
        <f t="shared" si="21"/>
        <v>447.12</v>
      </c>
      <c r="P35">
        <f t="shared" si="22"/>
        <v>0</v>
      </c>
      <c r="Q35">
        <f t="shared" si="23"/>
        <v>0</v>
      </c>
      <c r="R35">
        <f t="shared" si="24"/>
        <v>0</v>
      </c>
      <c r="S35">
        <f t="shared" si="25"/>
        <v>447.12</v>
      </c>
      <c r="T35">
        <f t="shared" si="26"/>
        <v>0</v>
      </c>
      <c r="U35">
        <f t="shared" si="27"/>
        <v>1.7342000000000002</v>
      </c>
      <c r="V35">
        <f t="shared" si="28"/>
        <v>0</v>
      </c>
      <c r="W35">
        <f t="shared" si="29"/>
        <v>0</v>
      </c>
      <c r="X35">
        <f t="shared" si="30"/>
        <v>357.7</v>
      </c>
      <c r="Y35">
        <f t="shared" si="31"/>
        <v>304.04000000000002</v>
      </c>
      <c r="AA35">
        <v>35841400</v>
      </c>
      <c r="AB35">
        <f t="shared" si="32"/>
        <v>29.41</v>
      </c>
      <c r="AC35">
        <f t="shared" si="33"/>
        <v>0</v>
      </c>
      <c r="AD35">
        <f t="shared" si="34"/>
        <v>0</v>
      </c>
      <c r="AE35">
        <f t="shared" si="35"/>
        <v>0</v>
      </c>
      <c r="AF35">
        <f t="shared" si="36"/>
        <v>29.41</v>
      </c>
      <c r="AG35">
        <f t="shared" si="37"/>
        <v>0</v>
      </c>
      <c r="AH35">
        <f t="shared" si="38"/>
        <v>3.77</v>
      </c>
      <c r="AI35">
        <f t="shared" si="39"/>
        <v>0</v>
      </c>
      <c r="AJ35">
        <f t="shared" si="40"/>
        <v>0</v>
      </c>
      <c r="AK35">
        <v>29.41</v>
      </c>
      <c r="AL35">
        <v>0</v>
      </c>
      <c r="AM35">
        <v>0</v>
      </c>
      <c r="AN35">
        <v>0</v>
      </c>
      <c r="AO35">
        <v>29.41</v>
      </c>
      <c r="AP35">
        <v>0</v>
      </c>
      <c r="AQ35">
        <v>3.77</v>
      </c>
      <c r="AR35">
        <v>0</v>
      </c>
      <c r="AS35">
        <v>0</v>
      </c>
      <c r="AT35">
        <v>80</v>
      </c>
      <c r="AU35">
        <v>68</v>
      </c>
      <c r="AV35">
        <v>1</v>
      </c>
      <c r="AW35">
        <v>1</v>
      </c>
      <c r="AZ35">
        <v>1</v>
      </c>
      <c r="BA35">
        <v>33.049999999999997</v>
      </c>
      <c r="BB35">
        <v>1</v>
      </c>
      <c r="BC35">
        <v>1</v>
      </c>
      <c r="BD35" t="s">
        <v>3</v>
      </c>
      <c r="BE35" t="s">
        <v>3</v>
      </c>
      <c r="BF35" t="s">
        <v>3</v>
      </c>
      <c r="BG35" t="s">
        <v>3</v>
      </c>
      <c r="BH35">
        <v>0</v>
      </c>
      <c r="BI35">
        <v>1</v>
      </c>
      <c r="BJ35" t="s">
        <v>48</v>
      </c>
      <c r="BM35">
        <v>57001</v>
      </c>
      <c r="BN35">
        <v>0</v>
      </c>
      <c r="BO35" t="s">
        <v>45</v>
      </c>
      <c r="BP35">
        <v>1</v>
      </c>
      <c r="BQ35">
        <v>6</v>
      </c>
      <c r="BR35">
        <v>0</v>
      </c>
      <c r="BS35">
        <v>33.049999999999997</v>
      </c>
      <c r="BT35">
        <v>1</v>
      </c>
      <c r="BU35">
        <v>1</v>
      </c>
      <c r="BV35">
        <v>1</v>
      </c>
      <c r="BW35">
        <v>1</v>
      </c>
      <c r="BX35">
        <v>1</v>
      </c>
      <c r="BY35" t="s">
        <v>3</v>
      </c>
      <c r="BZ35">
        <v>80</v>
      </c>
      <c r="CA35">
        <v>68</v>
      </c>
      <c r="CE35">
        <v>0</v>
      </c>
      <c r="CF35">
        <v>0</v>
      </c>
      <c r="CG35">
        <v>0</v>
      </c>
      <c r="CM35">
        <v>0</v>
      </c>
      <c r="CN35" t="s">
        <v>3</v>
      </c>
      <c r="CO35">
        <v>0</v>
      </c>
      <c r="CP35">
        <f t="shared" si="41"/>
        <v>447.12</v>
      </c>
      <c r="CQ35">
        <f t="shared" si="42"/>
        <v>0</v>
      </c>
      <c r="CR35">
        <f t="shared" si="43"/>
        <v>0</v>
      </c>
      <c r="CS35">
        <f t="shared" si="44"/>
        <v>0</v>
      </c>
      <c r="CT35">
        <f t="shared" si="45"/>
        <v>972.00049999999987</v>
      </c>
      <c r="CU35">
        <f t="shared" si="46"/>
        <v>0</v>
      </c>
      <c r="CV35">
        <f t="shared" si="47"/>
        <v>3.77</v>
      </c>
      <c r="CW35">
        <f t="shared" si="48"/>
        <v>0</v>
      </c>
      <c r="CX35">
        <f t="shared" si="49"/>
        <v>0</v>
      </c>
      <c r="CY35">
        <f t="shared" si="50"/>
        <v>357.69599999999997</v>
      </c>
      <c r="CZ35">
        <f t="shared" si="51"/>
        <v>304.04160000000002</v>
      </c>
      <c r="DC35" t="s">
        <v>3</v>
      </c>
      <c r="DD35" t="s">
        <v>3</v>
      </c>
      <c r="DE35" t="s">
        <v>3</v>
      </c>
      <c r="DF35" t="s">
        <v>3</v>
      </c>
      <c r="DG35" t="s">
        <v>3</v>
      </c>
      <c r="DH35" t="s">
        <v>3</v>
      </c>
      <c r="DI35" t="s">
        <v>3</v>
      </c>
      <c r="DJ35" t="s">
        <v>3</v>
      </c>
      <c r="DK35" t="s">
        <v>3</v>
      </c>
      <c r="DL35" t="s">
        <v>3</v>
      </c>
      <c r="DM35" t="s">
        <v>3</v>
      </c>
      <c r="DN35">
        <v>0</v>
      </c>
      <c r="DO35">
        <v>0</v>
      </c>
      <c r="DP35">
        <v>1</v>
      </c>
      <c r="DQ35">
        <v>1</v>
      </c>
      <c r="DU35">
        <v>1013</v>
      </c>
      <c r="DV35" t="s">
        <v>47</v>
      </c>
      <c r="DW35" t="s">
        <v>47</v>
      </c>
      <c r="DX35">
        <v>1</v>
      </c>
      <c r="DZ35" t="s">
        <v>3</v>
      </c>
      <c r="EA35" t="s">
        <v>3</v>
      </c>
      <c r="EB35" t="s">
        <v>3</v>
      </c>
      <c r="EC35" t="s">
        <v>3</v>
      </c>
      <c r="EE35">
        <v>35526158</v>
      </c>
      <c r="EF35">
        <v>6</v>
      </c>
      <c r="EG35" t="s">
        <v>21</v>
      </c>
      <c r="EH35">
        <v>0</v>
      </c>
      <c r="EI35" t="s">
        <v>3</v>
      </c>
      <c r="EJ35">
        <v>1</v>
      </c>
      <c r="EK35">
        <v>57001</v>
      </c>
      <c r="EL35" t="s">
        <v>22</v>
      </c>
      <c r="EM35" t="s">
        <v>23</v>
      </c>
      <c r="EO35" t="s">
        <v>3</v>
      </c>
      <c r="EQ35">
        <v>0</v>
      </c>
      <c r="ER35">
        <v>29.41</v>
      </c>
      <c r="ES35">
        <v>0</v>
      </c>
      <c r="ET35">
        <v>0</v>
      </c>
      <c r="EU35">
        <v>0</v>
      </c>
      <c r="EV35">
        <v>29.41</v>
      </c>
      <c r="EW35">
        <v>3.77</v>
      </c>
      <c r="EX35">
        <v>0</v>
      </c>
      <c r="EY35">
        <v>0</v>
      </c>
      <c r="FQ35">
        <v>0</v>
      </c>
      <c r="FR35">
        <f t="shared" si="52"/>
        <v>0</v>
      </c>
      <c r="FS35">
        <v>0</v>
      </c>
      <c r="FX35">
        <v>80</v>
      </c>
      <c r="FY35">
        <v>68</v>
      </c>
      <c r="GA35" t="s">
        <v>3</v>
      </c>
      <c r="GD35">
        <v>1</v>
      </c>
      <c r="GF35">
        <v>1266291680</v>
      </c>
      <c r="GG35">
        <v>2</v>
      </c>
      <c r="GH35">
        <v>1</v>
      </c>
      <c r="GI35">
        <v>2</v>
      </c>
      <c r="GJ35">
        <v>0</v>
      </c>
      <c r="GK35">
        <v>0</v>
      </c>
      <c r="GL35">
        <f t="shared" si="53"/>
        <v>0</v>
      </c>
      <c r="GM35">
        <f t="shared" si="54"/>
        <v>1108.8599999999999</v>
      </c>
      <c r="GN35">
        <f t="shared" si="55"/>
        <v>1108.8599999999999</v>
      </c>
      <c r="GO35">
        <f t="shared" si="56"/>
        <v>0</v>
      </c>
      <c r="GP35">
        <f t="shared" si="57"/>
        <v>0</v>
      </c>
      <c r="GR35">
        <v>0</v>
      </c>
      <c r="GS35">
        <v>3</v>
      </c>
      <c r="GT35">
        <v>0</v>
      </c>
      <c r="GU35" t="s">
        <v>3</v>
      </c>
      <c r="GV35">
        <f t="shared" si="58"/>
        <v>0</v>
      </c>
      <c r="GW35">
        <v>1</v>
      </c>
      <c r="GX35">
        <f t="shared" si="59"/>
        <v>0</v>
      </c>
      <c r="HA35">
        <v>0</v>
      </c>
      <c r="HB35">
        <v>0</v>
      </c>
      <c r="HC35">
        <f t="shared" si="60"/>
        <v>0</v>
      </c>
      <c r="HE35" t="s">
        <v>3</v>
      </c>
      <c r="HF35" t="s">
        <v>3</v>
      </c>
      <c r="IK35">
        <v>0</v>
      </c>
    </row>
    <row r="36" spans="1:245">
      <c r="A36">
        <v>18</v>
      </c>
      <c r="B36">
        <v>1</v>
      </c>
      <c r="C36">
        <v>7</v>
      </c>
      <c r="E36" t="s">
        <v>49</v>
      </c>
      <c r="F36" t="s">
        <v>25</v>
      </c>
      <c r="G36" t="s">
        <v>26</v>
      </c>
      <c r="H36" t="s">
        <v>27</v>
      </c>
      <c r="I36">
        <f>I35*J36</f>
        <v>5.0599999999999999E-2</v>
      </c>
      <c r="J36">
        <v>0.10999999999999999</v>
      </c>
      <c r="O36">
        <f t="shared" si="21"/>
        <v>0</v>
      </c>
      <c r="P36">
        <f t="shared" si="22"/>
        <v>0</v>
      </c>
      <c r="Q36">
        <f t="shared" si="23"/>
        <v>0</v>
      </c>
      <c r="R36">
        <f t="shared" si="24"/>
        <v>0</v>
      </c>
      <c r="S36">
        <f t="shared" si="25"/>
        <v>0</v>
      </c>
      <c r="T36">
        <f t="shared" si="26"/>
        <v>0</v>
      </c>
      <c r="U36">
        <f t="shared" si="27"/>
        <v>0</v>
      </c>
      <c r="V36">
        <f t="shared" si="28"/>
        <v>0</v>
      </c>
      <c r="W36">
        <f t="shared" si="29"/>
        <v>0</v>
      </c>
      <c r="X36">
        <f t="shared" si="30"/>
        <v>0</v>
      </c>
      <c r="Y36">
        <f t="shared" si="31"/>
        <v>0</v>
      </c>
      <c r="AA36">
        <v>35841400</v>
      </c>
      <c r="AB36">
        <f t="shared" si="32"/>
        <v>0</v>
      </c>
      <c r="AC36">
        <f t="shared" si="33"/>
        <v>0</v>
      </c>
      <c r="AD36">
        <f t="shared" si="34"/>
        <v>0</v>
      </c>
      <c r="AE36">
        <f t="shared" si="35"/>
        <v>0</v>
      </c>
      <c r="AF36">
        <f t="shared" si="36"/>
        <v>0</v>
      </c>
      <c r="AG36">
        <f t="shared" si="37"/>
        <v>0</v>
      </c>
      <c r="AH36">
        <f t="shared" si="38"/>
        <v>0</v>
      </c>
      <c r="AI36">
        <f t="shared" si="39"/>
        <v>0</v>
      </c>
      <c r="AJ36">
        <f t="shared" si="40"/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80</v>
      </c>
      <c r="AU36">
        <v>68</v>
      </c>
      <c r="AV36">
        <v>1</v>
      </c>
      <c r="AW36">
        <v>1</v>
      </c>
      <c r="AZ36">
        <v>1</v>
      </c>
      <c r="BA36">
        <v>1</v>
      </c>
      <c r="BB36">
        <v>1</v>
      </c>
      <c r="BC36">
        <v>1</v>
      </c>
      <c r="BD36" t="s">
        <v>3</v>
      </c>
      <c r="BE36" t="s">
        <v>3</v>
      </c>
      <c r="BF36" t="s">
        <v>3</v>
      </c>
      <c r="BG36" t="s">
        <v>3</v>
      </c>
      <c r="BH36">
        <v>3</v>
      </c>
      <c r="BI36">
        <v>1</v>
      </c>
      <c r="BJ36" t="s">
        <v>28</v>
      </c>
      <c r="BM36">
        <v>57001</v>
      </c>
      <c r="BN36">
        <v>0</v>
      </c>
      <c r="BO36" t="s">
        <v>3</v>
      </c>
      <c r="BP36">
        <v>0</v>
      </c>
      <c r="BQ36">
        <v>6</v>
      </c>
      <c r="BR36">
        <v>0</v>
      </c>
      <c r="BS36">
        <v>1</v>
      </c>
      <c r="BT36">
        <v>1</v>
      </c>
      <c r="BU36">
        <v>1</v>
      </c>
      <c r="BV36">
        <v>1</v>
      </c>
      <c r="BW36">
        <v>1</v>
      </c>
      <c r="BX36">
        <v>1</v>
      </c>
      <c r="BY36" t="s">
        <v>3</v>
      </c>
      <c r="BZ36">
        <v>80</v>
      </c>
      <c r="CA36">
        <v>68</v>
      </c>
      <c r="CE36">
        <v>0</v>
      </c>
      <c r="CF36">
        <v>0</v>
      </c>
      <c r="CG36">
        <v>0</v>
      </c>
      <c r="CM36">
        <v>0</v>
      </c>
      <c r="CN36" t="s">
        <v>3</v>
      </c>
      <c r="CO36">
        <v>0</v>
      </c>
      <c r="CP36">
        <f t="shared" si="41"/>
        <v>0</v>
      </c>
      <c r="CQ36">
        <f t="shared" si="42"/>
        <v>0</v>
      </c>
      <c r="CR36">
        <f t="shared" si="43"/>
        <v>0</v>
      </c>
      <c r="CS36">
        <f t="shared" si="44"/>
        <v>0</v>
      </c>
      <c r="CT36">
        <f t="shared" si="45"/>
        <v>0</v>
      </c>
      <c r="CU36">
        <f t="shared" si="46"/>
        <v>0</v>
      </c>
      <c r="CV36">
        <f t="shared" si="47"/>
        <v>0</v>
      </c>
      <c r="CW36">
        <f t="shared" si="48"/>
        <v>0</v>
      </c>
      <c r="CX36">
        <f t="shared" si="49"/>
        <v>0</v>
      </c>
      <c r="CY36">
        <f t="shared" si="50"/>
        <v>0</v>
      </c>
      <c r="CZ36">
        <f t="shared" si="51"/>
        <v>0</v>
      </c>
      <c r="DC36" t="s">
        <v>3</v>
      </c>
      <c r="DD36" t="s">
        <v>3</v>
      </c>
      <c r="DE36" t="s">
        <v>3</v>
      </c>
      <c r="DF36" t="s">
        <v>3</v>
      </c>
      <c r="DG36" t="s">
        <v>3</v>
      </c>
      <c r="DH36" t="s">
        <v>3</v>
      </c>
      <c r="DI36" t="s">
        <v>3</v>
      </c>
      <c r="DJ36" t="s">
        <v>3</v>
      </c>
      <c r="DK36" t="s">
        <v>3</v>
      </c>
      <c r="DL36" t="s">
        <v>3</v>
      </c>
      <c r="DM36" t="s">
        <v>3</v>
      </c>
      <c r="DN36">
        <v>0</v>
      </c>
      <c r="DO36">
        <v>0</v>
      </c>
      <c r="DP36">
        <v>1</v>
      </c>
      <c r="DQ36">
        <v>1</v>
      </c>
      <c r="DU36">
        <v>1009</v>
      </c>
      <c r="DV36" t="s">
        <v>27</v>
      </c>
      <c r="DW36" t="s">
        <v>27</v>
      </c>
      <c r="DX36">
        <v>1000</v>
      </c>
      <c r="DZ36" t="s">
        <v>3</v>
      </c>
      <c r="EA36" t="s">
        <v>3</v>
      </c>
      <c r="EB36" t="s">
        <v>3</v>
      </c>
      <c r="EC36" t="s">
        <v>3</v>
      </c>
      <c r="EE36">
        <v>35526158</v>
      </c>
      <c r="EF36">
        <v>6</v>
      </c>
      <c r="EG36" t="s">
        <v>21</v>
      </c>
      <c r="EH36">
        <v>0</v>
      </c>
      <c r="EI36" t="s">
        <v>3</v>
      </c>
      <c r="EJ36">
        <v>1</v>
      </c>
      <c r="EK36">
        <v>57001</v>
      </c>
      <c r="EL36" t="s">
        <v>22</v>
      </c>
      <c r="EM36" t="s">
        <v>23</v>
      </c>
      <c r="EO36" t="s">
        <v>3</v>
      </c>
      <c r="EQ36">
        <v>0</v>
      </c>
      <c r="ER36">
        <v>0</v>
      </c>
      <c r="ES36">
        <v>0</v>
      </c>
      <c r="ET36">
        <v>0</v>
      </c>
      <c r="EU36">
        <v>0</v>
      </c>
      <c r="EV36">
        <v>0</v>
      </c>
      <c r="EW36">
        <v>0</v>
      </c>
      <c r="EX36">
        <v>0</v>
      </c>
      <c r="FQ36">
        <v>0</v>
      </c>
      <c r="FR36">
        <f t="shared" si="52"/>
        <v>0</v>
      </c>
      <c r="FS36">
        <v>0</v>
      </c>
      <c r="FX36">
        <v>80</v>
      </c>
      <c r="FY36">
        <v>68</v>
      </c>
      <c r="GA36" t="s">
        <v>3</v>
      </c>
      <c r="GD36">
        <v>1</v>
      </c>
      <c r="GF36">
        <v>-304821490</v>
      </c>
      <c r="GG36">
        <v>2</v>
      </c>
      <c r="GH36">
        <v>1</v>
      </c>
      <c r="GI36">
        <v>-2</v>
      </c>
      <c r="GJ36">
        <v>0</v>
      </c>
      <c r="GK36">
        <v>0</v>
      </c>
      <c r="GL36">
        <f t="shared" si="53"/>
        <v>0</v>
      </c>
      <c r="GM36">
        <f t="shared" si="54"/>
        <v>0</v>
      </c>
      <c r="GN36">
        <f t="shared" si="55"/>
        <v>0</v>
      </c>
      <c r="GO36">
        <f t="shared" si="56"/>
        <v>0</v>
      </c>
      <c r="GP36">
        <f t="shared" si="57"/>
        <v>0</v>
      </c>
      <c r="GR36">
        <v>0</v>
      </c>
      <c r="GS36">
        <v>3</v>
      </c>
      <c r="GT36">
        <v>0</v>
      </c>
      <c r="GU36" t="s">
        <v>3</v>
      </c>
      <c r="GV36">
        <f t="shared" si="58"/>
        <v>0</v>
      </c>
      <c r="GW36">
        <v>1</v>
      </c>
      <c r="GX36">
        <f t="shared" si="59"/>
        <v>0</v>
      </c>
      <c r="HA36">
        <v>0</v>
      </c>
      <c r="HB36">
        <v>0</v>
      </c>
      <c r="HC36">
        <f t="shared" si="60"/>
        <v>0</v>
      </c>
      <c r="HE36" t="s">
        <v>3</v>
      </c>
      <c r="HF36" t="s">
        <v>3</v>
      </c>
      <c r="IK36">
        <v>0</v>
      </c>
    </row>
    <row r="37" spans="1:245">
      <c r="A37">
        <v>17</v>
      </c>
      <c r="B37">
        <v>1</v>
      </c>
      <c r="C37">
        <f>ROW(SmtRes!A8)</f>
        <v>8</v>
      </c>
      <c r="D37">
        <f>ROW(EtalonRes!A8)</f>
        <v>8</v>
      </c>
      <c r="E37" t="s">
        <v>50</v>
      </c>
      <c r="F37" t="s">
        <v>51</v>
      </c>
      <c r="G37" t="s">
        <v>52</v>
      </c>
      <c r="H37" t="s">
        <v>53</v>
      </c>
      <c r="I37">
        <f>ROUND(4/100,9)</f>
        <v>0.04</v>
      </c>
      <c r="J37">
        <v>0</v>
      </c>
      <c r="O37">
        <f t="shared" si="21"/>
        <v>60.22</v>
      </c>
      <c r="P37">
        <f t="shared" si="22"/>
        <v>0</v>
      </c>
      <c r="Q37">
        <f t="shared" si="23"/>
        <v>0</v>
      </c>
      <c r="R37">
        <f t="shared" si="24"/>
        <v>0</v>
      </c>
      <c r="S37">
        <f t="shared" si="25"/>
        <v>60.22</v>
      </c>
      <c r="T37">
        <f t="shared" si="26"/>
        <v>0</v>
      </c>
      <c r="U37">
        <f t="shared" si="27"/>
        <v>0.2336</v>
      </c>
      <c r="V37">
        <f t="shared" si="28"/>
        <v>0</v>
      </c>
      <c r="W37">
        <f t="shared" si="29"/>
        <v>0</v>
      </c>
      <c r="X37">
        <f t="shared" si="30"/>
        <v>51.19</v>
      </c>
      <c r="Y37">
        <f t="shared" si="31"/>
        <v>39.14</v>
      </c>
      <c r="AA37">
        <v>35841400</v>
      </c>
      <c r="AB37">
        <f t="shared" si="32"/>
        <v>45.55</v>
      </c>
      <c r="AC37">
        <f t="shared" si="33"/>
        <v>0</v>
      </c>
      <c r="AD37">
        <f t="shared" si="34"/>
        <v>0</v>
      </c>
      <c r="AE37">
        <f t="shared" si="35"/>
        <v>0</v>
      </c>
      <c r="AF37">
        <f t="shared" si="36"/>
        <v>45.55</v>
      </c>
      <c r="AG37">
        <f t="shared" si="37"/>
        <v>0</v>
      </c>
      <c r="AH37">
        <f t="shared" si="38"/>
        <v>5.84</v>
      </c>
      <c r="AI37">
        <f t="shared" si="39"/>
        <v>0</v>
      </c>
      <c r="AJ37">
        <f t="shared" si="40"/>
        <v>0</v>
      </c>
      <c r="AK37">
        <v>45.55</v>
      </c>
      <c r="AL37">
        <v>0</v>
      </c>
      <c r="AM37">
        <v>0</v>
      </c>
      <c r="AN37">
        <v>0</v>
      </c>
      <c r="AO37">
        <v>45.55</v>
      </c>
      <c r="AP37">
        <v>0</v>
      </c>
      <c r="AQ37">
        <v>5.84</v>
      </c>
      <c r="AR37">
        <v>0</v>
      </c>
      <c r="AS37">
        <v>0</v>
      </c>
      <c r="AT37">
        <v>85</v>
      </c>
      <c r="AU37">
        <v>65</v>
      </c>
      <c r="AV37">
        <v>1</v>
      </c>
      <c r="AW37">
        <v>1</v>
      </c>
      <c r="AZ37">
        <v>1</v>
      </c>
      <c r="BA37">
        <v>33.049999999999997</v>
      </c>
      <c r="BB37">
        <v>1</v>
      </c>
      <c r="BC37">
        <v>1</v>
      </c>
      <c r="BD37" t="s">
        <v>3</v>
      </c>
      <c r="BE37" t="s">
        <v>3</v>
      </c>
      <c r="BF37" t="s">
        <v>3</v>
      </c>
      <c r="BG37" t="s">
        <v>3</v>
      </c>
      <c r="BH37">
        <v>0</v>
      </c>
      <c r="BI37">
        <v>1</v>
      </c>
      <c r="BJ37" t="s">
        <v>54</v>
      </c>
      <c r="BM37">
        <v>67001</v>
      </c>
      <c r="BN37">
        <v>0</v>
      </c>
      <c r="BO37" t="s">
        <v>51</v>
      </c>
      <c r="BP37">
        <v>1</v>
      </c>
      <c r="BQ37">
        <v>6</v>
      </c>
      <c r="BR37">
        <v>0</v>
      </c>
      <c r="BS37">
        <v>33.049999999999997</v>
      </c>
      <c r="BT37">
        <v>1</v>
      </c>
      <c r="BU37">
        <v>1</v>
      </c>
      <c r="BV37">
        <v>1</v>
      </c>
      <c r="BW37">
        <v>1</v>
      </c>
      <c r="BX37">
        <v>1</v>
      </c>
      <c r="BY37" t="s">
        <v>3</v>
      </c>
      <c r="BZ37">
        <v>85</v>
      </c>
      <c r="CA37">
        <v>65</v>
      </c>
      <c r="CE37">
        <v>0</v>
      </c>
      <c r="CF37">
        <v>0</v>
      </c>
      <c r="CG37">
        <v>0</v>
      </c>
      <c r="CM37">
        <v>0</v>
      </c>
      <c r="CN37" t="s">
        <v>3</v>
      </c>
      <c r="CO37">
        <v>0</v>
      </c>
      <c r="CP37">
        <f t="shared" si="41"/>
        <v>60.22</v>
      </c>
      <c r="CQ37">
        <f t="shared" si="42"/>
        <v>0</v>
      </c>
      <c r="CR37">
        <f t="shared" si="43"/>
        <v>0</v>
      </c>
      <c r="CS37">
        <f t="shared" si="44"/>
        <v>0</v>
      </c>
      <c r="CT37">
        <f t="shared" si="45"/>
        <v>1505.4274999999998</v>
      </c>
      <c r="CU37">
        <f t="shared" si="46"/>
        <v>0</v>
      </c>
      <c r="CV37">
        <f t="shared" si="47"/>
        <v>5.84</v>
      </c>
      <c r="CW37">
        <f t="shared" si="48"/>
        <v>0</v>
      </c>
      <c r="CX37">
        <f t="shared" si="49"/>
        <v>0</v>
      </c>
      <c r="CY37">
        <f t="shared" si="50"/>
        <v>51.186999999999998</v>
      </c>
      <c r="CZ37">
        <f t="shared" si="51"/>
        <v>39.143000000000001</v>
      </c>
      <c r="DC37" t="s">
        <v>3</v>
      </c>
      <c r="DD37" t="s">
        <v>3</v>
      </c>
      <c r="DE37" t="s">
        <v>3</v>
      </c>
      <c r="DF37" t="s">
        <v>3</v>
      </c>
      <c r="DG37" t="s">
        <v>3</v>
      </c>
      <c r="DH37" t="s">
        <v>3</v>
      </c>
      <c r="DI37" t="s">
        <v>3</v>
      </c>
      <c r="DJ37" t="s">
        <v>3</v>
      </c>
      <c r="DK37" t="s">
        <v>3</v>
      </c>
      <c r="DL37" t="s">
        <v>3</v>
      </c>
      <c r="DM37" t="s">
        <v>3</v>
      </c>
      <c r="DN37">
        <v>0</v>
      </c>
      <c r="DO37">
        <v>0</v>
      </c>
      <c r="DP37">
        <v>1</v>
      </c>
      <c r="DQ37">
        <v>1</v>
      </c>
      <c r="DU37">
        <v>1010</v>
      </c>
      <c r="DV37" t="s">
        <v>53</v>
      </c>
      <c r="DW37" t="s">
        <v>53</v>
      </c>
      <c r="DX37">
        <v>100</v>
      </c>
      <c r="DZ37" t="s">
        <v>3</v>
      </c>
      <c r="EA37" t="s">
        <v>3</v>
      </c>
      <c r="EB37" t="s">
        <v>3</v>
      </c>
      <c r="EC37" t="s">
        <v>3</v>
      </c>
      <c r="EE37">
        <v>35526204</v>
      </c>
      <c r="EF37">
        <v>6</v>
      </c>
      <c r="EG37" t="s">
        <v>21</v>
      </c>
      <c r="EH37">
        <v>0</v>
      </c>
      <c r="EI37" t="s">
        <v>3</v>
      </c>
      <c r="EJ37">
        <v>1</v>
      </c>
      <c r="EK37">
        <v>67001</v>
      </c>
      <c r="EL37" t="s">
        <v>55</v>
      </c>
      <c r="EM37" t="s">
        <v>56</v>
      </c>
      <c r="EO37" t="s">
        <v>3</v>
      </c>
      <c r="EQ37">
        <v>0</v>
      </c>
      <c r="ER37">
        <v>45.55</v>
      </c>
      <c r="ES37">
        <v>0</v>
      </c>
      <c r="ET37">
        <v>0</v>
      </c>
      <c r="EU37">
        <v>0</v>
      </c>
      <c r="EV37">
        <v>45.55</v>
      </c>
      <c r="EW37">
        <v>5.84</v>
      </c>
      <c r="EX37">
        <v>0</v>
      </c>
      <c r="EY37">
        <v>0</v>
      </c>
      <c r="FQ37">
        <v>0</v>
      </c>
      <c r="FR37">
        <f t="shared" si="52"/>
        <v>0</v>
      </c>
      <c r="FS37">
        <v>0</v>
      </c>
      <c r="FX37">
        <v>85</v>
      </c>
      <c r="FY37">
        <v>65</v>
      </c>
      <c r="GA37" t="s">
        <v>3</v>
      </c>
      <c r="GD37">
        <v>1</v>
      </c>
      <c r="GF37">
        <v>-1255865036</v>
      </c>
      <c r="GG37">
        <v>2</v>
      </c>
      <c r="GH37">
        <v>1</v>
      </c>
      <c r="GI37">
        <v>2</v>
      </c>
      <c r="GJ37">
        <v>0</v>
      </c>
      <c r="GK37">
        <v>0</v>
      </c>
      <c r="GL37">
        <f t="shared" si="53"/>
        <v>0</v>
      </c>
      <c r="GM37">
        <f t="shared" si="54"/>
        <v>150.55000000000001</v>
      </c>
      <c r="GN37">
        <f t="shared" si="55"/>
        <v>150.55000000000001</v>
      </c>
      <c r="GO37">
        <f t="shared" si="56"/>
        <v>0</v>
      </c>
      <c r="GP37">
        <f t="shared" si="57"/>
        <v>0</v>
      </c>
      <c r="GR37">
        <v>0</v>
      </c>
      <c r="GS37">
        <v>3</v>
      </c>
      <c r="GT37">
        <v>0</v>
      </c>
      <c r="GU37" t="s">
        <v>3</v>
      </c>
      <c r="GV37">
        <f t="shared" si="58"/>
        <v>0</v>
      </c>
      <c r="GW37">
        <v>1</v>
      </c>
      <c r="GX37">
        <f t="shared" si="59"/>
        <v>0</v>
      </c>
      <c r="HA37">
        <v>0</v>
      </c>
      <c r="HB37">
        <v>0</v>
      </c>
      <c r="HC37">
        <f t="shared" si="60"/>
        <v>0</v>
      </c>
      <c r="HE37" t="s">
        <v>3</v>
      </c>
      <c r="HF37" t="s">
        <v>3</v>
      </c>
      <c r="IK37">
        <v>0</v>
      </c>
    </row>
    <row r="38" spans="1:245">
      <c r="A38">
        <v>17</v>
      </c>
      <c r="B38">
        <v>1</v>
      </c>
      <c r="C38">
        <f>ROW(SmtRes!A9)</f>
        <v>9</v>
      </c>
      <c r="D38">
        <f>ROW(EtalonRes!A9)</f>
        <v>9</v>
      </c>
      <c r="E38" t="s">
        <v>57</v>
      </c>
      <c r="F38" t="s">
        <v>58</v>
      </c>
      <c r="G38" t="s">
        <v>59</v>
      </c>
      <c r="H38" t="s">
        <v>60</v>
      </c>
      <c r="I38">
        <f>ROUND(30/100,9)</f>
        <v>0.3</v>
      </c>
      <c r="J38">
        <v>0</v>
      </c>
      <c r="O38">
        <f t="shared" si="21"/>
        <v>322.44</v>
      </c>
      <c r="P38">
        <f t="shared" si="22"/>
        <v>0</v>
      </c>
      <c r="Q38">
        <f t="shared" si="23"/>
        <v>0</v>
      </c>
      <c r="R38">
        <f t="shared" si="24"/>
        <v>0</v>
      </c>
      <c r="S38">
        <f t="shared" si="25"/>
        <v>322.44</v>
      </c>
      <c r="T38">
        <f t="shared" si="26"/>
        <v>0</v>
      </c>
      <c r="U38">
        <f t="shared" si="27"/>
        <v>1.194</v>
      </c>
      <c r="V38">
        <f t="shared" si="28"/>
        <v>0</v>
      </c>
      <c r="W38">
        <f t="shared" si="29"/>
        <v>0</v>
      </c>
      <c r="X38">
        <f t="shared" si="30"/>
        <v>274.07</v>
      </c>
      <c r="Y38">
        <f t="shared" si="31"/>
        <v>209.59</v>
      </c>
      <c r="AA38">
        <v>35841400</v>
      </c>
      <c r="AB38">
        <f t="shared" si="32"/>
        <v>32.520000000000003</v>
      </c>
      <c r="AC38">
        <f t="shared" si="33"/>
        <v>0</v>
      </c>
      <c r="AD38">
        <f t="shared" si="34"/>
        <v>0</v>
      </c>
      <c r="AE38">
        <f t="shared" si="35"/>
        <v>0</v>
      </c>
      <c r="AF38">
        <f t="shared" si="36"/>
        <v>32.520000000000003</v>
      </c>
      <c r="AG38">
        <f t="shared" si="37"/>
        <v>0</v>
      </c>
      <c r="AH38">
        <f t="shared" si="38"/>
        <v>3.98</v>
      </c>
      <c r="AI38">
        <f t="shared" si="39"/>
        <v>0</v>
      </c>
      <c r="AJ38">
        <f t="shared" si="40"/>
        <v>0</v>
      </c>
      <c r="AK38">
        <v>32.520000000000003</v>
      </c>
      <c r="AL38">
        <v>0</v>
      </c>
      <c r="AM38">
        <v>0</v>
      </c>
      <c r="AN38">
        <v>0</v>
      </c>
      <c r="AO38">
        <v>32.520000000000003</v>
      </c>
      <c r="AP38">
        <v>0</v>
      </c>
      <c r="AQ38">
        <v>3.98</v>
      </c>
      <c r="AR38">
        <v>0</v>
      </c>
      <c r="AS38">
        <v>0</v>
      </c>
      <c r="AT38">
        <v>85</v>
      </c>
      <c r="AU38">
        <v>65</v>
      </c>
      <c r="AV38">
        <v>1</v>
      </c>
      <c r="AW38">
        <v>1</v>
      </c>
      <c r="AZ38">
        <v>1</v>
      </c>
      <c r="BA38">
        <v>33.049999999999997</v>
      </c>
      <c r="BB38">
        <v>1</v>
      </c>
      <c r="BC38">
        <v>1</v>
      </c>
      <c r="BD38" t="s">
        <v>3</v>
      </c>
      <c r="BE38" t="s">
        <v>3</v>
      </c>
      <c r="BF38" t="s">
        <v>3</v>
      </c>
      <c r="BG38" t="s">
        <v>3</v>
      </c>
      <c r="BH38">
        <v>0</v>
      </c>
      <c r="BI38">
        <v>1</v>
      </c>
      <c r="BJ38" t="s">
        <v>61</v>
      </c>
      <c r="BM38">
        <v>67001</v>
      </c>
      <c r="BN38">
        <v>0</v>
      </c>
      <c r="BO38" t="s">
        <v>58</v>
      </c>
      <c r="BP38">
        <v>1</v>
      </c>
      <c r="BQ38">
        <v>6</v>
      </c>
      <c r="BR38">
        <v>0</v>
      </c>
      <c r="BS38">
        <v>33.049999999999997</v>
      </c>
      <c r="BT38">
        <v>1</v>
      </c>
      <c r="BU38">
        <v>1</v>
      </c>
      <c r="BV38">
        <v>1</v>
      </c>
      <c r="BW38">
        <v>1</v>
      </c>
      <c r="BX38">
        <v>1</v>
      </c>
      <c r="BY38" t="s">
        <v>3</v>
      </c>
      <c r="BZ38">
        <v>85</v>
      </c>
      <c r="CA38">
        <v>65</v>
      </c>
      <c r="CE38">
        <v>0</v>
      </c>
      <c r="CF38">
        <v>0</v>
      </c>
      <c r="CG38">
        <v>0</v>
      </c>
      <c r="CM38">
        <v>0</v>
      </c>
      <c r="CN38" t="s">
        <v>3</v>
      </c>
      <c r="CO38">
        <v>0</v>
      </c>
      <c r="CP38">
        <f t="shared" si="41"/>
        <v>322.44</v>
      </c>
      <c r="CQ38">
        <f t="shared" si="42"/>
        <v>0</v>
      </c>
      <c r="CR38">
        <f t="shared" si="43"/>
        <v>0</v>
      </c>
      <c r="CS38">
        <f t="shared" si="44"/>
        <v>0</v>
      </c>
      <c r="CT38">
        <f t="shared" si="45"/>
        <v>1074.7860000000001</v>
      </c>
      <c r="CU38">
        <f t="shared" si="46"/>
        <v>0</v>
      </c>
      <c r="CV38">
        <f t="shared" si="47"/>
        <v>3.98</v>
      </c>
      <c r="CW38">
        <f t="shared" si="48"/>
        <v>0</v>
      </c>
      <c r="CX38">
        <f t="shared" si="49"/>
        <v>0</v>
      </c>
      <c r="CY38">
        <f t="shared" si="50"/>
        <v>274.07400000000001</v>
      </c>
      <c r="CZ38">
        <f t="shared" si="51"/>
        <v>209.58599999999998</v>
      </c>
      <c r="DC38" t="s">
        <v>3</v>
      </c>
      <c r="DD38" t="s">
        <v>3</v>
      </c>
      <c r="DE38" t="s">
        <v>3</v>
      </c>
      <c r="DF38" t="s">
        <v>3</v>
      </c>
      <c r="DG38" t="s">
        <v>3</v>
      </c>
      <c r="DH38" t="s">
        <v>3</v>
      </c>
      <c r="DI38" t="s">
        <v>3</v>
      </c>
      <c r="DJ38" t="s">
        <v>3</v>
      </c>
      <c r="DK38" t="s">
        <v>3</v>
      </c>
      <c r="DL38" t="s">
        <v>3</v>
      </c>
      <c r="DM38" t="s">
        <v>3</v>
      </c>
      <c r="DN38">
        <v>0</v>
      </c>
      <c r="DO38">
        <v>0</v>
      </c>
      <c r="DP38">
        <v>1</v>
      </c>
      <c r="DQ38">
        <v>1</v>
      </c>
      <c r="DU38">
        <v>1013</v>
      </c>
      <c r="DV38" t="s">
        <v>60</v>
      </c>
      <c r="DW38" t="s">
        <v>60</v>
      </c>
      <c r="DX38">
        <v>1</v>
      </c>
      <c r="DZ38" t="s">
        <v>3</v>
      </c>
      <c r="EA38" t="s">
        <v>3</v>
      </c>
      <c r="EB38" t="s">
        <v>3</v>
      </c>
      <c r="EC38" t="s">
        <v>3</v>
      </c>
      <c r="EE38">
        <v>35526204</v>
      </c>
      <c r="EF38">
        <v>6</v>
      </c>
      <c r="EG38" t="s">
        <v>21</v>
      </c>
      <c r="EH38">
        <v>0</v>
      </c>
      <c r="EI38" t="s">
        <v>3</v>
      </c>
      <c r="EJ38">
        <v>1</v>
      </c>
      <c r="EK38">
        <v>67001</v>
      </c>
      <c r="EL38" t="s">
        <v>55</v>
      </c>
      <c r="EM38" t="s">
        <v>56</v>
      </c>
      <c r="EO38" t="s">
        <v>3</v>
      </c>
      <c r="EQ38">
        <v>0</v>
      </c>
      <c r="ER38">
        <v>32.520000000000003</v>
      </c>
      <c r="ES38">
        <v>0</v>
      </c>
      <c r="ET38">
        <v>0</v>
      </c>
      <c r="EU38">
        <v>0</v>
      </c>
      <c r="EV38">
        <v>32.520000000000003</v>
      </c>
      <c r="EW38">
        <v>3.98</v>
      </c>
      <c r="EX38">
        <v>0</v>
      </c>
      <c r="EY38">
        <v>0</v>
      </c>
      <c r="FQ38">
        <v>0</v>
      </c>
      <c r="FR38">
        <f t="shared" si="52"/>
        <v>0</v>
      </c>
      <c r="FS38">
        <v>0</v>
      </c>
      <c r="FX38">
        <v>85</v>
      </c>
      <c r="FY38">
        <v>65</v>
      </c>
      <c r="GA38" t="s">
        <v>3</v>
      </c>
      <c r="GD38">
        <v>1</v>
      </c>
      <c r="GF38">
        <v>714473085</v>
      </c>
      <c r="GG38">
        <v>2</v>
      </c>
      <c r="GH38">
        <v>1</v>
      </c>
      <c r="GI38">
        <v>2</v>
      </c>
      <c r="GJ38">
        <v>0</v>
      </c>
      <c r="GK38">
        <v>0</v>
      </c>
      <c r="GL38">
        <f t="shared" si="53"/>
        <v>0</v>
      </c>
      <c r="GM38">
        <f t="shared" si="54"/>
        <v>806.1</v>
      </c>
      <c r="GN38">
        <f t="shared" si="55"/>
        <v>806.1</v>
      </c>
      <c r="GO38">
        <f t="shared" si="56"/>
        <v>0</v>
      </c>
      <c r="GP38">
        <f t="shared" si="57"/>
        <v>0</v>
      </c>
      <c r="GR38">
        <v>0</v>
      </c>
      <c r="GS38">
        <v>3</v>
      </c>
      <c r="GT38">
        <v>0</v>
      </c>
      <c r="GU38" t="s">
        <v>3</v>
      </c>
      <c r="GV38">
        <f t="shared" si="58"/>
        <v>0</v>
      </c>
      <c r="GW38">
        <v>1</v>
      </c>
      <c r="GX38">
        <f t="shared" si="59"/>
        <v>0</v>
      </c>
      <c r="HA38">
        <v>0</v>
      </c>
      <c r="HB38">
        <v>0</v>
      </c>
      <c r="HC38">
        <f t="shared" si="60"/>
        <v>0</v>
      </c>
      <c r="HE38" t="s">
        <v>3</v>
      </c>
      <c r="HF38" t="s">
        <v>3</v>
      </c>
      <c r="IK38">
        <v>0</v>
      </c>
    </row>
    <row r="39" spans="1:245">
      <c r="A39">
        <v>17</v>
      </c>
      <c r="B39">
        <v>1</v>
      </c>
      <c r="C39">
        <f>ROW(SmtRes!A12)</f>
        <v>12</v>
      </c>
      <c r="D39">
        <f>ROW(EtalonRes!A12)</f>
        <v>12</v>
      </c>
      <c r="E39" t="s">
        <v>62</v>
      </c>
      <c r="F39" t="s">
        <v>63</v>
      </c>
      <c r="G39" t="s">
        <v>64</v>
      </c>
      <c r="H39" t="s">
        <v>53</v>
      </c>
      <c r="I39">
        <f>ROUND(6/100,9)</f>
        <v>0.06</v>
      </c>
      <c r="J39">
        <v>0</v>
      </c>
      <c r="O39">
        <f t="shared" si="21"/>
        <v>286.76</v>
      </c>
      <c r="P39">
        <f t="shared" si="22"/>
        <v>0</v>
      </c>
      <c r="Q39">
        <f t="shared" si="23"/>
        <v>2.2400000000000002</v>
      </c>
      <c r="R39">
        <f t="shared" si="24"/>
        <v>2.14</v>
      </c>
      <c r="S39">
        <f t="shared" si="25"/>
        <v>284.52</v>
      </c>
      <c r="T39">
        <f t="shared" si="26"/>
        <v>0</v>
      </c>
      <c r="U39">
        <f t="shared" si="27"/>
        <v>1.0733999999999999</v>
      </c>
      <c r="V39">
        <f t="shared" si="28"/>
        <v>4.7999999999999996E-3</v>
      </c>
      <c r="W39">
        <f t="shared" si="29"/>
        <v>0</v>
      </c>
      <c r="X39">
        <f t="shared" si="30"/>
        <v>243.66</v>
      </c>
      <c r="Y39">
        <f t="shared" si="31"/>
        <v>186.33</v>
      </c>
      <c r="AA39">
        <v>35841400</v>
      </c>
      <c r="AB39">
        <f t="shared" si="32"/>
        <v>145.97999999999999</v>
      </c>
      <c r="AC39">
        <f t="shared" si="33"/>
        <v>0</v>
      </c>
      <c r="AD39">
        <f t="shared" si="34"/>
        <v>2.5</v>
      </c>
      <c r="AE39">
        <f t="shared" si="35"/>
        <v>1.08</v>
      </c>
      <c r="AF39">
        <f t="shared" si="36"/>
        <v>143.47999999999999</v>
      </c>
      <c r="AG39">
        <f t="shared" si="37"/>
        <v>0</v>
      </c>
      <c r="AH39">
        <f t="shared" si="38"/>
        <v>17.89</v>
      </c>
      <c r="AI39">
        <f t="shared" si="39"/>
        <v>0.08</v>
      </c>
      <c r="AJ39">
        <f t="shared" si="40"/>
        <v>0</v>
      </c>
      <c r="AK39">
        <v>145.97999999999999</v>
      </c>
      <c r="AL39">
        <v>0</v>
      </c>
      <c r="AM39">
        <v>2.5</v>
      </c>
      <c r="AN39">
        <v>1.08</v>
      </c>
      <c r="AO39">
        <v>143.47999999999999</v>
      </c>
      <c r="AP39">
        <v>0</v>
      </c>
      <c r="AQ39">
        <v>17.89</v>
      </c>
      <c r="AR39">
        <v>0.08</v>
      </c>
      <c r="AS39">
        <v>0</v>
      </c>
      <c r="AT39">
        <v>85</v>
      </c>
      <c r="AU39">
        <v>65</v>
      </c>
      <c r="AV39">
        <v>1</v>
      </c>
      <c r="AW39">
        <v>1</v>
      </c>
      <c r="AZ39">
        <v>1</v>
      </c>
      <c r="BA39">
        <v>33.049999999999997</v>
      </c>
      <c r="BB39">
        <v>14.94</v>
      </c>
      <c r="BC39">
        <v>1</v>
      </c>
      <c r="BD39" t="s">
        <v>3</v>
      </c>
      <c r="BE39" t="s">
        <v>3</v>
      </c>
      <c r="BF39" t="s">
        <v>3</v>
      </c>
      <c r="BG39" t="s">
        <v>3</v>
      </c>
      <c r="BH39">
        <v>0</v>
      </c>
      <c r="BI39">
        <v>1</v>
      </c>
      <c r="BJ39" t="s">
        <v>65</v>
      </c>
      <c r="BM39">
        <v>67001</v>
      </c>
      <c r="BN39">
        <v>0</v>
      </c>
      <c r="BO39" t="s">
        <v>63</v>
      </c>
      <c r="BP39">
        <v>1</v>
      </c>
      <c r="BQ39">
        <v>6</v>
      </c>
      <c r="BR39">
        <v>0</v>
      </c>
      <c r="BS39">
        <v>33.049999999999997</v>
      </c>
      <c r="BT39">
        <v>1</v>
      </c>
      <c r="BU39">
        <v>1</v>
      </c>
      <c r="BV39">
        <v>1</v>
      </c>
      <c r="BW39">
        <v>1</v>
      </c>
      <c r="BX39">
        <v>1</v>
      </c>
      <c r="BY39" t="s">
        <v>3</v>
      </c>
      <c r="BZ39">
        <v>85</v>
      </c>
      <c r="CA39">
        <v>65</v>
      </c>
      <c r="CE39">
        <v>0</v>
      </c>
      <c r="CF39">
        <v>0</v>
      </c>
      <c r="CG39">
        <v>0</v>
      </c>
      <c r="CM39">
        <v>0</v>
      </c>
      <c r="CN39" t="s">
        <v>3</v>
      </c>
      <c r="CO39">
        <v>0</v>
      </c>
      <c r="CP39">
        <f t="shared" si="41"/>
        <v>286.76</v>
      </c>
      <c r="CQ39">
        <f t="shared" si="42"/>
        <v>0</v>
      </c>
      <c r="CR39">
        <f t="shared" si="43"/>
        <v>37.35</v>
      </c>
      <c r="CS39">
        <f t="shared" si="44"/>
        <v>35.694000000000003</v>
      </c>
      <c r="CT39">
        <f t="shared" si="45"/>
        <v>4742.0139999999992</v>
      </c>
      <c r="CU39">
        <f t="shared" si="46"/>
        <v>0</v>
      </c>
      <c r="CV39">
        <f t="shared" si="47"/>
        <v>17.89</v>
      </c>
      <c r="CW39">
        <f t="shared" si="48"/>
        <v>0.08</v>
      </c>
      <c r="CX39">
        <f t="shared" si="49"/>
        <v>0</v>
      </c>
      <c r="CY39">
        <f t="shared" si="50"/>
        <v>243.66099999999997</v>
      </c>
      <c r="CZ39">
        <f t="shared" si="51"/>
        <v>186.32899999999998</v>
      </c>
      <c r="DC39" t="s">
        <v>3</v>
      </c>
      <c r="DD39" t="s">
        <v>3</v>
      </c>
      <c r="DE39" t="s">
        <v>3</v>
      </c>
      <c r="DF39" t="s">
        <v>3</v>
      </c>
      <c r="DG39" t="s">
        <v>3</v>
      </c>
      <c r="DH39" t="s">
        <v>3</v>
      </c>
      <c r="DI39" t="s">
        <v>3</v>
      </c>
      <c r="DJ39" t="s">
        <v>3</v>
      </c>
      <c r="DK39" t="s">
        <v>3</v>
      </c>
      <c r="DL39" t="s">
        <v>3</v>
      </c>
      <c r="DM39" t="s">
        <v>3</v>
      </c>
      <c r="DN39">
        <v>0</v>
      </c>
      <c r="DO39">
        <v>0</v>
      </c>
      <c r="DP39">
        <v>1</v>
      </c>
      <c r="DQ39">
        <v>1</v>
      </c>
      <c r="DU39">
        <v>1010</v>
      </c>
      <c r="DV39" t="s">
        <v>53</v>
      </c>
      <c r="DW39" t="s">
        <v>53</v>
      </c>
      <c r="DX39">
        <v>100</v>
      </c>
      <c r="DZ39" t="s">
        <v>3</v>
      </c>
      <c r="EA39" t="s">
        <v>3</v>
      </c>
      <c r="EB39" t="s">
        <v>3</v>
      </c>
      <c r="EC39" t="s">
        <v>3</v>
      </c>
      <c r="EE39">
        <v>35526204</v>
      </c>
      <c r="EF39">
        <v>6</v>
      </c>
      <c r="EG39" t="s">
        <v>21</v>
      </c>
      <c r="EH39">
        <v>0</v>
      </c>
      <c r="EI39" t="s">
        <v>3</v>
      </c>
      <c r="EJ39">
        <v>1</v>
      </c>
      <c r="EK39">
        <v>67001</v>
      </c>
      <c r="EL39" t="s">
        <v>55</v>
      </c>
      <c r="EM39" t="s">
        <v>56</v>
      </c>
      <c r="EO39" t="s">
        <v>3</v>
      </c>
      <c r="EQ39">
        <v>0</v>
      </c>
      <c r="ER39">
        <v>145.97999999999999</v>
      </c>
      <c r="ES39">
        <v>0</v>
      </c>
      <c r="ET39">
        <v>2.5</v>
      </c>
      <c r="EU39">
        <v>1.08</v>
      </c>
      <c r="EV39">
        <v>143.47999999999999</v>
      </c>
      <c r="EW39">
        <v>17.89</v>
      </c>
      <c r="EX39">
        <v>0.08</v>
      </c>
      <c r="EY39">
        <v>0</v>
      </c>
      <c r="FQ39">
        <v>0</v>
      </c>
      <c r="FR39">
        <f t="shared" si="52"/>
        <v>0</v>
      </c>
      <c r="FS39">
        <v>0</v>
      </c>
      <c r="FX39">
        <v>85</v>
      </c>
      <c r="FY39">
        <v>65</v>
      </c>
      <c r="GA39" t="s">
        <v>3</v>
      </c>
      <c r="GD39">
        <v>1</v>
      </c>
      <c r="GF39">
        <v>1945260508</v>
      </c>
      <c r="GG39">
        <v>2</v>
      </c>
      <c r="GH39">
        <v>1</v>
      </c>
      <c r="GI39">
        <v>2</v>
      </c>
      <c r="GJ39">
        <v>0</v>
      </c>
      <c r="GK39">
        <v>0</v>
      </c>
      <c r="GL39">
        <f t="shared" si="53"/>
        <v>0</v>
      </c>
      <c r="GM39">
        <f t="shared" si="54"/>
        <v>716.75</v>
      </c>
      <c r="GN39">
        <f t="shared" si="55"/>
        <v>716.75</v>
      </c>
      <c r="GO39">
        <f t="shared" si="56"/>
        <v>0</v>
      </c>
      <c r="GP39">
        <f t="shared" si="57"/>
        <v>0</v>
      </c>
      <c r="GR39">
        <v>0</v>
      </c>
      <c r="GS39">
        <v>3</v>
      </c>
      <c r="GT39">
        <v>0</v>
      </c>
      <c r="GU39" t="s">
        <v>3</v>
      </c>
      <c r="GV39">
        <f t="shared" si="58"/>
        <v>0</v>
      </c>
      <c r="GW39">
        <v>1</v>
      </c>
      <c r="GX39">
        <f t="shared" si="59"/>
        <v>0</v>
      </c>
      <c r="HA39">
        <v>0</v>
      </c>
      <c r="HB39">
        <v>0</v>
      </c>
      <c r="HC39">
        <f t="shared" si="60"/>
        <v>0</v>
      </c>
      <c r="HE39" t="s">
        <v>3</v>
      </c>
      <c r="HF39" t="s">
        <v>3</v>
      </c>
      <c r="IK39">
        <v>0</v>
      </c>
    </row>
    <row r="41" spans="1:245">
      <c r="A41" s="2">
        <v>51</v>
      </c>
      <c r="B41" s="2">
        <f>B26</f>
        <v>1</v>
      </c>
      <c r="C41" s="2">
        <f>A26</f>
        <v>4</v>
      </c>
      <c r="D41" s="2">
        <f>ROW(A26)</f>
        <v>26</v>
      </c>
      <c r="E41" s="2"/>
      <c r="F41" s="2" t="str">
        <f>IF(F26&lt;&gt;"",F26,"")</f>
        <v>Новый раздел</v>
      </c>
      <c r="G41" s="2" t="str">
        <f>IF(G26&lt;&gt;"",G26,"")</f>
        <v>Демонтаж</v>
      </c>
      <c r="H41" s="2">
        <v>0</v>
      </c>
      <c r="I41" s="2"/>
      <c r="J41" s="2"/>
      <c r="K41" s="2"/>
      <c r="L41" s="2"/>
      <c r="M41" s="2"/>
      <c r="N41" s="2"/>
      <c r="O41" s="2">
        <f t="shared" ref="O41:T41" si="61">ROUND(AB41,2)</f>
        <v>14630.18</v>
      </c>
      <c r="P41" s="2">
        <f t="shared" si="61"/>
        <v>0</v>
      </c>
      <c r="Q41" s="2">
        <f t="shared" si="61"/>
        <v>2.2400000000000002</v>
      </c>
      <c r="R41" s="2">
        <f t="shared" si="61"/>
        <v>2.14</v>
      </c>
      <c r="S41" s="2">
        <f t="shared" si="61"/>
        <v>14627.94</v>
      </c>
      <c r="T41" s="2">
        <f t="shared" si="61"/>
        <v>0</v>
      </c>
      <c r="U41" s="2">
        <f>AH41</f>
        <v>56.655440000000013</v>
      </c>
      <c r="V41" s="2">
        <f>AI41</f>
        <v>4.7999999999999996E-3</v>
      </c>
      <c r="W41" s="2">
        <f>ROUND(AJ41,2)</f>
        <v>0</v>
      </c>
      <c r="X41" s="2">
        <f>ROUND(AK41,2)</f>
        <v>13188.37</v>
      </c>
      <c r="Y41" s="2">
        <f>ROUND(AL41,2)</f>
        <v>9317.49</v>
      </c>
      <c r="Z41" s="2"/>
      <c r="AA41" s="2"/>
      <c r="AB41" s="2">
        <f>ROUND(SUMIF(AA30:AA39,"=35841400",O30:O39),2)</f>
        <v>14630.18</v>
      </c>
      <c r="AC41" s="2">
        <f>ROUND(SUMIF(AA30:AA39,"=35841400",P30:P39),2)</f>
        <v>0</v>
      </c>
      <c r="AD41" s="2">
        <f>ROUND(SUMIF(AA30:AA39,"=35841400",Q30:Q39),2)</f>
        <v>2.2400000000000002</v>
      </c>
      <c r="AE41" s="2">
        <f>ROUND(SUMIF(AA30:AA39,"=35841400",R30:R39),2)</f>
        <v>2.14</v>
      </c>
      <c r="AF41" s="2">
        <f>ROUND(SUMIF(AA30:AA39,"=35841400",S30:S39),2)</f>
        <v>14627.94</v>
      </c>
      <c r="AG41" s="2">
        <f>ROUND(SUMIF(AA30:AA39,"=35841400",T30:T39),2)</f>
        <v>0</v>
      </c>
      <c r="AH41" s="2">
        <f>SUMIF(AA30:AA39,"=35841400",U30:U39)</f>
        <v>56.655440000000013</v>
      </c>
      <c r="AI41" s="2">
        <f>SUMIF(AA30:AA39,"=35841400",V30:V39)</f>
        <v>4.7999999999999996E-3</v>
      </c>
      <c r="AJ41" s="2">
        <f>ROUND(SUMIF(AA30:AA39,"=35841400",W30:W39),2)</f>
        <v>0</v>
      </c>
      <c r="AK41" s="2">
        <f>ROUND(SUMIF(AA30:AA39,"=35841400",X30:X39),2)</f>
        <v>13188.37</v>
      </c>
      <c r="AL41" s="2">
        <f>ROUND(SUMIF(AA30:AA39,"=35841400",Y30:Y39),2)</f>
        <v>9317.49</v>
      </c>
      <c r="AM41" s="2"/>
      <c r="AN41" s="2"/>
      <c r="AO41" s="2">
        <f t="shared" ref="AO41:BD41" si="62">ROUND(BX41,2)</f>
        <v>0</v>
      </c>
      <c r="AP41" s="2">
        <f t="shared" si="62"/>
        <v>0</v>
      </c>
      <c r="AQ41" s="2">
        <f t="shared" si="62"/>
        <v>0</v>
      </c>
      <c r="AR41" s="2">
        <f t="shared" si="62"/>
        <v>37136.04</v>
      </c>
      <c r="AS41" s="2">
        <f t="shared" si="62"/>
        <v>37136.04</v>
      </c>
      <c r="AT41" s="2">
        <f t="shared" si="62"/>
        <v>0</v>
      </c>
      <c r="AU41" s="2">
        <f t="shared" si="62"/>
        <v>0</v>
      </c>
      <c r="AV41" s="2">
        <f t="shared" si="62"/>
        <v>0</v>
      </c>
      <c r="AW41" s="2">
        <f t="shared" si="62"/>
        <v>0</v>
      </c>
      <c r="AX41" s="2">
        <f t="shared" si="62"/>
        <v>0</v>
      </c>
      <c r="AY41" s="2">
        <f t="shared" si="62"/>
        <v>0</v>
      </c>
      <c r="AZ41" s="2">
        <f t="shared" si="62"/>
        <v>0</v>
      </c>
      <c r="BA41" s="2">
        <f t="shared" si="62"/>
        <v>0</v>
      </c>
      <c r="BB41" s="2">
        <f t="shared" si="62"/>
        <v>0</v>
      </c>
      <c r="BC41" s="2">
        <f t="shared" si="62"/>
        <v>0</v>
      </c>
      <c r="BD41" s="2">
        <f t="shared" si="62"/>
        <v>0</v>
      </c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>
        <f>ROUND(SUMIF(AA30:AA39,"=35841400",FQ30:FQ39),2)</f>
        <v>0</v>
      </c>
      <c r="BY41" s="2">
        <f>ROUND(SUMIF(AA30:AA39,"=35841400",FR30:FR39),2)</f>
        <v>0</v>
      </c>
      <c r="BZ41" s="2">
        <f>ROUND(SUMIF(AA30:AA39,"=35841400",GL30:GL39),2)</f>
        <v>0</v>
      </c>
      <c r="CA41" s="2">
        <f>ROUND(SUMIF(AA30:AA39,"=35841400",GM30:GM39),2)</f>
        <v>37136.04</v>
      </c>
      <c r="CB41" s="2">
        <f>ROUND(SUMIF(AA30:AA39,"=35841400",GN30:GN39),2)</f>
        <v>37136.04</v>
      </c>
      <c r="CC41" s="2">
        <f>ROUND(SUMIF(AA30:AA39,"=35841400",GO30:GO39),2)</f>
        <v>0</v>
      </c>
      <c r="CD41" s="2">
        <f>ROUND(SUMIF(AA30:AA39,"=35841400",GP30:GP39),2)</f>
        <v>0</v>
      </c>
      <c r="CE41" s="2">
        <f>AC41-BX41</f>
        <v>0</v>
      </c>
      <c r="CF41" s="2">
        <f>AC41-BY41</f>
        <v>0</v>
      </c>
      <c r="CG41" s="2">
        <f>BX41-BZ41</f>
        <v>0</v>
      </c>
      <c r="CH41" s="2">
        <f>AC41-BX41-BY41+BZ41</f>
        <v>0</v>
      </c>
      <c r="CI41" s="2">
        <f>BY41-BZ41</f>
        <v>0</v>
      </c>
      <c r="CJ41" s="2">
        <f>ROUND(SUMIF(AA30:AA39,"=35841400",GX30:GX39),2)</f>
        <v>0</v>
      </c>
      <c r="CK41" s="2">
        <f>ROUND(SUMIF(AA30:AA39,"=35841400",GY30:GY39),2)</f>
        <v>0</v>
      </c>
      <c r="CL41" s="2">
        <f>ROUND(SUMIF(AA30:AA39,"=35841400",GZ30:GZ39),2)</f>
        <v>0</v>
      </c>
      <c r="CM41" s="2">
        <f>ROUND(SUMIF(AA30:AA39,"=35841400",HD30:HD39),2)</f>
        <v>0</v>
      </c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>
        <v>0</v>
      </c>
    </row>
    <row r="43" spans="1:245">
      <c r="A43" s="4">
        <v>50</v>
      </c>
      <c r="B43" s="4">
        <v>0</v>
      </c>
      <c r="C43" s="4">
        <v>0</v>
      </c>
      <c r="D43" s="4">
        <v>1</v>
      </c>
      <c r="E43" s="4">
        <v>201</v>
      </c>
      <c r="F43" s="4">
        <f>ROUND(Source!O41,O43)</f>
        <v>14630.18</v>
      </c>
      <c r="G43" s="4" t="s">
        <v>66</v>
      </c>
      <c r="H43" s="4" t="s">
        <v>67</v>
      </c>
      <c r="I43" s="4"/>
      <c r="J43" s="4"/>
      <c r="K43" s="4">
        <v>201</v>
      </c>
      <c r="L43" s="4">
        <v>1</v>
      </c>
      <c r="M43" s="4">
        <v>3</v>
      </c>
      <c r="N43" s="4" t="s">
        <v>3</v>
      </c>
      <c r="O43" s="4">
        <v>2</v>
      </c>
      <c r="P43" s="4"/>
      <c r="Q43" s="4"/>
      <c r="R43" s="4"/>
      <c r="S43" s="4"/>
      <c r="T43" s="4"/>
      <c r="U43" s="4"/>
      <c r="V43" s="4"/>
      <c r="W43" s="4"/>
    </row>
    <row r="44" spans="1:245">
      <c r="A44" s="4">
        <v>50</v>
      </c>
      <c r="B44" s="4">
        <v>0</v>
      </c>
      <c r="C44" s="4">
        <v>0</v>
      </c>
      <c r="D44" s="4">
        <v>1</v>
      </c>
      <c r="E44" s="4">
        <v>202</v>
      </c>
      <c r="F44" s="4">
        <f>ROUND(Source!P41,O44)</f>
        <v>0</v>
      </c>
      <c r="G44" s="4" t="s">
        <v>68</v>
      </c>
      <c r="H44" s="4" t="s">
        <v>69</v>
      </c>
      <c r="I44" s="4"/>
      <c r="J44" s="4"/>
      <c r="K44" s="4">
        <v>202</v>
      </c>
      <c r="L44" s="4">
        <v>2</v>
      </c>
      <c r="M44" s="4">
        <v>3</v>
      </c>
      <c r="N44" s="4" t="s">
        <v>3</v>
      </c>
      <c r="O44" s="4">
        <v>2</v>
      </c>
      <c r="P44" s="4"/>
      <c r="Q44" s="4"/>
      <c r="R44" s="4"/>
      <c r="S44" s="4"/>
      <c r="T44" s="4"/>
      <c r="U44" s="4"/>
      <c r="V44" s="4"/>
      <c r="W44" s="4"/>
    </row>
    <row r="45" spans="1:245">
      <c r="A45" s="4">
        <v>50</v>
      </c>
      <c r="B45" s="4">
        <v>0</v>
      </c>
      <c r="C45" s="4">
        <v>0</v>
      </c>
      <c r="D45" s="4">
        <v>1</v>
      </c>
      <c r="E45" s="4">
        <v>222</v>
      </c>
      <c r="F45" s="4">
        <f>ROUND(Source!AO41,O45)</f>
        <v>0</v>
      </c>
      <c r="G45" s="4" t="s">
        <v>70</v>
      </c>
      <c r="H45" s="4" t="s">
        <v>71</v>
      </c>
      <c r="I45" s="4"/>
      <c r="J45" s="4"/>
      <c r="K45" s="4">
        <v>222</v>
      </c>
      <c r="L45" s="4">
        <v>3</v>
      </c>
      <c r="M45" s="4">
        <v>3</v>
      </c>
      <c r="N45" s="4" t="s">
        <v>3</v>
      </c>
      <c r="O45" s="4">
        <v>2</v>
      </c>
      <c r="P45" s="4"/>
      <c r="Q45" s="4"/>
      <c r="R45" s="4"/>
      <c r="S45" s="4"/>
      <c r="T45" s="4"/>
      <c r="U45" s="4"/>
      <c r="V45" s="4"/>
      <c r="W45" s="4"/>
    </row>
    <row r="46" spans="1:245">
      <c r="A46" s="4">
        <v>50</v>
      </c>
      <c r="B46" s="4">
        <v>0</v>
      </c>
      <c r="C46" s="4">
        <v>0</v>
      </c>
      <c r="D46" s="4">
        <v>1</v>
      </c>
      <c r="E46" s="4">
        <v>225</v>
      </c>
      <c r="F46" s="4">
        <f>ROUND(Source!AV41,O46)</f>
        <v>0</v>
      </c>
      <c r="G46" s="4" t="s">
        <v>72</v>
      </c>
      <c r="H46" s="4" t="s">
        <v>73</v>
      </c>
      <c r="I46" s="4"/>
      <c r="J46" s="4"/>
      <c r="K46" s="4">
        <v>225</v>
      </c>
      <c r="L46" s="4">
        <v>4</v>
      </c>
      <c r="M46" s="4">
        <v>3</v>
      </c>
      <c r="N46" s="4" t="s">
        <v>3</v>
      </c>
      <c r="O46" s="4">
        <v>2</v>
      </c>
      <c r="P46" s="4"/>
      <c r="Q46" s="4"/>
      <c r="R46" s="4"/>
      <c r="S46" s="4"/>
      <c r="T46" s="4"/>
      <c r="U46" s="4"/>
      <c r="V46" s="4"/>
      <c r="W46" s="4"/>
    </row>
    <row r="47" spans="1:245">
      <c r="A47" s="4">
        <v>50</v>
      </c>
      <c r="B47" s="4">
        <v>0</v>
      </c>
      <c r="C47" s="4">
        <v>0</v>
      </c>
      <c r="D47" s="4">
        <v>1</v>
      </c>
      <c r="E47" s="4">
        <v>226</v>
      </c>
      <c r="F47" s="4">
        <f>ROUND(Source!AW41,O47)</f>
        <v>0</v>
      </c>
      <c r="G47" s="4" t="s">
        <v>74</v>
      </c>
      <c r="H47" s="4" t="s">
        <v>75</v>
      </c>
      <c r="I47" s="4"/>
      <c r="J47" s="4"/>
      <c r="K47" s="4">
        <v>226</v>
      </c>
      <c r="L47" s="4">
        <v>5</v>
      </c>
      <c r="M47" s="4">
        <v>3</v>
      </c>
      <c r="N47" s="4" t="s">
        <v>3</v>
      </c>
      <c r="O47" s="4">
        <v>2</v>
      </c>
      <c r="P47" s="4"/>
      <c r="Q47" s="4"/>
      <c r="R47" s="4"/>
      <c r="S47" s="4"/>
      <c r="T47" s="4"/>
      <c r="U47" s="4"/>
      <c r="V47" s="4"/>
      <c r="W47" s="4"/>
    </row>
    <row r="48" spans="1:245">
      <c r="A48" s="4">
        <v>50</v>
      </c>
      <c r="B48" s="4">
        <v>0</v>
      </c>
      <c r="C48" s="4">
        <v>0</v>
      </c>
      <c r="D48" s="4">
        <v>1</v>
      </c>
      <c r="E48" s="4">
        <v>227</v>
      </c>
      <c r="F48" s="4">
        <f>ROUND(Source!AX41,O48)</f>
        <v>0</v>
      </c>
      <c r="G48" s="4" t="s">
        <v>76</v>
      </c>
      <c r="H48" s="4" t="s">
        <v>77</v>
      </c>
      <c r="I48" s="4"/>
      <c r="J48" s="4"/>
      <c r="K48" s="4">
        <v>227</v>
      </c>
      <c r="L48" s="4">
        <v>6</v>
      </c>
      <c r="M48" s="4">
        <v>3</v>
      </c>
      <c r="N48" s="4" t="s">
        <v>3</v>
      </c>
      <c r="O48" s="4">
        <v>2</v>
      </c>
      <c r="P48" s="4"/>
      <c r="Q48" s="4"/>
      <c r="R48" s="4"/>
      <c r="S48" s="4"/>
      <c r="T48" s="4"/>
      <c r="U48" s="4"/>
      <c r="V48" s="4"/>
      <c r="W48" s="4"/>
    </row>
    <row r="49" spans="1:23">
      <c r="A49" s="4">
        <v>50</v>
      </c>
      <c r="B49" s="4">
        <v>0</v>
      </c>
      <c r="C49" s="4">
        <v>0</v>
      </c>
      <c r="D49" s="4">
        <v>1</v>
      </c>
      <c r="E49" s="4">
        <v>228</v>
      </c>
      <c r="F49" s="4">
        <f>ROUND(Source!AY41,O49)</f>
        <v>0</v>
      </c>
      <c r="G49" s="4" t="s">
        <v>78</v>
      </c>
      <c r="H49" s="4" t="s">
        <v>79</v>
      </c>
      <c r="I49" s="4"/>
      <c r="J49" s="4"/>
      <c r="K49" s="4">
        <v>228</v>
      </c>
      <c r="L49" s="4">
        <v>7</v>
      </c>
      <c r="M49" s="4">
        <v>3</v>
      </c>
      <c r="N49" s="4" t="s">
        <v>3</v>
      </c>
      <c r="O49" s="4">
        <v>2</v>
      </c>
      <c r="P49" s="4"/>
      <c r="Q49" s="4"/>
      <c r="R49" s="4"/>
      <c r="S49" s="4"/>
      <c r="T49" s="4"/>
      <c r="U49" s="4"/>
      <c r="V49" s="4"/>
      <c r="W49" s="4"/>
    </row>
    <row r="50" spans="1:23">
      <c r="A50" s="4">
        <v>50</v>
      </c>
      <c r="B50" s="4">
        <v>0</v>
      </c>
      <c r="C50" s="4">
        <v>0</v>
      </c>
      <c r="D50" s="4">
        <v>1</v>
      </c>
      <c r="E50" s="4">
        <v>216</v>
      </c>
      <c r="F50" s="4">
        <f>ROUND(Source!AP41,O50)</f>
        <v>0</v>
      </c>
      <c r="G50" s="4" t="s">
        <v>80</v>
      </c>
      <c r="H50" s="4" t="s">
        <v>81</v>
      </c>
      <c r="I50" s="4"/>
      <c r="J50" s="4"/>
      <c r="K50" s="4">
        <v>216</v>
      </c>
      <c r="L50" s="4">
        <v>8</v>
      </c>
      <c r="M50" s="4">
        <v>3</v>
      </c>
      <c r="N50" s="4" t="s">
        <v>3</v>
      </c>
      <c r="O50" s="4">
        <v>2</v>
      </c>
      <c r="P50" s="4"/>
      <c r="Q50" s="4"/>
      <c r="R50" s="4"/>
      <c r="S50" s="4"/>
      <c r="T50" s="4"/>
      <c r="U50" s="4"/>
      <c r="V50" s="4"/>
      <c r="W50" s="4"/>
    </row>
    <row r="51" spans="1:23">
      <c r="A51" s="4">
        <v>50</v>
      </c>
      <c r="B51" s="4">
        <v>0</v>
      </c>
      <c r="C51" s="4">
        <v>0</v>
      </c>
      <c r="D51" s="4">
        <v>1</v>
      </c>
      <c r="E51" s="4">
        <v>223</v>
      </c>
      <c r="F51" s="4">
        <f>ROUND(Source!AQ41,O51)</f>
        <v>0</v>
      </c>
      <c r="G51" s="4" t="s">
        <v>82</v>
      </c>
      <c r="H51" s="4" t="s">
        <v>83</v>
      </c>
      <c r="I51" s="4"/>
      <c r="J51" s="4"/>
      <c r="K51" s="4">
        <v>223</v>
      </c>
      <c r="L51" s="4">
        <v>9</v>
      </c>
      <c r="M51" s="4">
        <v>3</v>
      </c>
      <c r="N51" s="4" t="s">
        <v>3</v>
      </c>
      <c r="O51" s="4">
        <v>2</v>
      </c>
      <c r="P51" s="4"/>
      <c r="Q51" s="4"/>
      <c r="R51" s="4"/>
      <c r="S51" s="4"/>
      <c r="T51" s="4"/>
      <c r="U51" s="4"/>
      <c r="V51" s="4"/>
      <c r="W51" s="4"/>
    </row>
    <row r="52" spans="1:23">
      <c r="A52" s="4">
        <v>50</v>
      </c>
      <c r="B52" s="4">
        <v>0</v>
      </c>
      <c r="C52" s="4">
        <v>0</v>
      </c>
      <c r="D52" s="4">
        <v>1</v>
      </c>
      <c r="E52" s="4">
        <v>229</v>
      </c>
      <c r="F52" s="4">
        <f>ROUND(Source!AZ41,O52)</f>
        <v>0</v>
      </c>
      <c r="G52" s="4" t="s">
        <v>84</v>
      </c>
      <c r="H52" s="4" t="s">
        <v>85</v>
      </c>
      <c r="I52" s="4"/>
      <c r="J52" s="4"/>
      <c r="K52" s="4">
        <v>229</v>
      </c>
      <c r="L52" s="4">
        <v>10</v>
      </c>
      <c r="M52" s="4">
        <v>3</v>
      </c>
      <c r="N52" s="4" t="s">
        <v>3</v>
      </c>
      <c r="O52" s="4">
        <v>2</v>
      </c>
      <c r="P52" s="4"/>
      <c r="Q52" s="4"/>
      <c r="R52" s="4"/>
      <c r="S52" s="4"/>
      <c r="T52" s="4"/>
      <c r="U52" s="4"/>
      <c r="V52" s="4"/>
      <c r="W52" s="4"/>
    </row>
    <row r="53" spans="1:23">
      <c r="A53" s="4">
        <v>50</v>
      </c>
      <c r="B53" s="4">
        <v>0</v>
      </c>
      <c r="C53" s="4">
        <v>0</v>
      </c>
      <c r="D53" s="4">
        <v>1</v>
      </c>
      <c r="E53" s="4">
        <v>203</v>
      </c>
      <c r="F53" s="4">
        <f>ROUND(Source!Q41,O53)</f>
        <v>2.2400000000000002</v>
      </c>
      <c r="G53" s="4" t="s">
        <v>86</v>
      </c>
      <c r="H53" s="4" t="s">
        <v>87</v>
      </c>
      <c r="I53" s="4"/>
      <c r="J53" s="4"/>
      <c r="K53" s="4">
        <v>203</v>
      </c>
      <c r="L53" s="4">
        <v>11</v>
      </c>
      <c r="M53" s="4">
        <v>3</v>
      </c>
      <c r="N53" s="4" t="s">
        <v>3</v>
      </c>
      <c r="O53" s="4">
        <v>2</v>
      </c>
      <c r="P53" s="4"/>
      <c r="Q53" s="4"/>
      <c r="R53" s="4"/>
      <c r="S53" s="4"/>
      <c r="T53" s="4"/>
      <c r="U53" s="4"/>
      <c r="V53" s="4"/>
      <c r="W53" s="4"/>
    </row>
    <row r="54" spans="1:23">
      <c r="A54" s="4">
        <v>50</v>
      </c>
      <c r="B54" s="4">
        <v>0</v>
      </c>
      <c r="C54" s="4">
        <v>0</v>
      </c>
      <c r="D54" s="4">
        <v>1</v>
      </c>
      <c r="E54" s="4">
        <v>231</v>
      </c>
      <c r="F54" s="4">
        <f>ROUND(Source!BB41,O54)</f>
        <v>0</v>
      </c>
      <c r="G54" s="4" t="s">
        <v>88</v>
      </c>
      <c r="H54" s="4" t="s">
        <v>89</v>
      </c>
      <c r="I54" s="4"/>
      <c r="J54" s="4"/>
      <c r="K54" s="4">
        <v>231</v>
      </c>
      <c r="L54" s="4">
        <v>12</v>
      </c>
      <c r="M54" s="4">
        <v>3</v>
      </c>
      <c r="N54" s="4" t="s">
        <v>3</v>
      </c>
      <c r="O54" s="4">
        <v>2</v>
      </c>
      <c r="P54" s="4"/>
      <c r="Q54" s="4"/>
      <c r="R54" s="4"/>
      <c r="S54" s="4"/>
      <c r="T54" s="4"/>
      <c r="U54" s="4"/>
      <c r="V54" s="4"/>
      <c r="W54" s="4"/>
    </row>
    <row r="55" spans="1:23">
      <c r="A55" s="4">
        <v>50</v>
      </c>
      <c r="B55" s="4">
        <v>0</v>
      </c>
      <c r="C55" s="4">
        <v>0</v>
      </c>
      <c r="D55" s="4">
        <v>1</v>
      </c>
      <c r="E55" s="4">
        <v>204</v>
      </c>
      <c r="F55" s="4">
        <f>ROUND(Source!R41,O55)</f>
        <v>2.14</v>
      </c>
      <c r="G55" s="4" t="s">
        <v>90</v>
      </c>
      <c r="H55" s="4" t="s">
        <v>91</v>
      </c>
      <c r="I55" s="4"/>
      <c r="J55" s="4"/>
      <c r="K55" s="4">
        <v>204</v>
      </c>
      <c r="L55" s="4">
        <v>13</v>
      </c>
      <c r="M55" s="4">
        <v>3</v>
      </c>
      <c r="N55" s="4" t="s">
        <v>3</v>
      </c>
      <c r="O55" s="4">
        <v>2</v>
      </c>
      <c r="P55" s="4"/>
      <c r="Q55" s="4"/>
      <c r="R55" s="4"/>
      <c r="S55" s="4"/>
      <c r="T55" s="4"/>
      <c r="U55" s="4"/>
      <c r="V55" s="4"/>
      <c r="W55" s="4"/>
    </row>
    <row r="56" spans="1:23">
      <c r="A56" s="4">
        <v>50</v>
      </c>
      <c r="B56" s="4">
        <v>0</v>
      </c>
      <c r="C56" s="4">
        <v>0</v>
      </c>
      <c r="D56" s="4">
        <v>1</v>
      </c>
      <c r="E56" s="4">
        <v>205</v>
      </c>
      <c r="F56" s="4">
        <f>ROUND(Source!S41,O56)</f>
        <v>14627.94</v>
      </c>
      <c r="G56" s="4" t="s">
        <v>92</v>
      </c>
      <c r="H56" s="4" t="s">
        <v>93</v>
      </c>
      <c r="I56" s="4"/>
      <c r="J56" s="4"/>
      <c r="K56" s="4">
        <v>205</v>
      </c>
      <c r="L56" s="4">
        <v>14</v>
      </c>
      <c r="M56" s="4">
        <v>3</v>
      </c>
      <c r="N56" s="4" t="s">
        <v>3</v>
      </c>
      <c r="O56" s="4">
        <v>2</v>
      </c>
      <c r="P56" s="4"/>
      <c r="Q56" s="4"/>
      <c r="R56" s="4"/>
      <c r="S56" s="4"/>
      <c r="T56" s="4"/>
      <c r="U56" s="4"/>
      <c r="V56" s="4"/>
      <c r="W56" s="4"/>
    </row>
    <row r="57" spans="1:23">
      <c r="A57" s="4">
        <v>50</v>
      </c>
      <c r="B57" s="4">
        <v>0</v>
      </c>
      <c r="C57" s="4">
        <v>0</v>
      </c>
      <c r="D57" s="4">
        <v>1</v>
      </c>
      <c r="E57" s="4">
        <v>232</v>
      </c>
      <c r="F57" s="4">
        <f>ROUND(Source!BC41,O57)</f>
        <v>0</v>
      </c>
      <c r="G57" s="4" t="s">
        <v>94</v>
      </c>
      <c r="H57" s="4" t="s">
        <v>95</v>
      </c>
      <c r="I57" s="4"/>
      <c r="J57" s="4"/>
      <c r="K57" s="4">
        <v>232</v>
      </c>
      <c r="L57" s="4">
        <v>15</v>
      </c>
      <c r="M57" s="4">
        <v>3</v>
      </c>
      <c r="N57" s="4" t="s">
        <v>3</v>
      </c>
      <c r="O57" s="4">
        <v>2</v>
      </c>
      <c r="P57" s="4"/>
      <c r="Q57" s="4"/>
      <c r="R57" s="4"/>
      <c r="S57" s="4"/>
      <c r="T57" s="4"/>
      <c r="U57" s="4"/>
      <c r="V57" s="4"/>
      <c r="W57" s="4"/>
    </row>
    <row r="58" spans="1:23">
      <c r="A58" s="4">
        <v>50</v>
      </c>
      <c r="B58" s="4">
        <v>0</v>
      </c>
      <c r="C58" s="4">
        <v>0</v>
      </c>
      <c r="D58" s="4">
        <v>1</v>
      </c>
      <c r="E58" s="4">
        <v>214</v>
      </c>
      <c r="F58" s="4">
        <f>ROUND(Source!AS41,O58)</f>
        <v>37136.04</v>
      </c>
      <c r="G58" s="4" t="s">
        <v>96</v>
      </c>
      <c r="H58" s="4" t="s">
        <v>97</v>
      </c>
      <c r="I58" s="4"/>
      <c r="J58" s="4"/>
      <c r="K58" s="4">
        <v>214</v>
      </c>
      <c r="L58" s="4">
        <v>16</v>
      </c>
      <c r="M58" s="4">
        <v>3</v>
      </c>
      <c r="N58" s="4" t="s">
        <v>3</v>
      </c>
      <c r="O58" s="4">
        <v>2</v>
      </c>
      <c r="P58" s="4"/>
      <c r="Q58" s="4"/>
      <c r="R58" s="4"/>
      <c r="S58" s="4"/>
      <c r="T58" s="4"/>
      <c r="U58" s="4"/>
      <c r="V58" s="4"/>
      <c r="W58" s="4"/>
    </row>
    <row r="59" spans="1:23">
      <c r="A59" s="4">
        <v>50</v>
      </c>
      <c r="B59" s="4">
        <v>0</v>
      </c>
      <c r="C59" s="4">
        <v>0</v>
      </c>
      <c r="D59" s="4">
        <v>1</v>
      </c>
      <c r="E59" s="4">
        <v>215</v>
      </c>
      <c r="F59" s="4">
        <f>ROUND(Source!AT41,O59)</f>
        <v>0</v>
      </c>
      <c r="G59" s="4" t="s">
        <v>98</v>
      </c>
      <c r="H59" s="4" t="s">
        <v>99</v>
      </c>
      <c r="I59" s="4"/>
      <c r="J59" s="4"/>
      <c r="K59" s="4">
        <v>215</v>
      </c>
      <c r="L59" s="4">
        <v>17</v>
      </c>
      <c r="M59" s="4">
        <v>3</v>
      </c>
      <c r="N59" s="4" t="s">
        <v>3</v>
      </c>
      <c r="O59" s="4">
        <v>2</v>
      </c>
      <c r="P59" s="4"/>
      <c r="Q59" s="4"/>
      <c r="R59" s="4"/>
      <c r="S59" s="4"/>
      <c r="T59" s="4"/>
      <c r="U59" s="4"/>
      <c r="V59" s="4"/>
      <c r="W59" s="4"/>
    </row>
    <row r="60" spans="1:23">
      <c r="A60" s="4">
        <v>50</v>
      </c>
      <c r="B60" s="4">
        <v>0</v>
      </c>
      <c r="C60" s="4">
        <v>0</v>
      </c>
      <c r="D60" s="4">
        <v>1</v>
      </c>
      <c r="E60" s="4">
        <v>217</v>
      </c>
      <c r="F60" s="4">
        <f>ROUND(Source!AU41,O60)</f>
        <v>0</v>
      </c>
      <c r="G60" s="4" t="s">
        <v>100</v>
      </c>
      <c r="H60" s="4" t="s">
        <v>101</v>
      </c>
      <c r="I60" s="4"/>
      <c r="J60" s="4"/>
      <c r="K60" s="4">
        <v>217</v>
      </c>
      <c r="L60" s="4">
        <v>18</v>
      </c>
      <c r="M60" s="4">
        <v>3</v>
      </c>
      <c r="N60" s="4" t="s">
        <v>3</v>
      </c>
      <c r="O60" s="4">
        <v>2</v>
      </c>
      <c r="P60" s="4"/>
      <c r="Q60" s="4"/>
      <c r="R60" s="4"/>
      <c r="S60" s="4"/>
      <c r="T60" s="4"/>
      <c r="U60" s="4"/>
      <c r="V60" s="4"/>
      <c r="W60" s="4"/>
    </row>
    <row r="61" spans="1:23">
      <c r="A61" s="4">
        <v>50</v>
      </c>
      <c r="B61" s="4">
        <v>0</v>
      </c>
      <c r="C61" s="4">
        <v>0</v>
      </c>
      <c r="D61" s="4">
        <v>1</v>
      </c>
      <c r="E61" s="4">
        <v>230</v>
      </c>
      <c r="F61" s="4">
        <f>ROUND(Source!BA41,O61)</f>
        <v>0</v>
      </c>
      <c r="G61" s="4" t="s">
        <v>102</v>
      </c>
      <c r="H61" s="4" t="s">
        <v>103</v>
      </c>
      <c r="I61" s="4"/>
      <c r="J61" s="4"/>
      <c r="K61" s="4">
        <v>230</v>
      </c>
      <c r="L61" s="4">
        <v>19</v>
      </c>
      <c r="M61" s="4">
        <v>3</v>
      </c>
      <c r="N61" s="4" t="s">
        <v>3</v>
      </c>
      <c r="O61" s="4">
        <v>2</v>
      </c>
      <c r="P61" s="4"/>
      <c r="Q61" s="4"/>
      <c r="R61" s="4"/>
      <c r="S61" s="4"/>
      <c r="T61" s="4"/>
      <c r="U61" s="4"/>
      <c r="V61" s="4"/>
      <c r="W61" s="4"/>
    </row>
    <row r="62" spans="1:23">
      <c r="A62" s="4">
        <v>50</v>
      </c>
      <c r="B62" s="4">
        <v>0</v>
      </c>
      <c r="C62" s="4">
        <v>0</v>
      </c>
      <c r="D62" s="4">
        <v>1</v>
      </c>
      <c r="E62" s="4">
        <v>206</v>
      </c>
      <c r="F62" s="4">
        <f>ROUND(Source!T41,O62)</f>
        <v>0</v>
      </c>
      <c r="G62" s="4" t="s">
        <v>104</v>
      </c>
      <c r="H62" s="4" t="s">
        <v>105</v>
      </c>
      <c r="I62" s="4"/>
      <c r="J62" s="4"/>
      <c r="K62" s="4">
        <v>206</v>
      </c>
      <c r="L62" s="4">
        <v>20</v>
      </c>
      <c r="M62" s="4">
        <v>3</v>
      </c>
      <c r="N62" s="4" t="s">
        <v>3</v>
      </c>
      <c r="O62" s="4">
        <v>2</v>
      </c>
      <c r="P62" s="4"/>
      <c r="Q62" s="4"/>
      <c r="R62" s="4"/>
      <c r="S62" s="4"/>
      <c r="T62" s="4"/>
      <c r="U62" s="4"/>
      <c r="V62" s="4"/>
      <c r="W62" s="4"/>
    </row>
    <row r="63" spans="1:23">
      <c r="A63" s="4">
        <v>50</v>
      </c>
      <c r="B63" s="4">
        <v>0</v>
      </c>
      <c r="C63" s="4">
        <v>0</v>
      </c>
      <c r="D63" s="4">
        <v>1</v>
      </c>
      <c r="E63" s="4">
        <v>207</v>
      </c>
      <c r="F63" s="4">
        <f>Source!U41</f>
        <v>56.655440000000013</v>
      </c>
      <c r="G63" s="4" t="s">
        <v>106</v>
      </c>
      <c r="H63" s="4" t="s">
        <v>107</v>
      </c>
      <c r="I63" s="4"/>
      <c r="J63" s="4"/>
      <c r="K63" s="4">
        <v>207</v>
      </c>
      <c r="L63" s="4">
        <v>21</v>
      </c>
      <c r="M63" s="4">
        <v>3</v>
      </c>
      <c r="N63" s="4" t="s">
        <v>3</v>
      </c>
      <c r="O63" s="4">
        <v>-1</v>
      </c>
      <c r="P63" s="4"/>
      <c r="Q63" s="4"/>
      <c r="R63" s="4"/>
      <c r="S63" s="4"/>
      <c r="T63" s="4"/>
      <c r="U63" s="4"/>
      <c r="V63" s="4"/>
      <c r="W63" s="4"/>
    </row>
    <row r="64" spans="1:23">
      <c r="A64" s="4">
        <v>50</v>
      </c>
      <c r="B64" s="4">
        <v>0</v>
      </c>
      <c r="C64" s="4">
        <v>0</v>
      </c>
      <c r="D64" s="4">
        <v>1</v>
      </c>
      <c r="E64" s="4">
        <v>208</v>
      </c>
      <c r="F64" s="4">
        <f>Source!V41</f>
        <v>4.7999999999999996E-3</v>
      </c>
      <c r="G64" s="4" t="s">
        <v>108</v>
      </c>
      <c r="H64" s="4" t="s">
        <v>109</v>
      </c>
      <c r="I64" s="4"/>
      <c r="J64" s="4"/>
      <c r="K64" s="4">
        <v>208</v>
      </c>
      <c r="L64" s="4">
        <v>22</v>
      </c>
      <c r="M64" s="4">
        <v>3</v>
      </c>
      <c r="N64" s="4" t="s">
        <v>3</v>
      </c>
      <c r="O64" s="4">
        <v>-1</v>
      </c>
      <c r="P64" s="4"/>
      <c r="Q64" s="4"/>
      <c r="R64" s="4"/>
      <c r="S64" s="4"/>
      <c r="T64" s="4"/>
      <c r="U64" s="4"/>
      <c r="V64" s="4"/>
      <c r="W64" s="4"/>
    </row>
    <row r="65" spans="1:245">
      <c r="A65" s="4">
        <v>50</v>
      </c>
      <c r="B65" s="4">
        <v>0</v>
      </c>
      <c r="C65" s="4">
        <v>0</v>
      </c>
      <c r="D65" s="4">
        <v>1</v>
      </c>
      <c r="E65" s="4">
        <v>209</v>
      </c>
      <c r="F65" s="4">
        <f>ROUND(Source!W41,O65)</f>
        <v>0</v>
      </c>
      <c r="G65" s="4" t="s">
        <v>110</v>
      </c>
      <c r="H65" s="4" t="s">
        <v>111</v>
      </c>
      <c r="I65" s="4"/>
      <c r="J65" s="4"/>
      <c r="K65" s="4">
        <v>209</v>
      </c>
      <c r="L65" s="4">
        <v>23</v>
      </c>
      <c r="M65" s="4">
        <v>3</v>
      </c>
      <c r="N65" s="4" t="s">
        <v>3</v>
      </c>
      <c r="O65" s="4">
        <v>2</v>
      </c>
      <c r="P65" s="4"/>
      <c r="Q65" s="4"/>
      <c r="R65" s="4"/>
      <c r="S65" s="4"/>
      <c r="T65" s="4"/>
      <c r="U65" s="4"/>
      <c r="V65" s="4"/>
      <c r="W65" s="4"/>
    </row>
    <row r="66" spans="1:245">
      <c r="A66" s="4">
        <v>50</v>
      </c>
      <c r="B66" s="4">
        <v>0</v>
      </c>
      <c r="C66" s="4">
        <v>0</v>
      </c>
      <c r="D66" s="4">
        <v>1</v>
      </c>
      <c r="E66" s="4">
        <v>233</v>
      </c>
      <c r="F66" s="4">
        <f>ROUND(Source!BD41,O66)</f>
        <v>0</v>
      </c>
      <c r="G66" s="4" t="s">
        <v>112</v>
      </c>
      <c r="H66" s="4" t="s">
        <v>113</v>
      </c>
      <c r="I66" s="4"/>
      <c r="J66" s="4"/>
      <c r="K66" s="4">
        <v>233</v>
      </c>
      <c r="L66" s="4">
        <v>24</v>
      </c>
      <c r="M66" s="4">
        <v>3</v>
      </c>
      <c r="N66" s="4" t="s">
        <v>3</v>
      </c>
      <c r="O66" s="4">
        <v>2</v>
      </c>
      <c r="P66" s="4"/>
      <c r="Q66" s="4"/>
      <c r="R66" s="4"/>
      <c r="S66" s="4"/>
      <c r="T66" s="4"/>
      <c r="U66" s="4"/>
      <c r="V66" s="4"/>
      <c r="W66" s="4"/>
    </row>
    <row r="67" spans="1:245">
      <c r="A67" s="4">
        <v>50</v>
      </c>
      <c r="B67" s="4">
        <v>0</v>
      </c>
      <c r="C67" s="4">
        <v>0</v>
      </c>
      <c r="D67" s="4">
        <v>1</v>
      </c>
      <c r="E67" s="4">
        <v>210</v>
      </c>
      <c r="F67" s="4">
        <f>ROUND(Source!X41,O67)</f>
        <v>13188.37</v>
      </c>
      <c r="G67" s="4" t="s">
        <v>114</v>
      </c>
      <c r="H67" s="4" t="s">
        <v>115</v>
      </c>
      <c r="I67" s="4"/>
      <c r="J67" s="4"/>
      <c r="K67" s="4">
        <v>210</v>
      </c>
      <c r="L67" s="4">
        <v>25</v>
      </c>
      <c r="M67" s="4">
        <v>3</v>
      </c>
      <c r="N67" s="4" t="s">
        <v>3</v>
      </c>
      <c r="O67" s="4">
        <v>2</v>
      </c>
      <c r="P67" s="4"/>
      <c r="Q67" s="4"/>
      <c r="R67" s="4"/>
      <c r="S67" s="4"/>
      <c r="T67" s="4"/>
      <c r="U67" s="4"/>
      <c r="V67" s="4"/>
      <c r="W67" s="4"/>
    </row>
    <row r="68" spans="1:245">
      <c r="A68" s="4">
        <v>50</v>
      </c>
      <c r="B68" s="4">
        <v>0</v>
      </c>
      <c r="C68" s="4">
        <v>0</v>
      </c>
      <c r="D68" s="4">
        <v>1</v>
      </c>
      <c r="E68" s="4">
        <v>211</v>
      </c>
      <c r="F68" s="4">
        <f>ROUND(Source!Y41,O68)</f>
        <v>9317.49</v>
      </c>
      <c r="G68" s="4" t="s">
        <v>116</v>
      </c>
      <c r="H68" s="4" t="s">
        <v>117</v>
      </c>
      <c r="I68" s="4"/>
      <c r="J68" s="4"/>
      <c r="K68" s="4">
        <v>211</v>
      </c>
      <c r="L68" s="4">
        <v>26</v>
      </c>
      <c r="M68" s="4">
        <v>3</v>
      </c>
      <c r="N68" s="4" t="s">
        <v>3</v>
      </c>
      <c r="O68" s="4">
        <v>2</v>
      </c>
      <c r="P68" s="4"/>
      <c r="Q68" s="4"/>
      <c r="R68" s="4"/>
      <c r="S68" s="4"/>
      <c r="T68" s="4"/>
      <c r="U68" s="4"/>
      <c r="V68" s="4"/>
      <c r="W68" s="4"/>
    </row>
    <row r="69" spans="1:245">
      <c r="A69" s="4">
        <v>50</v>
      </c>
      <c r="B69" s="4">
        <v>0</v>
      </c>
      <c r="C69" s="4">
        <v>0</v>
      </c>
      <c r="D69" s="4">
        <v>1</v>
      </c>
      <c r="E69" s="4">
        <v>224</v>
      </c>
      <c r="F69" s="4">
        <f>ROUND(Source!AR41,O69)</f>
        <v>37136.04</v>
      </c>
      <c r="G69" s="4" t="s">
        <v>118</v>
      </c>
      <c r="H69" s="4" t="s">
        <v>119</v>
      </c>
      <c r="I69" s="4"/>
      <c r="J69" s="4"/>
      <c r="K69" s="4">
        <v>224</v>
      </c>
      <c r="L69" s="4">
        <v>27</v>
      </c>
      <c r="M69" s="4">
        <v>3</v>
      </c>
      <c r="N69" s="4" t="s">
        <v>3</v>
      </c>
      <c r="O69" s="4">
        <v>2</v>
      </c>
      <c r="P69" s="4"/>
      <c r="Q69" s="4"/>
      <c r="R69" s="4"/>
      <c r="S69" s="4"/>
      <c r="T69" s="4"/>
      <c r="U69" s="4"/>
      <c r="V69" s="4"/>
      <c r="W69" s="4"/>
    </row>
    <row r="71" spans="1:245">
      <c r="A71" s="1">
        <v>4</v>
      </c>
      <c r="B71" s="1">
        <v>1</v>
      </c>
      <c r="C71" s="1"/>
      <c r="D71" s="1">
        <f>ROW(A129)</f>
        <v>129</v>
      </c>
      <c r="E71" s="1"/>
      <c r="F71" s="1" t="s">
        <v>14</v>
      </c>
      <c r="G71" s="1" t="s">
        <v>98</v>
      </c>
      <c r="H71" s="1" t="s">
        <v>3</v>
      </c>
      <c r="I71" s="1">
        <v>0</v>
      </c>
      <c r="J71" s="1"/>
      <c r="K71" s="1">
        <v>0</v>
      </c>
      <c r="L71" s="1"/>
      <c r="M71" s="1" t="s">
        <v>3</v>
      </c>
      <c r="N71" s="1"/>
      <c r="O71" s="1"/>
      <c r="P71" s="1"/>
      <c r="Q71" s="1"/>
      <c r="R71" s="1"/>
      <c r="S71" s="1">
        <v>0</v>
      </c>
      <c r="T71" s="1"/>
      <c r="U71" s="1" t="s">
        <v>3</v>
      </c>
      <c r="V71" s="1">
        <v>0</v>
      </c>
      <c r="W71" s="1"/>
      <c r="X71" s="1"/>
      <c r="Y71" s="1"/>
      <c r="Z71" s="1"/>
      <c r="AA71" s="1"/>
      <c r="AB71" s="1" t="s">
        <v>3</v>
      </c>
      <c r="AC71" s="1" t="s">
        <v>3</v>
      </c>
      <c r="AD71" s="1" t="s">
        <v>3</v>
      </c>
      <c r="AE71" s="1" t="s">
        <v>3</v>
      </c>
      <c r="AF71" s="1" t="s">
        <v>3</v>
      </c>
      <c r="AG71" s="1" t="s">
        <v>3</v>
      </c>
      <c r="AH71" s="1"/>
      <c r="AI71" s="1"/>
      <c r="AJ71" s="1"/>
      <c r="AK71" s="1"/>
      <c r="AL71" s="1"/>
      <c r="AM71" s="1"/>
      <c r="AN71" s="1"/>
      <c r="AO71" s="1"/>
      <c r="AP71" s="1" t="s">
        <v>3</v>
      </c>
      <c r="AQ71" s="1" t="s">
        <v>3</v>
      </c>
      <c r="AR71" s="1" t="s">
        <v>3</v>
      </c>
      <c r="AS71" s="1"/>
      <c r="AT71" s="1"/>
      <c r="AU71" s="1"/>
      <c r="AV71" s="1"/>
      <c r="AW71" s="1"/>
      <c r="AX71" s="1"/>
      <c r="AY71" s="1"/>
      <c r="AZ71" s="1" t="s">
        <v>3</v>
      </c>
      <c r="BA71" s="1"/>
      <c r="BB71" s="1" t="s">
        <v>3</v>
      </c>
      <c r="BC71" s="1" t="s">
        <v>3</v>
      </c>
      <c r="BD71" s="1" t="s">
        <v>3</v>
      </c>
      <c r="BE71" s="1" t="s">
        <v>3</v>
      </c>
      <c r="BF71" s="1" t="s">
        <v>3</v>
      </c>
      <c r="BG71" s="1" t="s">
        <v>3</v>
      </c>
      <c r="BH71" s="1" t="s">
        <v>3</v>
      </c>
      <c r="BI71" s="1" t="s">
        <v>3</v>
      </c>
      <c r="BJ71" s="1" t="s">
        <v>3</v>
      </c>
      <c r="BK71" s="1" t="s">
        <v>3</v>
      </c>
      <c r="BL71" s="1" t="s">
        <v>3</v>
      </c>
      <c r="BM71" s="1" t="s">
        <v>3</v>
      </c>
      <c r="BN71" s="1" t="s">
        <v>3</v>
      </c>
      <c r="BO71" s="1" t="s">
        <v>3</v>
      </c>
      <c r="BP71" s="1" t="s">
        <v>3</v>
      </c>
      <c r="BQ71" s="1"/>
      <c r="BR71" s="1"/>
      <c r="BS71" s="1"/>
      <c r="BT71" s="1"/>
      <c r="BU71" s="1"/>
      <c r="BV71" s="1"/>
      <c r="BW71" s="1"/>
      <c r="BX71" s="1">
        <v>0</v>
      </c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>
        <v>0</v>
      </c>
    </row>
    <row r="73" spans="1:245">
      <c r="A73" s="2">
        <v>52</v>
      </c>
      <c r="B73" s="2">
        <f t="shared" ref="B73:G73" si="63">B129</f>
        <v>1</v>
      </c>
      <c r="C73" s="2">
        <f t="shared" si="63"/>
        <v>4</v>
      </c>
      <c r="D73" s="2">
        <f t="shared" si="63"/>
        <v>71</v>
      </c>
      <c r="E73" s="2">
        <f t="shared" si="63"/>
        <v>0</v>
      </c>
      <c r="F73" s="2" t="str">
        <f t="shared" si="63"/>
        <v>Новый раздел</v>
      </c>
      <c r="G73" s="2" t="str">
        <f t="shared" si="63"/>
        <v>Монтаж</v>
      </c>
      <c r="H73" s="2"/>
      <c r="I73" s="2"/>
      <c r="J73" s="2"/>
      <c r="K73" s="2"/>
      <c r="L73" s="2"/>
      <c r="M73" s="2"/>
      <c r="N73" s="2"/>
      <c r="O73" s="2">
        <f t="shared" ref="O73:AT73" si="64">O129</f>
        <v>349134.28</v>
      </c>
      <c r="P73" s="2">
        <f t="shared" si="64"/>
        <v>233963.38</v>
      </c>
      <c r="Q73" s="2">
        <f t="shared" si="64"/>
        <v>7506.09</v>
      </c>
      <c r="R73" s="2">
        <f t="shared" si="64"/>
        <v>3806.05</v>
      </c>
      <c r="S73" s="2">
        <f t="shared" si="64"/>
        <v>107664.81</v>
      </c>
      <c r="T73" s="2">
        <f t="shared" si="64"/>
        <v>0</v>
      </c>
      <c r="U73" s="2">
        <f t="shared" si="64"/>
        <v>363.27983799999998</v>
      </c>
      <c r="V73" s="2">
        <f t="shared" si="64"/>
        <v>10.940964999999998</v>
      </c>
      <c r="W73" s="2">
        <f t="shared" si="64"/>
        <v>1276.6300000000001</v>
      </c>
      <c r="X73" s="2">
        <f t="shared" si="64"/>
        <v>109045.88</v>
      </c>
      <c r="Y73" s="2">
        <f t="shared" si="64"/>
        <v>62318.47</v>
      </c>
      <c r="Z73" s="2">
        <f t="shared" si="64"/>
        <v>0</v>
      </c>
      <c r="AA73" s="2">
        <f t="shared" si="64"/>
        <v>0</v>
      </c>
      <c r="AB73" s="2">
        <f t="shared" si="64"/>
        <v>0</v>
      </c>
      <c r="AC73" s="2">
        <f t="shared" si="64"/>
        <v>0</v>
      </c>
      <c r="AD73" s="2">
        <f t="shared" si="64"/>
        <v>0</v>
      </c>
      <c r="AE73" s="2">
        <f t="shared" si="64"/>
        <v>0</v>
      </c>
      <c r="AF73" s="2">
        <f t="shared" si="64"/>
        <v>0</v>
      </c>
      <c r="AG73" s="2">
        <f t="shared" si="64"/>
        <v>0</v>
      </c>
      <c r="AH73" s="2">
        <f t="shared" si="64"/>
        <v>0</v>
      </c>
      <c r="AI73" s="2">
        <f t="shared" si="64"/>
        <v>0</v>
      </c>
      <c r="AJ73" s="2">
        <f t="shared" si="64"/>
        <v>0</v>
      </c>
      <c r="AK73" s="2">
        <f t="shared" si="64"/>
        <v>0</v>
      </c>
      <c r="AL73" s="2">
        <f t="shared" si="64"/>
        <v>0</v>
      </c>
      <c r="AM73" s="2">
        <f t="shared" si="64"/>
        <v>0</v>
      </c>
      <c r="AN73" s="2">
        <f t="shared" si="64"/>
        <v>0</v>
      </c>
      <c r="AO73" s="2">
        <f t="shared" si="64"/>
        <v>0</v>
      </c>
      <c r="AP73" s="2">
        <f t="shared" si="64"/>
        <v>0</v>
      </c>
      <c r="AQ73" s="2">
        <f t="shared" si="64"/>
        <v>0</v>
      </c>
      <c r="AR73" s="2">
        <f t="shared" si="64"/>
        <v>520498.63</v>
      </c>
      <c r="AS73" s="2">
        <f t="shared" si="64"/>
        <v>520498.63</v>
      </c>
      <c r="AT73" s="2">
        <f t="shared" si="64"/>
        <v>0</v>
      </c>
      <c r="AU73" s="2">
        <f t="shared" ref="AU73:BZ73" si="65">AU129</f>
        <v>0</v>
      </c>
      <c r="AV73" s="2">
        <f t="shared" si="65"/>
        <v>233963.38</v>
      </c>
      <c r="AW73" s="2">
        <f t="shared" si="65"/>
        <v>233963.38</v>
      </c>
      <c r="AX73" s="2">
        <f t="shared" si="65"/>
        <v>0</v>
      </c>
      <c r="AY73" s="2">
        <f t="shared" si="65"/>
        <v>233963.38</v>
      </c>
      <c r="AZ73" s="2">
        <f t="shared" si="65"/>
        <v>0</v>
      </c>
      <c r="BA73" s="2">
        <f t="shared" si="65"/>
        <v>0</v>
      </c>
      <c r="BB73" s="2">
        <f t="shared" si="65"/>
        <v>0</v>
      </c>
      <c r="BC73" s="2">
        <f t="shared" si="65"/>
        <v>0</v>
      </c>
      <c r="BD73" s="2">
        <f t="shared" si="65"/>
        <v>0</v>
      </c>
      <c r="BE73" s="2">
        <f t="shared" si="65"/>
        <v>0</v>
      </c>
      <c r="BF73" s="2">
        <f t="shared" si="65"/>
        <v>0</v>
      </c>
      <c r="BG73" s="2">
        <f t="shared" si="65"/>
        <v>0</v>
      </c>
      <c r="BH73" s="2">
        <f t="shared" si="65"/>
        <v>0</v>
      </c>
      <c r="BI73" s="2">
        <f t="shared" si="65"/>
        <v>0</v>
      </c>
      <c r="BJ73" s="2">
        <f t="shared" si="65"/>
        <v>0</v>
      </c>
      <c r="BK73" s="2">
        <f t="shared" si="65"/>
        <v>0</v>
      </c>
      <c r="BL73" s="2">
        <f t="shared" si="65"/>
        <v>0</v>
      </c>
      <c r="BM73" s="2">
        <f t="shared" si="65"/>
        <v>0</v>
      </c>
      <c r="BN73" s="2">
        <f t="shared" si="65"/>
        <v>0</v>
      </c>
      <c r="BO73" s="2">
        <f t="shared" si="65"/>
        <v>0</v>
      </c>
      <c r="BP73" s="2">
        <f t="shared" si="65"/>
        <v>0</v>
      </c>
      <c r="BQ73" s="2">
        <f t="shared" si="65"/>
        <v>0</v>
      </c>
      <c r="BR73" s="2">
        <f t="shared" si="65"/>
        <v>0</v>
      </c>
      <c r="BS73" s="2">
        <f t="shared" si="65"/>
        <v>0</v>
      </c>
      <c r="BT73" s="2">
        <f t="shared" si="65"/>
        <v>0</v>
      </c>
      <c r="BU73" s="2">
        <f t="shared" si="65"/>
        <v>0</v>
      </c>
      <c r="BV73" s="2">
        <f t="shared" si="65"/>
        <v>0</v>
      </c>
      <c r="BW73" s="2">
        <f t="shared" si="65"/>
        <v>0</v>
      </c>
      <c r="BX73" s="2">
        <f t="shared" si="65"/>
        <v>0</v>
      </c>
      <c r="BY73" s="2">
        <f t="shared" si="65"/>
        <v>0</v>
      </c>
      <c r="BZ73" s="2">
        <f t="shared" si="65"/>
        <v>0</v>
      </c>
      <c r="CA73" s="2">
        <f t="shared" ref="CA73:DF73" si="66">CA129</f>
        <v>0</v>
      </c>
      <c r="CB73" s="2">
        <f t="shared" si="66"/>
        <v>0</v>
      </c>
      <c r="CC73" s="2">
        <f t="shared" si="66"/>
        <v>0</v>
      </c>
      <c r="CD73" s="2">
        <f t="shared" si="66"/>
        <v>0</v>
      </c>
      <c r="CE73" s="2">
        <f t="shared" si="66"/>
        <v>0</v>
      </c>
      <c r="CF73" s="2">
        <f t="shared" si="66"/>
        <v>0</v>
      </c>
      <c r="CG73" s="2">
        <f t="shared" si="66"/>
        <v>0</v>
      </c>
      <c r="CH73" s="2">
        <f t="shared" si="66"/>
        <v>0</v>
      </c>
      <c r="CI73" s="2">
        <f t="shared" si="66"/>
        <v>0</v>
      </c>
      <c r="CJ73" s="2">
        <f t="shared" si="66"/>
        <v>0</v>
      </c>
      <c r="CK73" s="2">
        <f t="shared" si="66"/>
        <v>0</v>
      </c>
      <c r="CL73" s="2">
        <f t="shared" si="66"/>
        <v>0</v>
      </c>
      <c r="CM73" s="2">
        <f t="shared" si="66"/>
        <v>0</v>
      </c>
      <c r="CN73" s="2">
        <f t="shared" si="66"/>
        <v>0</v>
      </c>
      <c r="CO73" s="2">
        <f t="shared" si="66"/>
        <v>0</v>
      </c>
      <c r="CP73" s="2">
        <f t="shared" si="66"/>
        <v>0</v>
      </c>
      <c r="CQ73" s="2">
        <f t="shared" si="66"/>
        <v>0</v>
      </c>
      <c r="CR73" s="2">
        <f t="shared" si="66"/>
        <v>0</v>
      </c>
      <c r="CS73" s="2">
        <f t="shared" si="66"/>
        <v>0</v>
      </c>
      <c r="CT73" s="2">
        <f t="shared" si="66"/>
        <v>0</v>
      </c>
      <c r="CU73" s="2">
        <f t="shared" si="66"/>
        <v>0</v>
      </c>
      <c r="CV73" s="2">
        <f t="shared" si="66"/>
        <v>0</v>
      </c>
      <c r="CW73" s="2">
        <f t="shared" si="66"/>
        <v>0</v>
      </c>
      <c r="CX73" s="2">
        <f t="shared" si="66"/>
        <v>0</v>
      </c>
      <c r="CY73" s="2">
        <f t="shared" si="66"/>
        <v>0</v>
      </c>
      <c r="CZ73" s="2">
        <f t="shared" si="66"/>
        <v>0</v>
      </c>
      <c r="DA73" s="2">
        <f t="shared" si="66"/>
        <v>0</v>
      </c>
      <c r="DB73" s="2">
        <f t="shared" si="66"/>
        <v>0</v>
      </c>
      <c r="DC73" s="2">
        <f t="shared" si="66"/>
        <v>0</v>
      </c>
      <c r="DD73" s="2">
        <f t="shared" si="66"/>
        <v>0</v>
      </c>
      <c r="DE73" s="2">
        <f t="shared" si="66"/>
        <v>0</v>
      </c>
      <c r="DF73" s="2">
        <f t="shared" si="66"/>
        <v>0</v>
      </c>
      <c r="DG73" s="3">
        <f t="shared" ref="DG73:EL73" si="67">DG129</f>
        <v>0</v>
      </c>
      <c r="DH73" s="3">
        <f t="shared" si="67"/>
        <v>0</v>
      </c>
      <c r="DI73" s="3">
        <f t="shared" si="67"/>
        <v>0</v>
      </c>
      <c r="DJ73" s="3">
        <f t="shared" si="67"/>
        <v>0</v>
      </c>
      <c r="DK73" s="3">
        <f t="shared" si="67"/>
        <v>0</v>
      </c>
      <c r="DL73" s="3">
        <f t="shared" si="67"/>
        <v>0</v>
      </c>
      <c r="DM73" s="3">
        <f t="shared" si="67"/>
        <v>0</v>
      </c>
      <c r="DN73" s="3">
        <f t="shared" si="67"/>
        <v>0</v>
      </c>
      <c r="DO73" s="3">
        <f t="shared" si="67"/>
        <v>0</v>
      </c>
      <c r="DP73" s="3">
        <f t="shared" si="67"/>
        <v>0</v>
      </c>
      <c r="DQ73" s="3">
        <f t="shared" si="67"/>
        <v>0</v>
      </c>
      <c r="DR73" s="3">
        <f t="shared" si="67"/>
        <v>0</v>
      </c>
      <c r="DS73" s="3">
        <f t="shared" si="67"/>
        <v>0</v>
      </c>
      <c r="DT73" s="3">
        <f t="shared" si="67"/>
        <v>0</v>
      </c>
      <c r="DU73" s="3">
        <f t="shared" si="67"/>
        <v>0</v>
      </c>
      <c r="DV73" s="3">
        <f t="shared" si="67"/>
        <v>0</v>
      </c>
      <c r="DW73" s="3">
        <f t="shared" si="67"/>
        <v>0</v>
      </c>
      <c r="DX73" s="3">
        <f t="shared" si="67"/>
        <v>0</v>
      </c>
      <c r="DY73" s="3">
        <f t="shared" si="67"/>
        <v>0</v>
      </c>
      <c r="DZ73" s="3">
        <f t="shared" si="67"/>
        <v>0</v>
      </c>
      <c r="EA73" s="3">
        <f t="shared" si="67"/>
        <v>0</v>
      </c>
      <c r="EB73" s="3">
        <f t="shared" si="67"/>
        <v>0</v>
      </c>
      <c r="EC73" s="3">
        <f t="shared" si="67"/>
        <v>0</v>
      </c>
      <c r="ED73" s="3">
        <f t="shared" si="67"/>
        <v>0</v>
      </c>
      <c r="EE73" s="3">
        <f t="shared" si="67"/>
        <v>0</v>
      </c>
      <c r="EF73" s="3">
        <f t="shared" si="67"/>
        <v>0</v>
      </c>
      <c r="EG73" s="3">
        <f t="shared" si="67"/>
        <v>0</v>
      </c>
      <c r="EH73" s="3">
        <f t="shared" si="67"/>
        <v>0</v>
      </c>
      <c r="EI73" s="3">
        <f t="shared" si="67"/>
        <v>0</v>
      </c>
      <c r="EJ73" s="3">
        <f t="shared" si="67"/>
        <v>0</v>
      </c>
      <c r="EK73" s="3">
        <f t="shared" si="67"/>
        <v>0</v>
      </c>
      <c r="EL73" s="3">
        <f t="shared" si="67"/>
        <v>0</v>
      </c>
      <c r="EM73" s="3">
        <f t="shared" ref="EM73:FR73" si="68">EM129</f>
        <v>0</v>
      </c>
      <c r="EN73" s="3">
        <f t="shared" si="68"/>
        <v>0</v>
      </c>
      <c r="EO73" s="3">
        <f t="shared" si="68"/>
        <v>0</v>
      </c>
      <c r="EP73" s="3">
        <f t="shared" si="68"/>
        <v>0</v>
      </c>
      <c r="EQ73" s="3">
        <f t="shared" si="68"/>
        <v>0</v>
      </c>
      <c r="ER73" s="3">
        <f t="shared" si="68"/>
        <v>0</v>
      </c>
      <c r="ES73" s="3">
        <f t="shared" si="68"/>
        <v>0</v>
      </c>
      <c r="ET73" s="3">
        <f t="shared" si="68"/>
        <v>0</v>
      </c>
      <c r="EU73" s="3">
        <f t="shared" si="68"/>
        <v>0</v>
      </c>
      <c r="EV73" s="3">
        <f t="shared" si="68"/>
        <v>0</v>
      </c>
      <c r="EW73" s="3">
        <f t="shared" si="68"/>
        <v>0</v>
      </c>
      <c r="EX73" s="3">
        <f t="shared" si="68"/>
        <v>0</v>
      </c>
      <c r="EY73" s="3">
        <f t="shared" si="68"/>
        <v>0</v>
      </c>
      <c r="EZ73" s="3">
        <f t="shared" si="68"/>
        <v>0</v>
      </c>
      <c r="FA73" s="3">
        <f t="shared" si="68"/>
        <v>0</v>
      </c>
      <c r="FB73" s="3">
        <f t="shared" si="68"/>
        <v>0</v>
      </c>
      <c r="FC73" s="3">
        <f t="shared" si="68"/>
        <v>0</v>
      </c>
      <c r="FD73" s="3">
        <f t="shared" si="68"/>
        <v>0</v>
      </c>
      <c r="FE73" s="3">
        <f t="shared" si="68"/>
        <v>0</v>
      </c>
      <c r="FF73" s="3">
        <f t="shared" si="68"/>
        <v>0</v>
      </c>
      <c r="FG73" s="3">
        <f t="shared" si="68"/>
        <v>0</v>
      </c>
      <c r="FH73" s="3">
        <f t="shared" si="68"/>
        <v>0</v>
      </c>
      <c r="FI73" s="3">
        <f t="shared" si="68"/>
        <v>0</v>
      </c>
      <c r="FJ73" s="3">
        <f t="shared" si="68"/>
        <v>0</v>
      </c>
      <c r="FK73" s="3">
        <f t="shared" si="68"/>
        <v>0</v>
      </c>
      <c r="FL73" s="3">
        <f t="shared" si="68"/>
        <v>0</v>
      </c>
      <c r="FM73" s="3">
        <f t="shared" si="68"/>
        <v>0</v>
      </c>
      <c r="FN73" s="3">
        <f t="shared" si="68"/>
        <v>0</v>
      </c>
      <c r="FO73" s="3">
        <f t="shared" si="68"/>
        <v>0</v>
      </c>
      <c r="FP73" s="3">
        <f t="shared" si="68"/>
        <v>0</v>
      </c>
      <c r="FQ73" s="3">
        <f t="shared" si="68"/>
        <v>0</v>
      </c>
      <c r="FR73" s="3">
        <f t="shared" si="68"/>
        <v>0</v>
      </c>
      <c r="FS73" s="3">
        <f t="shared" ref="FS73:GX73" si="69">FS129</f>
        <v>0</v>
      </c>
      <c r="FT73" s="3">
        <f t="shared" si="69"/>
        <v>0</v>
      </c>
      <c r="FU73" s="3">
        <f t="shared" si="69"/>
        <v>0</v>
      </c>
      <c r="FV73" s="3">
        <f t="shared" si="69"/>
        <v>0</v>
      </c>
      <c r="FW73" s="3">
        <f t="shared" si="69"/>
        <v>0</v>
      </c>
      <c r="FX73" s="3">
        <f t="shared" si="69"/>
        <v>0</v>
      </c>
      <c r="FY73" s="3">
        <f t="shared" si="69"/>
        <v>0</v>
      </c>
      <c r="FZ73" s="3">
        <f t="shared" si="69"/>
        <v>0</v>
      </c>
      <c r="GA73" s="3">
        <f t="shared" si="69"/>
        <v>0</v>
      </c>
      <c r="GB73" s="3">
        <f t="shared" si="69"/>
        <v>0</v>
      </c>
      <c r="GC73" s="3">
        <f t="shared" si="69"/>
        <v>0</v>
      </c>
      <c r="GD73" s="3">
        <f t="shared" si="69"/>
        <v>0</v>
      </c>
      <c r="GE73" s="3">
        <f t="shared" si="69"/>
        <v>0</v>
      </c>
      <c r="GF73" s="3">
        <f t="shared" si="69"/>
        <v>0</v>
      </c>
      <c r="GG73" s="3">
        <f t="shared" si="69"/>
        <v>0</v>
      </c>
      <c r="GH73" s="3">
        <f t="shared" si="69"/>
        <v>0</v>
      </c>
      <c r="GI73" s="3">
        <f t="shared" si="69"/>
        <v>0</v>
      </c>
      <c r="GJ73" s="3">
        <f t="shared" si="69"/>
        <v>0</v>
      </c>
      <c r="GK73" s="3">
        <f t="shared" si="69"/>
        <v>0</v>
      </c>
      <c r="GL73" s="3">
        <f t="shared" si="69"/>
        <v>0</v>
      </c>
      <c r="GM73" s="3">
        <f t="shared" si="69"/>
        <v>0</v>
      </c>
      <c r="GN73" s="3">
        <f t="shared" si="69"/>
        <v>0</v>
      </c>
      <c r="GO73" s="3">
        <f t="shared" si="69"/>
        <v>0</v>
      </c>
      <c r="GP73" s="3">
        <f t="shared" si="69"/>
        <v>0</v>
      </c>
      <c r="GQ73" s="3">
        <f t="shared" si="69"/>
        <v>0</v>
      </c>
      <c r="GR73" s="3">
        <f t="shared" si="69"/>
        <v>0</v>
      </c>
      <c r="GS73" s="3">
        <f t="shared" si="69"/>
        <v>0</v>
      </c>
      <c r="GT73" s="3">
        <f t="shared" si="69"/>
        <v>0</v>
      </c>
      <c r="GU73" s="3">
        <f t="shared" si="69"/>
        <v>0</v>
      </c>
      <c r="GV73" s="3">
        <f t="shared" si="69"/>
        <v>0</v>
      </c>
      <c r="GW73" s="3">
        <f t="shared" si="69"/>
        <v>0</v>
      </c>
      <c r="GX73" s="3">
        <f t="shared" si="69"/>
        <v>0</v>
      </c>
    </row>
    <row r="75" spans="1:245">
      <c r="A75" s="1">
        <v>5</v>
      </c>
      <c r="B75" s="1">
        <v>1</v>
      </c>
      <c r="C75" s="1"/>
      <c r="D75" s="1">
        <f>ROW(A99)</f>
        <v>99</v>
      </c>
      <c r="E75" s="1"/>
      <c r="F75" s="1" t="s">
        <v>120</v>
      </c>
      <c r="G75" s="1" t="s">
        <v>121</v>
      </c>
      <c r="H75" s="1" t="s">
        <v>3</v>
      </c>
      <c r="I75" s="1">
        <v>0</v>
      </c>
      <c r="J75" s="1"/>
      <c r="K75" s="1">
        <v>0</v>
      </c>
      <c r="L75" s="1"/>
      <c r="M75" s="1" t="s">
        <v>3</v>
      </c>
      <c r="N75" s="1"/>
      <c r="O75" s="1"/>
      <c r="P75" s="1"/>
      <c r="Q75" s="1"/>
      <c r="R75" s="1"/>
      <c r="S75" s="1">
        <v>0</v>
      </c>
      <c r="T75" s="1"/>
      <c r="U75" s="1" t="s">
        <v>3</v>
      </c>
      <c r="V75" s="1">
        <v>0</v>
      </c>
      <c r="W75" s="1"/>
      <c r="X75" s="1"/>
      <c r="Y75" s="1"/>
      <c r="Z75" s="1"/>
      <c r="AA75" s="1"/>
      <c r="AB75" s="1" t="s">
        <v>3</v>
      </c>
      <c r="AC75" s="1" t="s">
        <v>3</v>
      </c>
      <c r="AD75" s="1" t="s">
        <v>3</v>
      </c>
      <c r="AE75" s="1" t="s">
        <v>3</v>
      </c>
      <c r="AF75" s="1" t="s">
        <v>3</v>
      </c>
      <c r="AG75" s="1" t="s">
        <v>3</v>
      </c>
      <c r="AH75" s="1"/>
      <c r="AI75" s="1"/>
      <c r="AJ75" s="1"/>
      <c r="AK75" s="1"/>
      <c r="AL75" s="1"/>
      <c r="AM75" s="1"/>
      <c r="AN75" s="1"/>
      <c r="AO75" s="1"/>
      <c r="AP75" s="1" t="s">
        <v>3</v>
      </c>
      <c r="AQ75" s="1" t="s">
        <v>3</v>
      </c>
      <c r="AR75" s="1" t="s">
        <v>3</v>
      </c>
      <c r="AS75" s="1"/>
      <c r="AT75" s="1"/>
      <c r="AU75" s="1"/>
      <c r="AV75" s="1"/>
      <c r="AW75" s="1"/>
      <c r="AX75" s="1"/>
      <c r="AY75" s="1"/>
      <c r="AZ75" s="1" t="s">
        <v>3</v>
      </c>
      <c r="BA75" s="1"/>
      <c r="BB75" s="1" t="s">
        <v>3</v>
      </c>
      <c r="BC75" s="1" t="s">
        <v>3</v>
      </c>
      <c r="BD75" s="1" t="s">
        <v>3</v>
      </c>
      <c r="BE75" s="1" t="s">
        <v>3</v>
      </c>
      <c r="BF75" s="1" t="s">
        <v>3</v>
      </c>
      <c r="BG75" s="1" t="s">
        <v>3</v>
      </c>
      <c r="BH75" s="1" t="s">
        <v>3</v>
      </c>
      <c r="BI75" s="1" t="s">
        <v>3</v>
      </c>
      <c r="BJ75" s="1" t="s">
        <v>3</v>
      </c>
      <c r="BK75" s="1" t="s">
        <v>3</v>
      </c>
      <c r="BL75" s="1" t="s">
        <v>3</v>
      </c>
      <c r="BM75" s="1" t="s">
        <v>3</v>
      </c>
      <c r="BN75" s="1" t="s">
        <v>3</v>
      </c>
      <c r="BO75" s="1" t="s">
        <v>3</v>
      </c>
      <c r="BP75" s="1" t="s">
        <v>3</v>
      </c>
      <c r="BQ75" s="1"/>
      <c r="BR75" s="1"/>
      <c r="BS75" s="1"/>
      <c r="BT75" s="1"/>
      <c r="BU75" s="1"/>
      <c r="BV75" s="1"/>
      <c r="BW75" s="1"/>
      <c r="BX75" s="1">
        <v>0</v>
      </c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>
        <v>0</v>
      </c>
    </row>
    <row r="77" spans="1:245">
      <c r="A77" s="2">
        <v>52</v>
      </c>
      <c r="B77" s="2">
        <f t="shared" ref="B77:G77" si="70">B99</f>
        <v>1</v>
      </c>
      <c r="C77" s="2">
        <f t="shared" si="70"/>
        <v>5</v>
      </c>
      <c r="D77" s="2">
        <f t="shared" si="70"/>
        <v>75</v>
      </c>
      <c r="E77" s="2">
        <f t="shared" si="70"/>
        <v>0</v>
      </c>
      <c r="F77" s="2" t="str">
        <f t="shared" si="70"/>
        <v>Новый подраздел</v>
      </c>
      <c r="G77" s="2" t="str">
        <f t="shared" si="70"/>
        <v>стены</v>
      </c>
      <c r="H77" s="2"/>
      <c r="I77" s="2"/>
      <c r="J77" s="2"/>
      <c r="K77" s="2"/>
      <c r="L77" s="2"/>
      <c r="M77" s="2"/>
      <c r="N77" s="2"/>
      <c r="O77" s="2">
        <f t="shared" ref="O77:AT77" si="71">O99</f>
        <v>349134.28</v>
      </c>
      <c r="P77" s="2">
        <f t="shared" si="71"/>
        <v>233963.38</v>
      </c>
      <c r="Q77" s="2">
        <f t="shared" si="71"/>
        <v>7506.09</v>
      </c>
      <c r="R77" s="2">
        <f t="shared" si="71"/>
        <v>3806.05</v>
      </c>
      <c r="S77" s="2">
        <f t="shared" si="71"/>
        <v>107664.81</v>
      </c>
      <c r="T77" s="2">
        <f t="shared" si="71"/>
        <v>0</v>
      </c>
      <c r="U77" s="2">
        <f t="shared" si="71"/>
        <v>363.27983799999998</v>
      </c>
      <c r="V77" s="2">
        <f t="shared" si="71"/>
        <v>10.940964999999998</v>
      </c>
      <c r="W77" s="2">
        <f t="shared" si="71"/>
        <v>1276.6300000000001</v>
      </c>
      <c r="X77" s="2">
        <f t="shared" si="71"/>
        <v>109045.88</v>
      </c>
      <c r="Y77" s="2">
        <f t="shared" si="71"/>
        <v>62318.47</v>
      </c>
      <c r="Z77" s="2">
        <f t="shared" si="71"/>
        <v>0</v>
      </c>
      <c r="AA77" s="2">
        <f t="shared" si="71"/>
        <v>0</v>
      </c>
      <c r="AB77" s="2">
        <f t="shared" si="71"/>
        <v>349134.28</v>
      </c>
      <c r="AC77" s="2">
        <f t="shared" si="71"/>
        <v>233963.38</v>
      </c>
      <c r="AD77" s="2">
        <f t="shared" si="71"/>
        <v>7506.09</v>
      </c>
      <c r="AE77" s="2">
        <f t="shared" si="71"/>
        <v>3806.05</v>
      </c>
      <c r="AF77" s="2">
        <f t="shared" si="71"/>
        <v>107664.81</v>
      </c>
      <c r="AG77" s="2">
        <f t="shared" si="71"/>
        <v>0</v>
      </c>
      <c r="AH77" s="2">
        <f t="shared" si="71"/>
        <v>363.27983799999998</v>
      </c>
      <c r="AI77" s="2">
        <f t="shared" si="71"/>
        <v>10.940964999999998</v>
      </c>
      <c r="AJ77" s="2">
        <f t="shared" si="71"/>
        <v>1276.6300000000001</v>
      </c>
      <c r="AK77" s="2">
        <f t="shared" si="71"/>
        <v>109045.88</v>
      </c>
      <c r="AL77" s="2">
        <f t="shared" si="71"/>
        <v>62318.47</v>
      </c>
      <c r="AM77" s="2">
        <f t="shared" si="71"/>
        <v>0</v>
      </c>
      <c r="AN77" s="2">
        <f t="shared" si="71"/>
        <v>0</v>
      </c>
      <c r="AO77" s="2">
        <f t="shared" si="71"/>
        <v>0</v>
      </c>
      <c r="AP77" s="2">
        <f t="shared" si="71"/>
        <v>0</v>
      </c>
      <c r="AQ77" s="2">
        <f t="shared" si="71"/>
        <v>0</v>
      </c>
      <c r="AR77" s="2">
        <f t="shared" si="71"/>
        <v>520498.63</v>
      </c>
      <c r="AS77" s="2">
        <f t="shared" si="71"/>
        <v>520498.63</v>
      </c>
      <c r="AT77" s="2">
        <f t="shared" si="71"/>
        <v>0</v>
      </c>
      <c r="AU77" s="2">
        <f t="shared" ref="AU77:BZ77" si="72">AU99</f>
        <v>0</v>
      </c>
      <c r="AV77" s="2">
        <f t="shared" si="72"/>
        <v>233963.38</v>
      </c>
      <c r="AW77" s="2">
        <f t="shared" si="72"/>
        <v>233963.38</v>
      </c>
      <c r="AX77" s="2">
        <f t="shared" si="72"/>
        <v>0</v>
      </c>
      <c r="AY77" s="2">
        <f t="shared" si="72"/>
        <v>233963.38</v>
      </c>
      <c r="AZ77" s="2">
        <f t="shared" si="72"/>
        <v>0</v>
      </c>
      <c r="BA77" s="2">
        <f t="shared" si="72"/>
        <v>0</v>
      </c>
      <c r="BB77" s="2">
        <f t="shared" si="72"/>
        <v>0</v>
      </c>
      <c r="BC77" s="2">
        <f t="shared" si="72"/>
        <v>0</v>
      </c>
      <c r="BD77" s="2">
        <f t="shared" si="72"/>
        <v>0</v>
      </c>
      <c r="BE77" s="2">
        <f t="shared" si="72"/>
        <v>0</v>
      </c>
      <c r="BF77" s="2">
        <f t="shared" si="72"/>
        <v>0</v>
      </c>
      <c r="BG77" s="2">
        <f t="shared" si="72"/>
        <v>0</v>
      </c>
      <c r="BH77" s="2">
        <f t="shared" si="72"/>
        <v>0</v>
      </c>
      <c r="BI77" s="2">
        <f t="shared" si="72"/>
        <v>0</v>
      </c>
      <c r="BJ77" s="2">
        <f t="shared" si="72"/>
        <v>0</v>
      </c>
      <c r="BK77" s="2">
        <f t="shared" si="72"/>
        <v>0</v>
      </c>
      <c r="BL77" s="2">
        <f t="shared" si="72"/>
        <v>0</v>
      </c>
      <c r="BM77" s="2">
        <f t="shared" si="72"/>
        <v>0</v>
      </c>
      <c r="BN77" s="2">
        <f t="shared" si="72"/>
        <v>0</v>
      </c>
      <c r="BO77" s="2">
        <f t="shared" si="72"/>
        <v>0</v>
      </c>
      <c r="BP77" s="2">
        <f t="shared" si="72"/>
        <v>0</v>
      </c>
      <c r="BQ77" s="2">
        <f t="shared" si="72"/>
        <v>0</v>
      </c>
      <c r="BR77" s="2">
        <f t="shared" si="72"/>
        <v>0</v>
      </c>
      <c r="BS77" s="2">
        <f t="shared" si="72"/>
        <v>0</v>
      </c>
      <c r="BT77" s="2">
        <f t="shared" si="72"/>
        <v>0</v>
      </c>
      <c r="BU77" s="2">
        <f t="shared" si="72"/>
        <v>0</v>
      </c>
      <c r="BV77" s="2">
        <f t="shared" si="72"/>
        <v>0</v>
      </c>
      <c r="BW77" s="2">
        <f t="shared" si="72"/>
        <v>0</v>
      </c>
      <c r="BX77" s="2">
        <f t="shared" si="72"/>
        <v>0</v>
      </c>
      <c r="BY77" s="2">
        <f t="shared" si="72"/>
        <v>0</v>
      </c>
      <c r="BZ77" s="2">
        <f t="shared" si="72"/>
        <v>0</v>
      </c>
      <c r="CA77" s="2">
        <f t="shared" ref="CA77:DF77" si="73">CA99</f>
        <v>520498.63</v>
      </c>
      <c r="CB77" s="2">
        <f t="shared" si="73"/>
        <v>520498.63</v>
      </c>
      <c r="CC77" s="2">
        <f t="shared" si="73"/>
        <v>0</v>
      </c>
      <c r="CD77" s="2">
        <f t="shared" si="73"/>
        <v>0</v>
      </c>
      <c r="CE77" s="2">
        <f t="shared" si="73"/>
        <v>233963.38</v>
      </c>
      <c r="CF77" s="2">
        <f t="shared" si="73"/>
        <v>233963.38</v>
      </c>
      <c r="CG77" s="2">
        <f t="shared" si="73"/>
        <v>0</v>
      </c>
      <c r="CH77" s="2">
        <f t="shared" si="73"/>
        <v>233963.38</v>
      </c>
      <c r="CI77" s="2">
        <f t="shared" si="73"/>
        <v>0</v>
      </c>
      <c r="CJ77" s="2">
        <f t="shared" si="73"/>
        <v>0</v>
      </c>
      <c r="CK77" s="2">
        <f t="shared" si="73"/>
        <v>0</v>
      </c>
      <c r="CL77" s="2">
        <f t="shared" si="73"/>
        <v>0</v>
      </c>
      <c r="CM77" s="2">
        <f t="shared" si="73"/>
        <v>0</v>
      </c>
      <c r="CN77" s="2">
        <f t="shared" si="73"/>
        <v>0</v>
      </c>
      <c r="CO77" s="2">
        <f t="shared" si="73"/>
        <v>0</v>
      </c>
      <c r="CP77" s="2">
        <f t="shared" si="73"/>
        <v>0</v>
      </c>
      <c r="CQ77" s="2">
        <f t="shared" si="73"/>
        <v>0</v>
      </c>
      <c r="CR77" s="2">
        <f t="shared" si="73"/>
        <v>0</v>
      </c>
      <c r="CS77" s="2">
        <f t="shared" si="73"/>
        <v>0</v>
      </c>
      <c r="CT77" s="2">
        <f t="shared" si="73"/>
        <v>0</v>
      </c>
      <c r="CU77" s="2">
        <f t="shared" si="73"/>
        <v>0</v>
      </c>
      <c r="CV77" s="2">
        <f t="shared" si="73"/>
        <v>0</v>
      </c>
      <c r="CW77" s="2">
        <f t="shared" si="73"/>
        <v>0</v>
      </c>
      <c r="CX77" s="2">
        <f t="shared" si="73"/>
        <v>0</v>
      </c>
      <c r="CY77" s="2">
        <f t="shared" si="73"/>
        <v>0</v>
      </c>
      <c r="CZ77" s="2">
        <f t="shared" si="73"/>
        <v>0</v>
      </c>
      <c r="DA77" s="2">
        <f t="shared" si="73"/>
        <v>0</v>
      </c>
      <c r="DB77" s="2">
        <f t="shared" si="73"/>
        <v>0</v>
      </c>
      <c r="DC77" s="2">
        <f t="shared" si="73"/>
        <v>0</v>
      </c>
      <c r="DD77" s="2">
        <f t="shared" si="73"/>
        <v>0</v>
      </c>
      <c r="DE77" s="2">
        <f t="shared" si="73"/>
        <v>0</v>
      </c>
      <c r="DF77" s="2">
        <f t="shared" si="73"/>
        <v>0</v>
      </c>
      <c r="DG77" s="3">
        <f t="shared" ref="DG77:EL77" si="74">DG99</f>
        <v>0</v>
      </c>
      <c r="DH77" s="3">
        <f t="shared" si="74"/>
        <v>0</v>
      </c>
      <c r="DI77" s="3">
        <f t="shared" si="74"/>
        <v>0</v>
      </c>
      <c r="DJ77" s="3">
        <f t="shared" si="74"/>
        <v>0</v>
      </c>
      <c r="DK77" s="3">
        <f t="shared" si="74"/>
        <v>0</v>
      </c>
      <c r="DL77" s="3">
        <f t="shared" si="74"/>
        <v>0</v>
      </c>
      <c r="DM77" s="3">
        <f t="shared" si="74"/>
        <v>0</v>
      </c>
      <c r="DN77" s="3">
        <f t="shared" si="74"/>
        <v>0</v>
      </c>
      <c r="DO77" s="3">
        <f t="shared" si="74"/>
        <v>0</v>
      </c>
      <c r="DP77" s="3">
        <f t="shared" si="74"/>
        <v>0</v>
      </c>
      <c r="DQ77" s="3">
        <f t="shared" si="74"/>
        <v>0</v>
      </c>
      <c r="DR77" s="3">
        <f t="shared" si="74"/>
        <v>0</v>
      </c>
      <c r="DS77" s="3">
        <f t="shared" si="74"/>
        <v>0</v>
      </c>
      <c r="DT77" s="3">
        <f t="shared" si="74"/>
        <v>0</v>
      </c>
      <c r="DU77" s="3">
        <f t="shared" si="74"/>
        <v>0</v>
      </c>
      <c r="DV77" s="3">
        <f t="shared" si="74"/>
        <v>0</v>
      </c>
      <c r="DW77" s="3">
        <f t="shared" si="74"/>
        <v>0</v>
      </c>
      <c r="DX77" s="3">
        <f t="shared" si="74"/>
        <v>0</v>
      </c>
      <c r="DY77" s="3">
        <f t="shared" si="74"/>
        <v>0</v>
      </c>
      <c r="DZ77" s="3">
        <f t="shared" si="74"/>
        <v>0</v>
      </c>
      <c r="EA77" s="3">
        <f t="shared" si="74"/>
        <v>0</v>
      </c>
      <c r="EB77" s="3">
        <f t="shared" si="74"/>
        <v>0</v>
      </c>
      <c r="EC77" s="3">
        <f t="shared" si="74"/>
        <v>0</v>
      </c>
      <c r="ED77" s="3">
        <f t="shared" si="74"/>
        <v>0</v>
      </c>
      <c r="EE77" s="3">
        <f t="shared" si="74"/>
        <v>0</v>
      </c>
      <c r="EF77" s="3">
        <f t="shared" si="74"/>
        <v>0</v>
      </c>
      <c r="EG77" s="3">
        <f t="shared" si="74"/>
        <v>0</v>
      </c>
      <c r="EH77" s="3">
        <f t="shared" si="74"/>
        <v>0</v>
      </c>
      <c r="EI77" s="3">
        <f t="shared" si="74"/>
        <v>0</v>
      </c>
      <c r="EJ77" s="3">
        <f t="shared" si="74"/>
        <v>0</v>
      </c>
      <c r="EK77" s="3">
        <f t="shared" si="74"/>
        <v>0</v>
      </c>
      <c r="EL77" s="3">
        <f t="shared" si="74"/>
        <v>0</v>
      </c>
      <c r="EM77" s="3">
        <f t="shared" ref="EM77:FR77" si="75">EM99</f>
        <v>0</v>
      </c>
      <c r="EN77" s="3">
        <f t="shared" si="75"/>
        <v>0</v>
      </c>
      <c r="EO77" s="3">
        <f t="shared" si="75"/>
        <v>0</v>
      </c>
      <c r="EP77" s="3">
        <f t="shared" si="75"/>
        <v>0</v>
      </c>
      <c r="EQ77" s="3">
        <f t="shared" si="75"/>
        <v>0</v>
      </c>
      <c r="ER77" s="3">
        <f t="shared" si="75"/>
        <v>0</v>
      </c>
      <c r="ES77" s="3">
        <f t="shared" si="75"/>
        <v>0</v>
      </c>
      <c r="ET77" s="3">
        <f t="shared" si="75"/>
        <v>0</v>
      </c>
      <c r="EU77" s="3">
        <f t="shared" si="75"/>
        <v>0</v>
      </c>
      <c r="EV77" s="3">
        <f t="shared" si="75"/>
        <v>0</v>
      </c>
      <c r="EW77" s="3">
        <f t="shared" si="75"/>
        <v>0</v>
      </c>
      <c r="EX77" s="3">
        <f t="shared" si="75"/>
        <v>0</v>
      </c>
      <c r="EY77" s="3">
        <f t="shared" si="75"/>
        <v>0</v>
      </c>
      <c r="EZ77" s="3">
        <f t="shared" si="75"/>
        <v>0</v>
      </c>
      <c r="FA77" s="3">
        <f t="shared" si="75"/>
        <v>0</v>
      </c>
      <c r="FB77" s="3">
        <f t="shared" si="75"/>
        <v>0</v>
      </c>
      <c r="FC77" s="3">
        <f t="shared" si="75"/>
        <v>0</v>
      </c>
      <c r="FD77" s="3">
        <f t="shared" si="75"/>
        <v>0</v>
      </c>
      <c r="FE77" s="3">
        <f t="shared" si="75"/>
        <v>0</v>
      </c>
      <c r="FF77" s="3">
        <f t="shared" si="75"/>
        <v>0</v>
      </c>
      <c r="FG77" s="3">
        <f t="shared" si="75"/>
        <v>0</v>
      </c>
      <c r="FH77" s="3">
        <f t="shared" si="75"/>
        <v>0</v>
      </c>
      <c r="FI77" s="3">
        <f t="shared" si="75"/>
        <v>0</v>
      </c>
      <c r="FJ77" s="3">
        <f t="shared" si="75"/>
        <v>0</v>
      </c>
      <c r="FK77" s="3">
        <f t="shared" si="75"/>
        <v>0</v>
      </c>
      <c r="FL77" s="3">
        <f t="shared" si="75"/>
        <v>0</v>
      </c>
      <c r="FM77" s="3">
        <f t="shared" si="75"/>
        <v>0</v>
      </c>
      <c r="FN77" s="3">
        <f t="shared" si="75"/>
        <v>0</v>
      </c>
      <c r="FO77" s="3">
        <f t="shared" si="75"/>
        <v>0</v>
      </c>
      <c r="FP77" s="3">
        <f t="shared" si="75"/>
        <v>0</v>
      </c>
      <c r="FQ77" s="3">
        <f t="shared" si="75"/>
        <v>0</v>
      </c>
      <c r="FR77" s="3">
        <f t="shared" si="75"/>
        <v>0</v>
      </c>
      <c r="FS77" s="3">
        <f t="shared" ref="FS77:GX77" si="76">FS99</f>
        <v>0</v>
      </c>
      <c r="FT77" s="3">
        <f t="shared" si="76"/>
        <v>0</v>
      </c>
      <c r="FU77" s="3">
        <f t="shared" si="76"/>
        <v>0</v>
      </c>
      <c r="FV77" s="3">
        <f t="shared" si="76"/>
        <v>0</v>
      </c>
      <c r="FW77" s="3">
        <f t="shared" si="76"/>
        <v>0</v>
      </c>
      <c r="FX77" s="3">
        <f t="shared" si="76"/>
        <v>0</v>
      </c>
      <c r="FY77" s="3">
        <f t="shared" si="76"/>
        <v>0</v>
      </c>
      <c r="FZ77" s="3">
        <f t="shared" si="76"/>
        <v>0</v>
      </c>
      <c r="GA77" s="3">
        <f t="shared" si="76"/>
        <v>0</v>
      </c>
      <c r="GB77" s="3">
        <f t="shared" si="76"/>
        <v>0</v>
      </c>
      <c r="GC77" s="3">
        <f t="shared" si="76"/>
        <v>0</v>
      </c>
      <c r="GD77" s="3">
        <f t="shared" si="76"/>
        <v>0</v>
      </c>
      <c r="GE77" s="3">
        <f t="shared" si="76"/>
        <v>0</v>
      </c>
      <c r="GF77" s="3">
        <f t="shared" si="76"/>
        <v>0</v>
      </c>
      <c r="GG77" s="3">
        <f t="shared" si="76"/>
        <v>0</v>
      </c>
      <c r="GH77" s="3">
        <f t="shared" si="76"/>
        <v>0</v>
      </c>
      <c r="GI77" s="3">
        <f t="shared" si="76"/>
        <v>0</v>
      </c>
      <c r="GJ77" s="3">
        <f t="shared" si="76"/>
        <v>0</v>
      </c>
      <c r="GK77" s="3">
        <f t="shared" si="76"/>
        <v>0</v>
      </c>
      <c r="GL77" s="3">
        <f t="shared" si="76"/>
        <v>0</v>
      </c>
      <c r="GM77" s="3">
        <f t="shared" si="76"/>
        <v>0</v>
      </c>
      <c r="GN77" s="3">
        <f t="shared" si="76"/>
        <v>0</v>
      </c>
      <c r="GO77" s="3">
        <f t="shared" si="76"/>
        <v>0</v>
      </c>
      <c r="GP77" s="3">
        <f t="shared" si="76"/>
        <v>0</v>
      </c>
      <c r="GQ77" s="3">
        <f t="shared" si="76"/>
        <v>0</v>
      </c>
      <c r="GR77" s="3">
        <f t="shared" si="76"/>
        <v>0</v>
      </c>
      <c r="GS77" s="3">
        <f t="shared" si="76"/>
        <v>0</v>
      </c>
      <c r="GT77" s="3">
        <f t="shared" si="76"/>
        <v>0</v>
      </c>
      <c r="GU77" s="3">
        <f t="shared" si="76"/>
        <v>0</v>
      </c>
      <c r="GV77" s="3">
        <f t="shared" si="76"/>
        <v>0</v>
      </c>
      <c r="GW77" s="3">
        <f t="shared" si="76"/>
        <v>0</v>
      </c>
      <c r="GX77" s="3">
        <f t="shared" si="76"/>
        <v>0</v>
      </c>
    </row>
    <row r="79" spans="1:245">
      <c r="A79">
        <v>17</v>
      </c>
      <c r="B79">
        <v>1</v>
      </c>
      <c r="C79">
        <f>ROW(SmtRes!A20)</f>
        <v>20</v>
      </c>
      <c r="D79">
        <f>ROW(EtalonRes!A19)</f>
        <v>19</v>
      </c>
      <c r="E79" t="s">
        <v>29</v>
      </c>
      <c r="F79" t="s">
        <v>122</v>
      </c>
      <c r="G79" t="s">
        <v>123</v>
      </c>
      <c r="H79" t="s">
        <v>124</v>
      </c>
      <c r="I79">
        <f>ROUND(128.9/100,9)</f>
        <v>1.2889999999999999</v>
      </c>
      <c r="J79">
        <v>0</v>
      </c>
      <c r="O79">
        <f t="shared" ref="O79:O84" si="77">ROUND(CP79,2)</f>
        <v>32761.22</v>
      </c>
      <c r="P79">
        <f t="shared" ref="P79:P84" si="78">ROUND(CQ79*I79,2)</f>
        <v>1122.08</v>
      </c>
      <c r="Q79">
        <f t="shared" ref="Q79:Q84" si="79">ROUND(CR79*I79,2)</f>
        <v>953.74</v>
      </c>
      <c r="R79">
        <f t="shared" ref="R79:R84" si="80">ROUND(CS79*I79,2)</f>
        <v>881.42</v>
      </c>
      <c r="S79">
        <f t="shared" ref="S79:S84" si="81">ROUND(CT79*I79,2)</f>
        <v>30685.4</v>
      </c>
      <c r="T79">
        <f t="shared" ref="T79:T84" si="82">ROUND(CU79*I79,2)</f>
        <v>0</v>
      </c>
      <c r="U79">
        <f t="shared" ref="U79:U84" si="83">CV79*I79</f>
        <v>95.128199999999993</v>
      </c>
      <c r="V79">
        <f t="shared" ref="V79:V84" si="84">CW79*I79</f>
        <v>2.4490999999999996</v>
      </c>
      <c r="W79">
        <f t="shared" ref="W79:W84" si="85">ROUND(CX79*I79,2)</f>
        <v>0</v>
      </c>
      <c r="X79">
        <f t="shared" ref="X79:Y84" si="86">ROUND(CY79,2)</f>
        <v>24937.79</v>
      </c>
      <c r="Y79">
        <f t="shared" si="86"/>
        <v>15783.41</v>
      </c>
      <c r="AA79">
        <v>35841400</v>
      </c>
      <c r="AB79">
        <f t="shared" ref="AB79:AB84" si="87">ROUND((AC79+AD79+AF79),6)</f>
        <v>867.07</v>
      </c>
      <c r="AC79">
        <f t="shared" ref="AC79:AC84" si="88">ROUND((ES79),6)</f>
        <v>114.54</v>
      </c>
      <c r="AD79">
        <f>ROUND((((ET79)-(EU79))+AE79),6)</f>
        <v>32.24</v>
      </c>
      <c r="AE79">
        <f t="shared" ref="AE79:AF82" si="89">ROUND((EU79),6)</f>
        <v>20.69</v>
      </c>
      <c r="AF79">
        <f t="shared" si="89"/>
        <v>720.29</v>
      </c>
      <c r="AG79">
        <f t="shared" ref="AG79:AG84" si="90">ROUND((AP79),6)</f>
        <v>0</v>
      </c>
      <c r="AH79">
        <f t="shared" ref="AH79:AI82" si="91">(EW79)</f>
        <v>73.8</v>
      </c>
      <c r="AI79">
        <f t="shared" si="91"/>
        <v>1.9</v>
      </c>
      <c r="AJ79">
        <f t="shared" ref="AJ79:AJ84" si="92">(AS79)</f>
        <v>0</v>
      </c>
      <c r="AK79">
        <v>867.07</v>
      </c>
      <c r="AL79">
        <v>114.54</v>
      </c>
      <c r="AM79">
        <v>32.24</v>
      </c>
      <c r="AN79">
        <v>20.69</v>
      </c>
      <c r="AO79">
        <v>720.29</v>
      </c>
      <c r="AP79">
        <v>0</v>
      </c>
      <c r="AQ79">
        <v>73.8</v>
      </c>
      <c r="AR79">
        <v>1.9</v>
      </c>
      <c r="AS79">
        <v>0</v>
      </c>
      <c r="AT79">
        <v>79</v>
      </c>
      <c r="AU79">
        <v>50</v>
      </c>
      <c r="AV79">
        <v>1</v>
      </c>
      <c r="AW79">
        <v>1</v>
      </c>
      <c r="AZ79">
        <v>1</v>
      </c>
      <c r="BA79">
        <v>33.049999999999997</v>
      </c>
      <c r="BB79">
        <v>22.95</v>
      </c>
      <c r="BC79">
        <v>7.6</v>
      </c>
      <c r="BD79" t="s">
        <v>3</v>
      </c>
      <c r="BE79" t="s">
        <v>3</v>
      </c>
      <c r="BF79" t="s">
        <v>3</v>
      </c>
      <c r="BG79" t="s">
        <v>3</v>
      </c>
      <c r="BH79">
        <v>0</v>
      </c>
      <c r="BI79">
        <v>1</v>
      </c>
      <c r="BJ79" t="s">
        <v>125</v>
      </c>
      <c r="BM79">
        <v>61001</v>
      </c>
      <c r="BN79">
        <v>0</v>
      </c>
      <c r="BO79" t="s">
        <v>122</v>
      </c>
      <c r="BP79">
        <v>1</v>
      </c>
      <c r="BQ79">
        <v>6</v>
      </c>
      <c r="BR79">
        <v>0</v>
      </c>
      <c r="BS79">
        <v>33.049999999999997</v>
      </c>
      <c r="BT79">
        <v>1</v>
      </c>
      <c r="BU79">
        <v>1</v>
      </c>
      <c r="BV79">
        <v>1</v>
      </c>
      <c r="BW79">
        <v>1</v>
      </c>
      <c r="BX79">
        <v>1</v>
      </c>
      <c r="BY79" t="s">
        <v>3</v>
      </c>
      <c r="BZ79">
        <v>79</v>
      </c>
      <c r="CA79">
        <v>50</v>
      </c>
      <c r="CE79">
        <v>0</v>
      </c>
      <c r="CF79">
        <v>0</v>
      </c>
      <c r="CG79">
        <v>0</v>
      </c>
      <c r="CM79">
        <v>0</v>
      </c>
      <c r="CN79" t="s">
        <v>3</v>
      </c>
      <c r="CO79">
        <v>0</v>
      </c>
      <c r="CP79">
        <f t="shared" ref="CP79:CP84" si="93">(P79+Q79+S79)</f>
        <v>32761.22</v>
      </c>
      <c r="CQ79">
        <f t="shared" ref="CQ79:CQ84" si="94">AC79*BC79</f>
        <v>870.50400000000002</v>
      </c>
      <c r="CR79">
        <f t="shared" ref="CR79:CR84" si="95">AD79*BB79</f>
        <v>739.90800000000002</v>
      </c>
      <c r="CS79">
        <f t="shared" ref="CS79:CS84" si="96">AE79*BS79</f>
        <v>683.80449999999996</v>
      </c>
      <c r="CT79">
        <f t="shared" ref="CT79:CT84" si="97">AF79*BA79</f>
        <v>23805.584499999997</v>
      </c>
      <c r="CU79">
        <f t="shared" ref="CU79:CX84" si="98">AG79</f>
        <v>0</v>
      </c>
      <c r="CV79">
        <f t="shared" si="98"/>
        <v>73.8</v>
      </c>
      <c r="CW79">
        <f t="shared" si="98"/>
        <v>1.9</v>
      </c>
      <c r="CX79">
        <f t="shared" si="98"/>
        <v>0</v>
      </c>
      <c r="CY79">
        <f t="shared" ref="CY79:CY84" si="99">(((S79+R79)*AT79)/100)</f>
        <v>24937.787799999998</v>
      </c>
      <c r="CZ79">
        <f t="shared" ref="CZ79:CZ84" si="100">(((S79+R79)*AU79)/100)</f>
        <v>15783.41</v>
      </c>
      <c r="DC79" t="s">
        <v>3</v>
      </c>
      <c r="DD79" t="s">
        <v>3</v>
      </c>
      <c r="DE79" t="s">
        <v>3</v>
      </c>
      <c r="DF79" t="s">
        <v>3</v>
      </c>
      <c r="DG79" t="s">
        <v>3</v>
      </c>
      <c r="DH79" t="s">
        <v>3</v>
      </c>
      <c r="DI79" t="s">
        <v>3</v>
      </c>
      <c r="DJ79" t="s">
        <v>3</v>
      </c>
      <c r="DK79" t="s">
        <v>3</v>
      </c>
      <c r="DL79" t="s">
        <v>3</v>
      </c>
      <c r="DM79" t="s">
        <v>3</v>
      </c>
      <c r="DN79">
        <v>0</v>
      </c>
      <c r="DO79">
        <v>0</v>
      </c>
      <c r="DP79">
        <v>1</v>
      </c>
      <c r="DQ79">
        <v>1</v>
      </c>
      <c r="DU79">
        <v>1013</v>
      </c>
      <c r="DV79" t="s">
        <v>124</v>
      </c>
      <c r="DW79" t="s">
        <v>124</v>
      </c>
      <c r="DX79">
        <v>1</v>
      </c>
      <c r="DZ79" t="s">
        <v>3</v>
      </c>
      <c r="EA79" t="s">
        <v>3</v>
      </c>
      <c r="EB79" t="s">
        <v>3</v>
      </c>
      <c r="EC79" t="s">
        <v>3</v>
      </c>
      <c r="EE79">
        <v>35526162</v>
      </c>
      <c r="EF79">
        <v>6</v>
      </c>
      <c r="EG79" t="s">
        <v>21</v>
      </c>
      <c r="EH79">
        <v>0</v>
      </c>
      <c r="EI79" t="s">
        <v>3</v>
      </c>
      <c r="EJ79">
        <v>1</v>
      </c>
      <c r="EK79">
        <v>61001</v>
      </c>
      <c r="EL79" t="s">
        <v>126</v>
      </c>
      <c r="EM79" t="s">
        <v>127</v>
      </c>
      <c r="EO79" t="s">
        <v>3</v>
      </c>
      <c r="EQ79">
        <v>0</v>
      </c>
      <c r="ER79">
        <v>867.07</v>
      </c>
      <c r="ES79">
        <v>114.54</v>
      </c>
      <c r="ET79">
        <v>32.24</v>
      </c>
      <c r="EU79">
        <v>20.69</v>
      </c>
      <c r="EV79">
        <v>720.29</v>
      </c>
      <c r="EW79">
        <v>73.8</v>
      </c>
      <c r="EX79">
        <v>1.9</v>
      </c>
      <c r="EY79">
        <v>0</v>
      </c>
      <c r="FQ79">
        <v>0</v>
      </c>
      <c r="FR79">
        <f t="shared" ref="FR79:FR84" si="101">ROUND(IF(AND(BH79=3,BI79=3),P79,0),2)</f>
        <v>0</v>
      </c>
      <c r="FS79">
        <v>0</v>
      </c>
      <c r="FX79">
        <v>79</v>
      </c>
      <c r="FY79">
        <v>50</v>
      </c>
      <c r="GA79" t="s">
        <v>3</v>
      </c>
      <c r="GD79">
        <v>1</v>
      </c>
      <c r="GF79">
        <v>-1146504129</v>
      </c>
      <c r="GG79">
        <v>2</v>
      </c>
      <c r="GH79">
        <v>1</v>
      </c>
      <c r="GI79">
        <v>2</v>
      </c>
      <c r="GJ79">
        <v>0</v>
      </c>
      <c r="GK79">
        <v>0</v>
      </c>
      <c r="GL79">
        <f t="shared" ref="GL79:GL84" si="102">ROUND(IF(AND(BH79=3,BI79=3,FS79&lt;&gt;0),P79,0),2)</f>
        <v>0</v>
      </c>
      <c r="GM79">
        <f t="shared" ref="GM79:GM84" si="103">ROUND(O79+X79+Y79,2)+GX79</f>
        <v>73482.42</v>
      </c>
      <c r="GN79">
        <f t="shared" ref="GN79:GN84" si="104">IF(OR(BI79=0,BI79=1),ROUND(O79+X79+Y79,2),0)</f>
        <v>73482.42</v>
      </c>
      <c r="GO79">
        <f t="shared" ref="GO79:GO84" si="105">IF(BI79=2,ROUND(O79+X79+Y79,2),0)</f>
        <v>0</v>
      </c>
      <c r="GP79">
        <f t="shared" ref="GP79:GP84" si="106">IF(BI79=4,ROUND(O79+X79+Y79,2)+GX79,0)</f>
        <v>0</v>
      </c>
      <c r="GR79">
        <v>0</v>
      </c>
      <c r="GS79">
        <v>3</v>
      </c>
      <c r="GT79">
        <v>0</v>
      </c>
      <c r="GU79" t="s">
        <v>3</v>
      </c>
      <c r="GV79">
        <f t="shared" ref="GV79:GV84" si="107">ROUND((GT79),6)</f>
        <v>0</v>
      </c>
      <c r="GW79">
        <v>1</v>
      </c>
      <c r="GX79">
        <f t="shared" ref="GX79:GX84" si="108">ROUND(HC79*I79,2)</f>
        <v>0</v>
      </c>
      <c r="HA79">
        <v>0</v>
      </c>
      <c r="HB79">
        <v>0</v>
      </c>
      <c r="HC79">
        <f t="shared" ref="HC79:HC84" si="109">GV79*GW79</f>
        <v>0</v>
      </c>
      <c r="HE79" t="s">
        <v>3</v>
      </c>
      <c r="HF79" t="s">
        <v>3</v>
      </c>
      <c r="IK79">
        <v>0</v>
      </c>
    </row>
    <row r="80" spans="1:245">
      <c r="A80">
        <v>18</v>
      </c>
      <c r="B80">
        <v>1</v>
      </c>
      <c r="C80">
        <v>19</v>
      </c>
      <c r="E80" t="s">
        <v>128</v>
      </c>
      <c r="F80" t="s">
        <v>129</v>
      </c>
      <c r="G80" t="s">
        <v>130</v>
      </c>
      <c r="H80" t="s">
        <v>27</v>
      </c>
      <c r="I80">
        <f>I79*J80</f>
        <v>1.2374400000000001</v>
      </c>
      <c r="J80">
        <v>0.96000000000000008</v>
      </c>
      <c r="O80">
        <f t="shared" si="77"/>
        <v>0</v>
      </c>
      <c r="P80">
        <f t="shared" si="78"/>
        <v>0</v>
      </c>
      <c r="Q80">
        <f t="shared" si="79"/>
        <v>0</v>
      </c>
      <c r="R80">
        <f t="shared" si="80"/>
        <v>0</v>
      </c>
      <c r="S80">
        <f t="shared" si="81"/>
        <v>0</v>
      </c>
      <c r="T80">
        <f t="shared" si="82"/>
        <v>0</v>
      </c>
      <c r="U80">
        <f t="shared" si="83"/>
        <v>0</v>
      </c>
      <c r="V80">
        <f t="shared" si="84"/>
        <v>0</v>
      </c>
      <c r="W80">
        <f t="shared" si="85"/>
        <v>0</v>
      </c>
      <c r="X80">
        <f t="shared" si="86"/>
        <v>0</v>
      </c>
      <c r="Y80">
        <f t="shared" si="86"/>
        <v>0</v>
      </c>
      <c r="AA80">
        <v>35841400</v>
      </c>
      <c r="AB80">
        <f t="shared" si="87"/>
        <v>0</v>
      </c>
      <c r="AC80">
        <f t="shared" si="88"/>
        <v>0</v>
      </c>
      <c r="AD80">
        <f>ROUND((((ET80)-(EU80))+AE80),6)</f>
        <v>0</v>
      </c>
      <c r="AE80">
        <f t="shared" si="89"/>
        <v>0</v>
      </c>
      <c r="AF80">
        <f t="shared" si="89"/>
        <v>0</v>
      </c>
      <c r="AG80">
        <f t="shared" si="90"/>
        <v>0</v>
      </c>
      <c r="AH80">
        <f t="shared" si="91"/>
        <v>0</v>
      </c>
      <c r="AI80">
        <f t="shared" si="91"/>
        <v>0</v>
      </c>
      <c r="AJ80">
        <f t="shared" si="92"/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79</v>
      </c>
      <c r="AU80">
        <v>50</v>
      </c>
      <c r="AV80">
        <v>1</v>
      </c>
      <c r="AW80">
        <v>1</v>
      </c>
      <c r="AZ80">
        <v>1</v>
      </c>
      <c r="BA80">
        <v>1</v>
      </c>
      <c r="BB80">
        <v>1</v>
      </c>
      <c r="BC80">
        <v>1</v>
      </c>
      <c r="BD80" t="s">
        <v>3</v>
      </c>
      <c r="BE80" t="s">
        <v>3</v>
      </c>
      <c r="BF80" t="s">
        <v>3</v>
      </c>
      <c r="BG80" t="s">
        <v>3</v>
      </c>
      <c r="BH80">
        <v>3</v>
      </c>
      <c r="BI80">
        <v>1</v>
      </c>
      <c r="BJ80" t="s">
        <v>131</v>
      </c>
      <c r="BM80">
        <v>61001</v>
      </c>
      <c r="BN80">
        <v>0</v>
      </c>
      <c r="BO80" t="s">
        <v>3</v>
      </c>
      <c r="BP80">
        <v>0</v>
      </c>
      <c r="BQ80">
        <v>6</v>
      </c>
      <c r="BR80">
        <v>1</v>
      </c>
      <c r="BS80">
        <v>1</v>
      </c>
      <c r="BT80">
        <v>1</v>
      </c>
      <c r="BU80">
        <v>1</v>
      </c>
      <c r="BV80">
        <v>1</v>
      </c>
      <c r="BW80">
        <v>1</v>
      </c>
      <c r="BX80">
        <v>1</v>
      </c>
      <c r="BY80" t="s">
        <v>3</v>
      </c>
      <c r="BZ80">
        <v>79</v>
      </c>
      <c r="CA80">
        <v>50</v>
      </c>
      <c r="CE80">
        <v>0</v>
      </c>
      <c r="CF80">
        <v>0</v>
      </c>
      <c r="CG80">
        <v>0</v>
      </c>
      <c r="CM80">
        <v>0</v>
      </c>
      <c r="CN80" t="s">
        <v>3</v>
      </c>
      <c r="CO80">
        <v>0</v>
      </c>
      <c r="CP80">
        <f t="shared" si="93"/>
        <v>0</v>
      </c>
      <c r="CQ80">
        <f t="shared" si="94"/>
        <v>0</v>
      </c>
      <c r="CR80">
        <f t="shared" si="95"/>
        <v>0</v>
      </c>
      <c r="CS80">
        <f t="shared" si="96"/>
        <v>0</v>
      </c>
      <c r="CT80">
        <f t="shared" si="97"/>
        <v>0</v>
      </c>
      <c r="CU80">
        <f t="shared" si="98"/>
        <v>0</v>
      </c>
      <c r="CV80">
        <f t="shared" si="98"/>
        <v>0</v>
      </c>
      <c r="CW80">
        <f t="shared" si="98"/>
        <v>0</v>
      </c>
      <c r="CX80">
        <f t="shared" si="98"/>
        <v>0</v>
      </c>
      <c r="CY80">
        <f t="shared" si="99"/>
        <v>0</v>
      </c>
      <c r="CZ80">
        <f t="shared" si="100"/>
        <v>0</v>
      </c>
      <c r="DC80" t="s">
        <v>3</v>
      </c>
      <c r="DD80" t="s">
        <v>3</v>
      </c>
      <c r="DE80" t="s">
        <v>3</v>
      </c>
      <c r="DF80" t="s">
        <v>3</v>
      </c>
      <c r="DG80" t="s">
        <v>3</v>
      </c>
      <c r="DH80" t="s">
        <v>3</v>
      </c>
      <c r="DI80" t="s">
        <v>3</v>
      </c>
      <c r="DJ80" t="s">
        <v>3</v>
      </c>
      <c r="DK80" t="s">
        <v>3</v>
      </c>
      <c r="DL80" t="s">
        <v>3</v>
      </c>
      <c r="DM80" t="s">
        <v>3</v>
      </c>
      <c r="DN80">
        <v>0</v>
      </c>
      <c r="DO80">
        <v>0</v>
      </c>
      <c r="DP80">
        <v>1</v>
      </c>
      <c r="DQ80">
        <v>1</v>
      </c>
      <c r="DU80">
        <v>1009</v>
      </c>
      <c r="DV80" t="s">
        <v>27</v>
      </c>
      <c r="DW80" t="s">
        <v>27</v>
      </c>
      <c r="DX80">
        <v>1000</v>
      </c>
      <c r="DZ80" t="s">
        <v>3</v>
      </c>
      <c r="EA80" t="s">
        <v>3</v>
      </c>
      <c r="EB80" t="s">
        <v>3</v>
      </c>
      <c r="EC80" t="s">
        <v>3</v>
      </c>
      <c r="EE80">
        <v>35526162</v>
      </c>
      <c r="EF80">
        <v>6</v>
      </c>
      <c r="EG80" t="s">
        <v>21</v>
      </c>
      <c r="EH80">
        <v>0</v>
      </c>
      <c r="EI80" t="s">
        <v>3</v>
      </c>
      <c r="EJ80">
        <v>1</v>
      </c>
      <c r="EK80">
        <v>61001</v>
      </c>
      <c r="EL80" t="s">
        <v>126</v>
      </c>
      <c r="EM80" t="s">
        <v>127</v>
      </c>
      <c r="EO80" t="s">
        <v>3</v>
      </c>
      <c r="EQ80">
        <v>0</v>
      </c>
      <c r="ER80">
        <v>0</v>
      </c>
      <c r="ES80">
        <v>0</v>
      </c>
      <c r="ET80">
        <v>0</v>
      </c>
      <c r="EU80">
        <v>0</v>
      </c>
      <c r="EV80">
        <v>0</v>
      </c>
      <c r="EW80">
        <v>0</v>
      </c>
      <c r="EX80">
        <v>0</v>
      </c>
      <c r="FQ80">
        <v>0</v>
      </c>
      <c r="FR80">
        <f t="shared" si="101"/>
        <v>0</v>
      </c>
      <c r="FS80">
        <v>0</v>
      </c>
      <c r="FX80">
        <v>79</v>
      </c>
      <c r="FY80">
        <v>50</v>
      </c>
      <c r="GA80" t="s">
        <v>3</v>
      </c>
      <c r="GD80">
        <v>1</v>
      </c>
      <c r="GF80">
        <v>-393552753</v>
      </c>
      <c r="GG80">
        <v>2</v>
      </c>
      <c r="GH80">
        <v>1</v>
      </c>
      <c r="GI80">
        <v>-2</v>
      </c>
      <c r="GJ80">
        <v>0</v>
      </c>
      <c r="GK80">
        <v>0</v>
      </c>
      <c r="GL80">
        <f t="shared" si="102"/>
        <v>0</v>
      </c>
      <c r="GM80">
        <f t="shared" si="103"/>
        <v>0</v>
      </c>
      <c r="GN80">
        <f t="shared" si="104"/>
        <v>0</v>
      </c>
      <c r="GO80">
        <f t="shared" si="105"/>
        <v>0</v>
      </c>
      <c r="GP80">
        <f t="shared" si="106"/>
        <v>0</v>
      </c>
      <c r="GR80">
        <v>0</v>
      </c>
      <c r="GS80">
        <v>3</v>
      </c>
      <c r="GT80">
        <v>0</v>
      </c>
      <c r="GU80" t="s">
        <v>3</v>
      </c>
      <c r="GV80">
        <f t="shared" si="107"/>
        <v>0</v>
      </c>
      <c r="GW80">
        <v>1</v>
      </c>
      <c r="GX80">
        <f t="shared" si="108"/>
        <v>0</v>
      </c>
      <c r="HA80">
        <v>0</v>
      </c>
      <c r="HB80">
        <v>0</v>
      </c>
      <c r="HC80">
        <f t="shared" si="109"/>
        <v>0</v>
      </c>
      <c r="HE80" t="s">
        <v>3</v>
      </c>
      <c r="HF80" t="s">
        <v>3</v>
      </c>
      <c r="IK80">
        <v>0</v>
      </c>
    </row>
    <row r="81" spans="1:245">
      <c r="A81">
        <v>18</v>
      </c>
      <c r="B81">
        <v>1</v>
      </c>
      <c r="C81">
        <v>18</v>
      </c>
      <c r="E81" t="s">
        <v>132</v>
      </c>
      <c r="F81" t="s">
        <v>133</v>
      </c>
      <c r="G81" t="s">
        <v>134</v>
      </c>
      <c r="H81" t="s">
        <v>27</v>
      </c>
      <c r="I81">
        <f>I79*J81</f>
        <v>1.2374400000000001</v>
      </c>
      <c r="J81">
        <v>0.96000000000000008</v>
      </c>
      <c r="O81">
        <f t="shared" si="77"/>
        <v>6252.77</v>
      </c>
      <c r="P81">
        <f t="shared" si="78"/>
        <v>6252.77</v>
      </c>
      <c r="Q81">
        <f t="shared" si="79"/>
        <v>0</v>
      </c>
      <c r="R81">
        <f t="shared" si="80"/>
        <v>0</v>
      </c>
      <c r="S81">
        <f t="shared" si="81"/>
        <v>0</v>
      </c>
      <c r="T81">
        <f t="shared" si="82"/>
        <v>0</v>
      </c>
      <c r="U81">
        <f t="shared" si="83"/>
        <v>0</v>
      </c>
      <c r="V81">
        <f t="shared" si="84"/>
        <v>0</v>
      </c>
      <c r="W81">
        <f t="shared" si="85"/>
        <v>59.9</v>
      </c>
      <c r="X81">
        <f t="shared" si="86"/>
        <v>0</v>
      </c>
      <c r="Y81">
        <f t="shared" si="86"/>
        <v>0</v>
      </c>
      <c r="AA81">
        <v>35841400</v>
      </c>
      <c r="AB81">
        <f t="shared" si="87"/>
        <v>1057.1099999999999</v>
      </c>
      <c r="AC81">
        <f t="shared" si="88"/>
        <v>1057.1099999999999</v>
      </c>
      <c r="AD81">
        <f>ROUND((((ET81)-(EU81))+AE81),6)</f>
        <v>0</v>
      </c>
      <c r="AE81">
        <f t="shared" si="89"/>
        <v>0</v>
      </c>
      <c r="AF81">
        <f t="shared" si="89"/>
        <v>0</v>
      </c>
      <c r="AG81">
        <f t="shared" si="90"/>
        <v>0</v>
      </c>
      <c r="AH81">
        <f t="shared" si="91"/>
        <v>0</v>
      </c>
      <c r="AI81">
        <f t="shared" si="91"/>
        <v>0</v>
      </c>
      <c r="AJ81">
        <f t="shared" si="92"/>
        <v>48.41</v>
      </c>
      <c r="AK81">
        <v>1057.1099999999999</v>
      </c>
      <c r="AL81">
        <v>1057.1099999999999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48.41</v>
      </c>
      <c r="AT81">
        <v>79</v>
      </c>
      <c r="AU81">
        <v>50</v>
      </c>
      <c r="AV81">
        <v>1</v>
      </c>
      <c r="AW81">
        <v>1</v>
      </c>
      <c r="AZ81">
        <v>1</v>
      </c>
      <c r="BA81">
        <v>1</v>
      </c>
      <c r="BB81">
        <v>1</v>
      </c>
      <c r="BC81">
        <v>4.78</v>
      </c>
      <c r="BD81" t="s">
        <v>3</v>
      </c>
      <c r="BE81" t="s">
        <v>3</v>
      </c>
      <c r="BF81" t="s">
        <v>3</v>
      </c>
      <c r="BG81" t="s">
        <v>3</v>
      </c>
      <c r="BH81">
        <v>3</v>
      </c>
      <c r="BI81">
        <v>1</v>
      </c>
      <c r="BJ81" t="s">
        <v>135</v>
      </c>
      <c r="BM81">
        <v>61001</v>
      </c>
      <c r="BN81">
        <v>0</v>
      </c>
      <c r="BO81" t="s">
        <v>133</v>
      </c>
      <c r="BP81">
        <v>1</v>
      </c>
      <c r="BQ81">
        <v>6</v>
      </c>
      <c r="BR81">
        <v>0</v>
      </c>
      <c r="BS81">
        <v>1</v>
      </c>
      <c r="BT81">
        <v>1</v>
      </c>
      <c r="BU81">
        <v>1</v>
      </c>
      <c r="BV81">
        <v>1</v>
      </c>
      <c r="BW81">
        <v>1</v>
      </c>
      <c r="BX81">
        <v>1</v>
      </c>
      <c r="BY81" t="s">
        <v>3</v>
      </c>
      <c r="BZ81">
        <v>79</v>
      </c>
      <c r="CA81">
        <v>50</v>
      </c>
      <c r="CE81">
        <v>0</v>
      </c>
      <c r="CF81">
        <v>0</v>
      </c>
      <c r="CG81">
        <v>0</v>
      </c>
      <c r="CM81">
        <v>0</v>
      </c>
      <c r="CN81" t="s">
        <v>3</v>
      </c>
      <c r="CO81">
        <v>0</v>
      </c>
      <c r="CP81">
        <f t="shared" si="93"/>
        <v>6252.77</v>
      </c>
      <c r="CQ81">
        <f t="shared" si="94"/>
        <v>5052.9857999999995</v>
      </c>
      <c r="CR81">
        <f t="shared" si="95"/>
        <v>0</v>
      </c>
      <c r="CS81">
        <f t="shared" si="96"/>
        <v>0</v>
      </c>
      <c r="CT81">
        <f t="shared" si="97"/>
        <v>0</v>
      </c>
      <c r="CU81">
        <f t="shared" si="98"/>
        <v>0</v>
      </c>
      <c r="CV81">
        <f t="shared" si="98"/>
        <v>0</v>
      </c>
      <c r="CW81">
        <f t="shared" si="98"/>
        <v>0</v>
      </c>
      <c r="CX81">
        <f t="shared" si="98"/>
        <v>48.41</v>
      </c>
      <c r="CY81">
        <f t="shared" si="99"/>
        <v>0</v>
      </c>
      <c r="CZ81">
        <f t="shared" si="100"/>
        <v>0</v>
      </c>
      <c r="DC81" t="s">
        <v>3</v>
      </c>
      <c r="DD81" t="s">
        <v>3</v>
      </c>
      <c r="DE81" t="s">
        <v>3</v>
      </c>
      <c r="DF81" t="s">
        <v>3</v>
      </c>
      <c r="DG81" t="s">
        <v>3</v>
      </c>
      <c r="DH81" t="s">
        <v>3</v>
      </c>
      <c r="DI81" t="s">
        <v>3</v>
      </c>
      <c r="DJ81" t="s">
        <v>3</v>
      </c>
      <c r="DK81" t="s">
        <v>3</v>
      </c>
      <c r="DL81" t="s">
        <v>3</v>
      </c>
      <c r="DM81" t="s">
        <v>3</v>
      </c>
      <c r="DN81">
        <v>0</v>
      </c>
      <c r="DO81">
        <v>0</v>
      </c>
      <c r="DP81">
        <v>1</v>
      </c>
      <c r="DQ81">
        <v>1</v>
      </c>
      <c r="DU81">
        <v>1009</v>
      </c>
      <c r="DV81" t="s">
        <v>27</v>
      </c>
      <c r="DW81" t="s">
        <v>27</v>
      </c>
      <c r="DX81">
        <v>1000</v>
      </c>
      <c r="DZ81" t="s">
        <v>3</v>
      </c>
      <c r="EA81" t="s">
        <v>3</v>
      </c>
      <c r="EB81" t="s">
        <v>3</v>
      </c>
      <c r="EC81" t="s">
        <v>3</v>
      </c>
      <c r="EE81">
        <v>35526162</v>
      </c>
      <c r="EF81">
        <v>6</v>
      </c>
      <c r="EG81" t="s">
        <v>21</v>
      </c>
      <c r="EH81">
        <v>0</v>
      </c>
      <c r="EI81" t="s">
        <v>3</v>
      </c>
      <c r="EJ81">
        <v>1</v>
      </c>
      <c r="EK81">
        <v>61001</v>
      </c>
      <c r="EL81" t="s">
        <v>126</v>
      </c>
      <c r="EM81" t="s">
        <v>127</v>
      </c>
      <c r="EO81" t="s">
        <v>3</v>
      </c>
      <c r="EQ81">
        <v>0</v>
      </c>
      <c r="ER81">
        <v>1057.1099999999999</v>
      </c>
      <c r="ES81">
        <v>1057.1099999999999</v>
      </c>
      <c r="ET81">
        <v>0</v>
      </c>
      <c r="EU81">
        <v>0</v>
      </c>
      <c r="EV81">
        <v>0</v>
      </c>
      <c r="EW81">
        <v>0</v>
      </c>
      <c r="EX81">
        <v>0</v>
      </c>
      <c r="FQ81">
        <v>0</v>
      </c>
      <c r="FR81">
        <f t="shared" si="101"/>
        <v>0</v>
      </c>
      <c r="FS81">
        <v>0</v>
      </c>
      <c r="FX81">
        <v>79</v>
      </c>
      <c r="FY81">
        <v>50</v>
      </c>
      <c r="GA81" t="s">
        <v>3</v>
      </c>
      <c r="GD81">
        <v>1</v>
      </c>
      <c r="GF81">
        <v>-735651783</v>
      </c>
      <c r="GG81">
        <v>2</v>
      </c>
      <c r="GH81">
        <v>1</v>
      </c>
      <c r="GI81">
        <v>2</v>
      </c>
      <c r="GJ81">
        <v>0</v>
      </c>
      <c r="GK81">
        <v>0</v>
      </c>
      <c r="GL81">
        <f t="shared" si="102"/>
        <v>0</v>
      </c>
      <c r="GM81">
        <f t="shared" si="103"/>
        <v>6252.77</v>
      </c>
      <c r="GN81">
        <f t="shared" si="104"/>
        <v>6252.77</v>
      </c>
      <c r="GO81">
        <f t="shared" si="105"/>
        <v>0</v>
      </c>
      <c r="GP81">
        <f t="shared" si="106"/>
        <v>0</v>
      </c>
      <c r="GR81">
        <v>0</v>
      </c>
      <c r="GS81">
        <v>3</v>
      </c>
      <c r="GT81">
        <v>0</v>
      </c>
      <c r="GU81" t="s">
        <v>3</v>
      </c>
      <c r="GV81">
        <f t="shared" si="107"/>
        <v>0</v>
      </c>
      <c r="GW81">
        <v>1</v>
      </c>
      <c r="GX81">
        <f t="shared" si="108"/>
        <v>0</v>
      </c>
      <c r="HA81">
        <v>0</v>
      </c>
      <c r="HB81">
        <v>0</v>
      </c>
      <c r="HC81">
        <f t="shared" si="109"/>
        <v>0</v>
      </c>
      <c r="HE81" t="s">
        <v>3</v>
      </c>
      <c r="HF81" t="s">
        <v>3</v>
      </c>
      <c r="IK81">
        <v>0</v>
      </c>
    </row>
    <row r="82" spans="1:245">
      <c r="A82">
        <v>17</v>
      </c>
      <c r="B82">
        <v>1</v>
      </c>
      <c r="E82" t="s">
        <v>39</v>
      </c>
      <c r="F82" t="s">
        <v>136</v>
      </c>
      <c r="G82" t="s">
        <v>137</v>
      </c>
      <c r="H82" t="s">
        <v>27</v>
      </c>
      <c r="I82">
        <v>1.7000000000000001E-2</v>
      </c>
      <c r="J82">
        <v>0</v>
      </c>
      <c r="O82">
        <f t="shared" si="77"/>
        <v>857.44</v>
      </c>
      <c r="P82">
        <f t="shared" si="78"/>
        <v>857.44</v>
      </c>
      <c r="Q82">
        <f t="shared" si="79"/>
        <v>0</v>
      </c>
      <c r="R82">
        <f t="shared" si="80"/>
        <v>0</v>
      </c>
      <c r="S82">
        <f t="shared" si="81"/>
        <v>0</v>
      </c>
      <c r="T82">
        <f t="shared" si="82"/>
        <v>0</v>
      </c>
      <c r="U82">
        <f t="shared" si="83"/>
        <v>0</v>
      </c>
      <c r="V82">
        <f t="shared" si="84"/>
        <v>0</v>
      </c>
      <c r="W82">
        <f t="shared" si="85"/>
        <v>9.4600000000000009</v>
      </c>
      <c r="X82">
        <f t="shared" si="86"/>
        <v>0</v>
      </c>
      <c r="Y82">
        <f t="shared" si="86"/>
        <v>0</v>
      </c>
      <c r="AA82">
        <v>35841400</v>
      </c>
      <c r="AB82">
        <f t="shared" si="87"/>
        <v>12153.61</v>
      </c>
      <c r="AC82">
        <f t="shared" si="88"/>
        <v>12153.61</v>
      </c>
      <c r="AD82">
        <f>ROUND((((ET82)-(EU82))+AE82),6)</f>
        <v>0</v>
      </c>
      <c r="AE82">
        <f t="shared" si="89"/>
        <v>0</v>
      </c>
      <c r="AF82">
        <f t="shared" si="89"/>
        <v>0</v>
      </c>
      <c r="AG82">
        <f t="shared" si="90"/>
        <v>0</v>
      </c>
      <c r="AH82">
        <f t="shared" si="91"/>
        <v>0</v>
      </c>
      <c r="AI82">
        <f t="shared" si="91"/>
        <v>0</v>
      </c>
      <c r="AJ82">
        <f t="shared" si="92"/>
        <v>556.58000000000004</v>
      </c>
      <c r="AK82">
        <v>12153.61</v>
      </c>
      <c r="AL82">
        <v>12153.61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556.58000000000004</v>
      </c>
      <c r="AT82">
        <v>0</v>
      </c>
      <c r="AU82">
        <v>0</v>
      </c>
      <c r="AV82">
        <v>1</v>
      </c>
      <c r="AW82">
        <v>1</v>
      </c>
      <c r="AZ82">
        <v>1</v>
      </c>
      <c r="BA82">
        <v>1</v>
      </c>
      <c r="BB82">
        <v>1</v>
      </c>
      <c r="BC82">
        <v>4.1500000000000004</v>
      </c>
      <c r="BD82" t="s">
        <v>3</v>
      </c>
      <c r="BE82" t="s">
        <v>3</v>
      </c>
      <c r="BF82" t="s">
        <v>3</v>
      </c>
      <c r="BG82" t="s">
        <v>3</v>
      </c>
      <c r="BH82">
        <v>3</v>
      </c>
      <c r="BI82">
        <v>1</v>
      </c>
      <c r="BJ82" t="s">
        <v>138</v>
      </c>
      <c r="BM82">
        <v>500001</v>
      </c>
      <c r="BN82">
        <v>0</v>
      </c>
      <c r="BO82" t="s">
        <v>136</v>
      </c>
      <c r="BP82">
        <v>1</v>
      </c>
      <c r="BQ82">
        <v>8</v>
      </c>
      <c r="BR82">
        <v>0</v>
      </c>
      <c r="BS82">
        <v>1</v>
      </c>
      <c r="BT82">
        <v>1</v>
      </c>
      <c r="BU82">
        <v>1</v>
      </c>
      <c r="BV82">
        <v>1</v>
      </c>
      <c r="BW82">
        <v>1</v>
      </c>
      <c r="BX82">
        <v>1</v>
      </c>
      <c r="BY82" t="s">
        <v>3</v>
      </c>
      <c r="BZ82">
        <v>0</v>
      </c>
      <c r="CA82">
        <v>0</v>
      </c>
      <c r="CE82">
        <v>0</v>
      </c>
      <c r="CF82">
        <v>0</v>
      </c>
      <c r="CG82">
        <v>0</v>
      </c>
      <c r="CM82">
        <v>0</v>
      </c>
      <c r="CN82" t="s">
        <v>3</v>
      </c>
      <c r="CO82">
        <v>0</v>
      </c>
      <c r="CP82">
        <f t="shared" si="93"/>
        <v>857.44</v>
      </c>
      <c r="CQ82">
        <f t="shared" si="94"/>
        <v>50437.481500000009</v>
      </c>
      <c r="CR82">
        <f t="shared" si="95"/>
        <v>0</v>
      </c>
      <c r="CS82">
        <f t="shared" si="96"/>
        <v>0</v>
      </c>
      <c r="CT82">
        <f t="shared" si="97"/>
        <v>0</v>
      </c>
      <c r="CU82">
        <f t="shared" si="98"/>
        <v>0</v>
      </c>
      <c r="CV82">
        <f t="shared" si="98"/>
        <v>0</v>
      </c>
      <c r="CW82">
        <f t="shared" si="98"/>
        <v>0</v>
      </c>
      <c r="CX82">
        <f t="shared" si="98"/>
        <v>556.58000000000004</v>
      </c>
      <c r="CY82">
        <f t="shared" si="99"/>
        <v>0</v>
      </c>
      <c r="CZ82">
        <f t="shared" si="100"/>
        <v>0</v>
      </c>
      <c r="DC82" t="s">
        <v>3</v>
      </c>
      <c r="DD82" t="s">
        <v>3</v>
      </c>
      <c r="DE82" t="s">
        <v>3</v>
      </c>
      <c r="DF82" t="s">
        <v>3</v>
      </c>
      <c r="DG82" t="s">
        <v>3</v>
      </c>
      <c r="DH82" t="s">
        <v>3</v>
      </c>
      <c r="DI82" t="s">
        <v>3</v>
      </c>
      <c r="DJ82" t="s">
        <v>3</v>
      </c>
      <c r="DK82" t="s">
        <v>3</v>
      </c>
      <c r="DL82" t="s">
        <v>3</v>
      </c>
      <c r="DM82" t="s">
        <v>3</v>
      </c>
      <c r="DN82">
        <v>0</v>
      </c>
      <c r="DO82">
        <v>0</v>
      </c>
      <c r="DP82">
        <v>1</v>
      </c>
      <c r="DQ82">
        <v>1</v>
      </c>
      <c r="DU82">
        <v>1009</v>
      </c>
      <c r="DV82" t="s">
        <v>27</v>
      </c>
      <c r="DW82" t="s">
        <v>27</v>
      </c>
      <c r="DX82">
        <v>1000</v>
      </c>
      <c r="DZ82" t="s">
        <v>3</v>
      </c>
      <c r="EA82" t="s">
        <v>3</v>
      </c>
      <c r="EB82" t="s">
        <v>3</v>
      </c>
      <c r="EC82" t="s">
        <v>3</v>
      </c>
      <c r="EE82">
        <v>35526012</v>
      </c>
      <c r="EF82">
        <v>8</v>
      </c>
      <c r="EG82" t="s">
        <v>139</v>
      </c>
      <c r="EH82">
        <v>0</v>
      </c>
      <c r="EI82" t="s">
        <v>3</v>
      </c>
      <c r="EJ82">
        <v>1</v>
      </c>
      <c r="EK82">
        <v>500001</v>
      </c>
      <c r="EL82" t="s">
        <v>140</v>
      </c>
      <c r="EM82" t="s">
        <v>141</v>
      </c>
      <c r="EO82" t="s">
        <v>3</v>
      </c>
      <c r="EQ82">
        <v>0</v>
      </c>
      <c r="ER82">
        <v>12153.61</v>
      </c>
      <c r="ES82">
        <v>12153.61</v>
      </c>
      <c r="ET82">
        <v>0</v>
      </c>
      <c r="EU82">
        <v>0</v>
      </c>
      <c r="EV82">
        <v>0</v>
      </c>
      <c r="EW82">
        <v>0</v>
      </c>
      <c r="EX82">
        <v>0</v>
      </c>
      <c r="EY82">
        <v>0</v>
      </c>
      <c r="FQ82">
        <v>0</v>
      </c>
      <c r="FR82">
        <f t="shared" si="101"/>
        <v>0</v>
      </c>
      <c r="FS82">
        <v>0</v>
      </c>
      <c r="FX82">
        <v>0</v>
      </c>
      <c r="FY82">
        <v>0</v>
      </c>
      <c r="GA82" t="s">
        <v>3</v>
      </c>
      <c r="GD82">
        <v>1</v>
      </c>
      <c r="GF82">
        <v>2025577283</v>
      </c>
      <c r="GG82">
        <v>2</v>
      </c>
      <c r="GH82">
        <v>1</v>
      </c>
      <c r="GI82">
        <v>2</v>
      </c>
      <c r="GJ82">
        <v>0</v>
      </c>
      <c r="GK82">
        <v>0</v>
      </c>
      <c r="GL82">
        <f t="shared" si="102"/>
        <v>0</v>
      </c>
      <c r="GM82">
        <f t="shared" si="103"/>
        <v>857.44</v>
      </c>
      <c r="GN82">
        <f t="shared" si="104"/>
        <v>857.44</v>
      </c>
      <c r="GO82">
        <f t="shared" si="105"/>
        <v>0</v>
      </c>
      <c r="GP82">
        <f t="shared" si="106"/>
        <v>0</v>
      </c>
      <c r="GR82">
        <v>0</v>
      </c>
      <c r="GS82">
        <v>3</v>
      </c>
      <c r="GT82">
        <v>0</v>
      </c>
      <c r="GU82" t="s">
        <v>3</v>
      </c>
      <c r="GV82">
        <f t="shared" si="107"/>
        <v>0</v>
      </c>
      <c r="GW82">
        <v>1</v>
      </c>
      <c r="GX82">
        <f t="shared" si="108"/>
        <v>0</v>
      </c>
      <c r="HA82">
        <v>0</v>
      </c>
      <c r="HB82">
        <v>0</v>
      </c>
      <c r="HC82">
        <f t="shared" si="109"/>
        <v>0</v>
      </c>
      <c r="HE82" t="s">
        <v>3</v>
      </c>
      <c r="HF82" t="s">
        <v>3</v>
      </c>
      <c r="IK82">
        <v>0</v>
      </c>
    </row>
    <row r="83" spans="1:245">
      <c r="A83">
        <v>17</v>
      </c>
      <c r="B83">
        <v>1</v>
      </c>
      <c r="C83">
        <f>ROW(SmtRes!A32)</f>
        <v>32</v>
      </c>
      <c r="D83">
        <f>ROW(EtalonRes!A30)</f>
        <v>30</v>
      </c>
      <c r="E83" t="s">
        <v>44</v>
      </c>
      <c r="F83" t="s">
        <v>142</v>
      </c>
      <c r="G83" t="s">
        <v>143</v>
      </c>
      <c r="H83" t="s">
        <v>144</v>
      </c>
      <c r="I83">
        <f>ROUND(129.8/100,9)</f>
        <v>1.298</v>
      </c>
      <c r="J83">
        <v>0</v>
      </c>
      <c r="O83">
        <f t="shared" si="77"/>
        <v>27856.49</v>
      </c>
      <c r="P83">
        <f t="shared" si="78"/>
        <v>4857.78</v>
      </c>
      <c r="Q83">
        <f t="shared" si="79"/>
        <v>173.96</v>
      </c>
      <c r="R83">
        <f t="shared" si="80"/>
        <v>7.51</v>
      </c>
      <c r="S83">
        <f t="shared" si="81"/>
        <v>22824.75</v>
      </c>
      <c r="T83">
        <f t="shared" si="82"/>
        <v>0</v>
      </c>
      <c r="U83">
        <f t="shared" si="83"/>
        <v>76.142627000000005</v>
      </c>
      <c r="V83">
        <f t="shared" si="84"/>
        <v>1.6225E-2</v>
      </c>
      <c r="W83">
        <f t="shared" si="85"/>
        <v>0</v>
      </c>
      <c r="X83">
        <f t="shared" si="86"/>
        <v>21690.65</v>
      </c>
      <c r="Y83">
        <f t="shared" si="86"/>
        <v>10731.16</v>
      </c>
      <c r="AA83">
        <v>35841400</v>
      </c>
      <c r="AB83">
        <f t="shared" si="87"/>
        <v>1531.904</v>
      </c>
      <c r="AC83">
        <f t="shared" si="88"/>
        <v>987.47</v>
      </c>
      <c r="AD83">
        <f>ROUND(((((ET83*1.25))-((EU83*1.25)))+AE83),6)</f>
        <v>12.375</v>
      </c>
      <c r="AE83">
        <f>ROUND(((EU83*1.25)),6)</f>
        <v>0.17499999999999999</v>
      </c>
      <c r="AF83">
        <f>ROUND(((EV83*1.15)),6)</f>
        <v>532.05899999999997</v>
      </c>
      <c r="AG83">
        <f t="shared" si="90"/>
        <v>0</v>
      </c>
      <c r="AH83">
        <f>((EW83*1.15))</f>
        <v>58.661499999999997</v>
      </c>
      <c r="AI83">
        <f>((EX83*1.25))</f>
        <v>1.2500000000000001E-2</v>
      </c>
      <c r="AJ83">
        <f t="shared" si="92"/>
        <v>0</v>
      </c>
      <c r="AK83">
        <v>1460.03</v>
      </c>
      <c r="AL83">
        <v>987.47</v>
      </c>
      <c r="AM83">
        <v>9.9</v>
      </c>
      <c r="AN83">
        <v>0.14000000000000001</v>
      </c>
      <c r="AO83">
        <v>462.66</v>
      </c>
      <c r="AP83">
        <v>0</v>
      </c>
      <c r="AQ83">
        <v>51.01</v>
      </c>
      <c r="AR83">
        <v>0.01</v>
      </c>
      <c r="AS83">
        <v>0</v>
      </c>
      <c r="AT83">
        <v>95</v>
      </c>
      <c r="AU83">
        <v>47</v>
      </c>
      <c r="AV83">
        <v>1</v>
      </c>
      <c r="AW83">
        <v>1</v>
      </c>
      <c r="AZ83">
        <v>1</v>
      </c>
      <c r="BA83">
        <v>33.049999999999997</v>
      </c>
      <c r="BB83">
        <v>10.83</v>
      </c>
      <c r="BC83">
        <v>3.79</v>
      </c>
      <c r="BD83" t="s">
        <v>3</v>
      </c>
      <c r="BE83" t="s">
        <v>3</v>
      </c>
      <c r="BF83" t="s">
        <v>3</v>
      </c>
      <c r="BG83" t="s">
        <v>3</v>
      </c>
      <c r="BH83">
        <v>0</v>
      </c>
      <c r="BI83">
        <v>1</v>
      </c>
      <c r="BJ83" t="s">
        <v>145</v>
      </c>
      <c r="BM83">
        <v>15001</v>
      </c>
      <c r="BN83">
        <v>0</v>
      </c>
      <c r="BO83" t="s">
        <v>142</v>
      </c>
      <c r="BP83">
        <v>1</v>
      </c>
      <c r="BQ83">
        <v>2</v>
      </c>
      <c r="BR83">
        <v>0</v>
      </c>
      <c r="BS83">
        <v>33.049999999999997</v>
      </c>
      <c r="BT83">
        <v>1</v>
      </c>
      <c r="BU83">
        <v>1</v>
      </c>
      <c r="BV83">
        <v>1</v>
      </c>
      <c r="BW83">
        <v>1</v>
      </c>
      <c r="BX83">
        <v>1</v>
      </c>
      <c r="BY83" t="s">
        <v>3</v>
      </c>
      <c r="BZ83">
        <v>105</v>
      </c>
      <c r="CA83">
        <v>55</v>
      </c>
      <c r="CE83">
        <v>0</v>
      </c>
      <c r="CF83">
        <v>0</v>
      </c>
      <c r="CG83">
        <v>0</v>
      </c>
      <c r="CM83">
        <v>0</v>
      </c>
      <c r="CN83" t="s">
        <v>632</v>
      </c>
      <c r="CO83">
        <v>0</v>
      </c>
      <c r="CP83">
        <f t="shared" si="93"/>
        <v>27856.489999999998</v>
      </c>
      <c r="CQ83">
        <f t="shared" si="94"/>
        <v>3742.5113000000001</v>
      </c>
      <c r="CR83">
        <f t="shared" si="95"/>
        <v>134.02125000000001</v>
      </c>
      <c r="CS83">
        <f t="shared" si="96"/>
        <v>5.7837499999999995</v>
      </c>
      <c r="CT83">
        <f t="shared" si="97"/>
        <v>17584.549949999997</v>
      </c>
      <c r="CU83">
        <f t="shared" si="98"/>
        <v>0</v>
      </c>
      <c r="CV83">
        <f t="shared" si="98"/>
        <v>58.661499999999997</v>
      </c>
      <c r="CW83">
        <f t="shared" si="98"/>
        <v>1.2500000000000001E-2</v>
      </c>
      <c r="CX83">
        <f t="shared" si="98"/>
        <v>0</v>
      </c>
      <c r="CY83">
        <f t="shared" si="99"/>
        <v>21690.646999999997</v>
      </c>
      <c r="CZ83">
        <f t="shared" si="100"/>
        <v>10731.162199999999</v>
      </c>
      <c r="DC83" t="s">
        <v>3</v>
      </c>
      <c r="DD83" t="s">
        <v>3</v>
      </c>
      <c r="DE83" t="s">
        <v>146</v>
      </c>
      <c r="DF83" t="s">
        <v>146</v>
      </c>
      <c r="DG83" t="s">
        <v>147</v>
      </c>
      <c r="DH83" t="s">
        <v>3</v>
      </c>
      <c r="DI83" t="s">
        <v>147</v>
      </c>
      <c r="DJ83" t="s">
        <v>146</v>
      </c>
      <c r="DK83" t="s">
        <v>3</v>
      </c>
      <c r="DL83" t="s">
        <v>3</v>
      </c>
      <c r="DM83" t="s">
        <v>3</v>
      </c>
      <c r="DN83">
        <v>0</v>
      </c>
      <c r="DO83">
        <v>0</v>
      </c>
      <c r="DP83">
        <v>1</v>
      </c>
      <c r="DQ83">
        <v>1</v>
      </c>
      <c r="DU83">
        <v>1005</v>
      </c>
      <c r="DV83" t="s">
        <v>144</v>
      </c>
      <c r="DW83" t="s">
        <v>144</v>
      </c>
      <c r="DX83">
        <v>100</v>
      </c>
      <c r="DZ83" t="s">
        <v>3</v>
      </c>
      <c r="EA83" t="s">
        <v>3</v>
      </c>
      <c r="EB83" t="s">
        <v>3</v>
      </c>
      <c r="EC83" t="s">
        <v>3</v>
      </c>
      <c r="EE83">
        <v>35526105</v>
      </c>
      <c r="EF83">
        <v>2</v>
      </c>
      <c r="EG83" t="s">
        <v>34</v>
      </c>
      <c r="EH83">
        <v>0</v>
      </c>
      <c r="EI83" t="s">
        <v>3</v>
      </c>
      <c r="EJ83">
        <v>1</v>
      </c>
      <c r="EK83">
        <v>15001</v>
      </c>
      <c r="EL83" t="s">
        <v>148</v>
      </c>
      <c r="EM83" t="s">
        <v>149</v>
      </c>
      <c r="EO83" t="s">
        <v>150</v>
      </c>
      <c r="EQ83">
        <v>0</v>
      </c>
      <c r="ER83">
        <v>1460.03</v>
      </c>
      <c r="ES83">
        <v>987.47</v>
      </c>
      <c r="ET83">
        <v>9.9</v>
      </c>
      <c r="EU83">
        <v>0.14000000000000001</v>
      </c>
      <c r="EV83">
        <v>462.66</v>
      </c>
      <c r="EW83">
        <v>51.01</v>
      </c>
      <c r="EX83">
        <v>0.01</v>
      </c>
      <c r="EY83">
        <v>0</v>
      </c>
      <c r="FQ83">
        <v>0</v>
      </c>
      <c r="FR83">
        <f t="shared" si="101"/>
        <v>0</v>
      </c>
      <c r="FS83">
        <v>0</v>
      </c>
      <c r="FT83" t="s">
        <v>37</v>
      </c>
      <c r="FU83" t="s">
        <v>38</v>
      </c>
      <c r="FX83">
        <v>94.5</v>
      </c>
      <c r="FY83">
        <v>46.75</v>
      </c>
      <c r="GA83" t="s">
        <v>3</v>
      </c>
      <c r="GD83">
        <v>1</v>
      </c>
      <c r="GF83">
        <v>-763702063</v>
      </c>
      <c r="GG83">
        <v>2</v>
      </c>
      <c r="GH83">
        <v>1</v>
      </c>
      <c r="GI83">
        <v>2</v>
      </c>
      <c r="GJ83">
        <v>0</v>
      </c>
      <c r="GK83">
        <v>0</v>
      </c>
      <c r="GL83">
        <f t="shared" si="102"/>
        <v>0</v>
      </c>
      <c r="GM83">
        <f t="shared" si="103"/>
        <v>60278.3</v>
      </c>
      <c r="GN83">
        <f t="shared" si="104"/>
        <v>60278.3</v>
      </c>
      <c r="GO83">
        <f t="shared" si="105"/>
        <v>0</v>
      </c>
      <c r="GP83">
        <f t="shared" si="106"/>
        <v>0</v>
      </c>
      <c r="GR83">
        <v>0</v>
      </c>
      <c r="GS83">
        <v>3</v>
      </c>
      <c r="GT83">
        <v>0</v>
      </c>
      <c r="GU83" t="s">
        <v>3</v>
      </c>
      <c r="GV83">
        <f t="shared" si="107"/>
        <v>0</v>
      </c>
      <c r="GW83">
        <v>1</v>
      </c>
      <c r="GX83">
        <f t="shared" si="108"/>
        <v>0</v>
      </c>
      <c r="HA83">
        <v>0</v>
      </c>
      <c r="HB83">
        <v>0</v>
      </c>
      <c r="HC83">
        <f t="shared" si="109"/>
        <v>0</v>
      </c>
      <c r="HE83" t="s">
        <v>3</v>
      </c>
      <c r="HF83" t="s">
        <v>3</v>
      </c>
      <c r="IK83">
        <v>0</v>
      </c>
    </row>
    <row r="84" spans="1:245">
      <c r="A84">
        <v>18</v>
      </c>
      <c r="B84">
        <v>1</v>
      </c>
      <c r="C84">
        <v>31</v>
      </c>
      <c r="E84" t="s">
        <v>49</v>
      </c>
      <c r="F84" t="s">
        <v>151</v>
      </c>
      <c r="G84" t="s">
        <v>152</v>
      </c>
      <c r="H84" t="s">
        <v>153</v>
      </c>
      <c r="I84">
        <f>I83*J84</f>
        <v>57.000000000000007</v>
      </c>
      <c r="J84">
        <v>43.91371340523883</v>
      </c>
      <c r="O84">
        <f t="shared" si="77"/>
        <v>3431.54</v>
      </c>
      <c r="P84">
        <f t="shared" si="78"/>
        <v>3431.54</v>
      </c>
      <c r="Q84">
        <f t="shared" si="79"/>
        <v>0</v>
      </c>
      <c r="R84">
        <f t="shared" si="80"/>
        <v>0</v>
      </c>
      <c r="S84">
        <f t="shared" si="81"/>
        <v>0</v>
      </c>
      <c r="T84">
        <f t="shared" si="82"/>
        <v>0</v>
      </c>
      <c r="U84">
        <f t="shared" si="83"/>
        <v>0</v>
      </c>
      <c r="V84">
        <f t="shared" si="84"/>
        <v>0</v>
      </c>
      <c r="W84">
        <f t="shared" si="85"/>
        <v>45.6</v>
      </c>
      <c r="X84">
        <f t="shared" si="86"/>
        <v>0</v>
      </c>
      <c r="Y84">
        <f t="shared" si="86"/>
        <v>0</v>
      </c>
      <c r="AA84">
        <v>35841400</v>
      </c>
      <c r="AB84">
        <f t="shared" si="87"/>
        <v>17.45</v>
      </c>
      <c r="AC84">
        <f t="shared" si="88"/>
        <v>17.45</v>
      </c>
      <c r="AD84">
        <f>ROUND((((ET84)-(EU84))+AE84),6)</f>
        <v>0</v>
      </c>
      <c r="AE84">
        <f>ROUND((EU84),6)</f>
        <v>0</v>
      </c>
      <c r="AF84">
        <f>ROUND((EV84),6)</f>
        <v>0</v>
      </c>
      <c r="AG84">
        <f t="shared" si="90"/>
        <v>0</v>
      </c>
      <c r="AH84">
        <f>(EW84)</f>
        <v>0</v>
      </c>
      <c r="AI84">
        <f>(EX84)</f>
        <v>0</v>
      </c>
      <c r="AJ84">
        <f t="shared" si="92"/>
        <v>0.8</v>
      </c>
      <c r="AK84">
        <v>17.45</v>
      </c>
      <c r="AL84">
        <v>17.45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0.8</v>
      </c>
      <c r="AT84">
        <v>95</v>
      </c>
      <c r="AU84">
        <v>47</v>
      </c>
      <c r="AV84">
        <v>1</v>
      </c>
      <c r="AW84">
        <v>1</v>
      </c>
      <c r="AZ84">
        <v>1</v>
      </c>
      <c r="BA84">
        <v>1</v>
      </c>
      <c r="BB84">
        <v>1</v>
      </c>
      <c r="BC84">
        <v>3.45</v>
      </c>
      <c r="BD84" t="s">
        <v>3</v>
      </c>
      <c r="BE84" t="s">
        <v>3</v>
      </c>
      <c r="BF84" t="s">
        <v>3</v>
      </c>
      <c r="BG84" t="s">
        <v>3</v>
      </c>
      <c r="BH84">
        <v>3</v>
      </c>
      <c r="BI84">
        <v>1</v>
      </c>
      <c r="BJ84" t="s">
        <v>154</v>
      </c>
      <c r="BM84">
        <v>15001</v>
      </c>
      <c r="BN84">
        <v>0</v>
      </c>
      <c r="BO84" t="s">
        <v>151</v>
      </c>
      <c r="BP84">
        <v>1</v>
      </c>
      <c r="BQ84">
        <v>2</v>
      </c>
      <c r="BR84">
        <v>0</v>
      </c>
      <c r="BS84">
        <v>1</v>
      </c>
      <c r="BT84">
        <v>1</v>
      </c>
      <c r="BU84">
        <v>1</v>
      </c>
      <c r="BV84">
        <v>1</v>
      </c>
      <c r="BW84">
        <v>1</v>
      </c>
      <c r="BX84">
        <v>1</v>
      </c>
      <c r="BY84" t="s">
        <v>3</v>
      </c>
      <c r="BZ84">
        <v>105</v>
      </c>
      <c r="CA84">
        <v>55</v>
      </c>
      <c r="CE84">
        <v>0</v>
      </c>
      <c r="CF84">
        <v>0</v>
      </c>
      <c r="CG84">
        <v>0</v>
      </c>
      <c r="CM84">
        <v>0</v>
      </c>
      <c r="CN84" t="s">
        <v>3</v>
      </c>
      <c r="CO84">
        <v>0</v>
      </c>
      <c r="CP84">
        <f t="shared" si="93"/>
        <v>3431.54</v>
      </c>
      <c r="CQ84">
        <f t="shared" si="94"/>
        <v>60.202500000000001</v>
      </c>
      <c r="CR84">
        <f t="shared" si="95"/>
        <v>0</v>
      </c>
      <c r="CS84">
        <f t="shared" si="96"/>
        <v>0</v>
      </c>
      <c r="CT84">
        <f t="shared" si="97"/>
        <v>0</v>
      </c>
      <c r="CU84">
        <f t="shared" si="98"/>
        <v>0</v>
      </c>
      <c r="CV84">
        <f t="shared" si="98"/>
        <v>0</v>
      </c>
      <c r="CW84">
        <f t="shared" si="98"/>
        <v>0</v>
      </c>
      <c r="CX84">
        <f t="shared" si="98"/>
        <v>0.8</v>
      </c>
      <c r="CY84">
        <f t="shared" si="99"/>
        <v>0</v>
      </c>
      <c r="CZ84">
        <f t="shared" si="100"/>
        <v>0</v>
      </c>
      <c r="DC84" t="s">
        <v>3</v>
      </c>
      <c r="DD84" t="s">
        <v>3</v>
      </c>
      <c r="DE84" t="s">
        <v>3</v>
      </c>
      <c r="DF84" t="s">
        <v>3</v>
      </c>
      <c r="DG84" t="s">
        <v>3</v>
      </c>
      <c r="DH84" t="s">
        <v>3</v>
      </c>
      <c r="DI84" t="s">
        <v>3</v>
      </c>
      <c r="DJ84" t="s">
        <v>3</v>
      </c>
      <c r="DK84" t="s">
        <v>3</v>
      </c>
      <c r="DL84" t="s">
        <v>3</v>
      </c>
      <c r="DM84" t="s">
        <v>3</v>
      </c>
      <c r="DN84">
        <v>0</v>
      </c>
      <c r="DO84">
        <v>0</v>
      </c>
      <c r="DP84">
        <v>1</v>
      </c>
      <c r="DQ84">
        <v>1</v>
      </c>
      <c r="DU84">
        <v>1009</v>
      </c>
      <c r="DV84" t="s">
        <v>153</v>
      </c>
      <c r="DW84" t="s">
        <v>153</v>
      </c>
      <c r="DX84">
        <v>1</v>
      </c>
      <c r="DZ84" t="s">
        <v>3</v>
      </c>
      <c r="EA84" t="s">
        <v>3</v>
      </c>
      <c r="EB84" t="s">
        <v>3</v>
      </c>
      <c r="EC84" t="s">
        <v>3</v>
      </c>
      <c r="EE84">
        <v>35526105</v>
      </c>
      <c r="EF84">
        <v>2</v>
      </c>
      <c r="EG84" t="s">
        <v>34</v>
      </c>
      <c r="EH84">
        <v>0</v>
      </c>
      <c r="EI84" t="s">
        <v>3</v>
      </c>
      <c r="EJ84">
        <v>1</v>
      </c>
      <c r="EK84">
        <v>15001</v>
      </c>
      <c r="EL84" t="s">
        <v>148</v>
      </c>
      <c r="EM84" t="s">
        <v>149</v>
      </c>
      <c r="EO84" t="s">
        <v>3</v>
      </c>
      <c r="EQ84">
        <v>0</v>
      </c>
      <c r="ER84">
        <v>17.45</v>
      </c>
      <c r="ES84">
        <v>17.45</v>
      </c>
      <c r="ET84">
        <v>0</v>
      </c>
      <c r="EU84">
        <v>0</v>
      </c>
      <c r="EV84">
        <v>0</v>
      </c>
      <c r="EW84">
        <v>0</v>
      </c>
      <c r="EX84">
        <v>0</v>
      </c>
      <c r="FQ84">
        <v>0</v>
      </c>
      <c r="FR84">
        <f t="shared" si="101"/>
        <v>0</v>
      </c>
      <c r="FS84">
        <v>0</v>
      </c>
      <c r="FT84" t="s">
        <v>37</v>
      </c>
      <c r="FU84" t="s">
        <v>38</v>
      </c>
      <c r="FX84">
        <v>94.5</v>
      </c>
      <c r="FY84">
        <v>46.75</v>
      </c>
      <c r="GA84" t="s">
        <v>3</v>
      </c>
      <c r="GD84">
        <v>1</v>
      </c>
      <c r="GF84">
        <v>-1941437179</v>
      </c>
      <c r="GG84">
        <v>2</v>
      </c>
      <c r="GH84">
        <v>1</v>
      </c>
      <c r="GI84">
        <v>2</v>
      </c>
      <c r="GJ84">
        <v>0</v>
      </c>
      <c r="GK84">
        <v>0</v>
      </c>
      <c r="GL84">
        <f t="shared" si="102"/>
        <v>0</v>
      </c>
      <c r="GM84">
        <f t="shared" si="103"/>
        <v>3431.54</v>
      </c>
      <c r="GN84">
        <f t="shared" si="104"/>
        <v>3431.54</v>
      </c>
      <c r="GO84">
        <f t="shared" si="105"/>
        <v>0</v>
      </c>
      <c r="GP84">
        <f t="shared" si="106"/>
        <v>0</v>
      </c>
      <c r="GR84">
        <v>0</v>
      </c>
      <c r="GS84">
        <v>3</v>
      </c>
      <c r="GT84">
        <v>0</v>
      </c>
      <c r="GU84" t="s">
        <v>3</v>
      </c>
      <c r="GV84">
        <f t="shared" si="107"/>
        <v>0</v>
      </c>
      <c r="GW84">
        <v>1</v>
      </c>
      <c r="GX84">
        <f t="shared" si="108"/>
        <v>0</v>
      </c>
      <c r="HA84">
        <v>0</v>
      </c>
      <c r="HB84">
        <v>0</v>
      </c>
      <c r="HC84">
        <f t="shared" si="109"/>
        <v>0</v>
      </c>
      <c r="HE84" t="s">
        <v>3</v>
      </c>
      <c r="HF84" t="s">
        <v>3</v>
      </c>
      <c r="IK84">
        <v>0</v>
      </c>
    </row>
    <row r="85" spans="1:245">
      <c r="A85">
        <v>19</v>
      </c>
      <c r="B85">
        <v>1</v>
      </c>
      <c r="F85" t="s">
        <v>3</v>
      </c>
      <c r="G85" t="s">
        <v>155</v>
      </c>
      <c r="H85" t="s">
        <v>3</v>
      </c>
      <c r="AA85">
        <v>1</v>
      </c>
      <c r="IK85">
        <v>0</v>
      </c>
    </row>
    <row r="86" spans="1:245">
      <c r="A86">
        <v>17</v>
      </c>
      <c r="B86">
        <v>1</v>
      </c>
      <c r="C86">
        <f>ROW(SmtRes!A40)</f>
        <v>40</v>
      </c>
      <c r="D86">
        <f>ROW(EtalonRes!A38)</f>
        <v>38</v>
      </c>
      <c r="E86" t="s">
        <v>156</v>
      </c>
      <c r="F86" t="s">
        <v>157</v>
      </c>
      <c r="G86" t="s">
        <v>158</v>
      </c>
      <c r="H86" t="s">
        <v>144</v>
      </c>
      <c r="I86">
        <f>ROUND(90.8/100,9)</f>
        <v>0.90800000000000003</v>
      </c>
      <c r="J86">
        <v>0</v>
      </c>
      <c r="O86">
        <f>ROUND(CP86,2)</f>
        <v>7917.17</v>
      </c>
      <c r="P86">
        <f>ROUND(CQ86*I86,2)</f>
        <v>3276.78</v>
      </c>
      <c r="Q86">
        <f>ROUND(CR86*I86,2)</f>
        <v>80.459999999999994</v>
      </c>
      <c r="R86">
        <f>ROUND(CS86*I86,2)</f>
        <v>4.2</v>
      </c>
      <c r="S86">
        <f>ROUND(CT86*I86,2)</f>
        <v>4559.93</v>
      </c>
      <c r="T86">
        <f>ROUND(CU86*I86,2)</f>
        <v>0</v>
      </c>
      <c r="U86">
        <f>CV86*I86</f>
        <v>15.381520000000002</v>
      </c>
      <c r="V86">
        <f>CW86*I86</f>
        <v>9.0800000000000013E-3</v>
      </c>
      <c r="W86">
        <f>ROUND(CX86*I86,2)</f>
        <v>0</v>
      </c>
      <c r="X86">
        <f>ROUND(CY86,2)</f>
        <v>4335.92</v>
      </c>
      <c r="Y86">
        <f>ROUND(CZ86,2)</f>
        <v>2145.14</v>
      </c>
      <c r="AA86">
        <v>35841400</v>
      </c>
      <c r="AB86">
        <f>ROUND((AC86+AD86+AF86),6)</f>
        <v>1090.21</v>
      </c>
      <c r="AC86">
        <f>ROUND((ES86),6)</f>
        <v>930.1</v>
      </c>
      <c r="AD86">
        <f>ROUND((((ET86)-(EU86))+AE86),6)</f>
        <v>8.16</v>
      </c>
      <c r="AE86">
        <f>ROUND((EU86),6)</f>
        <v>0.14000000000000001</v>
      </c>
      <c r="AF86">
        <f>ROUND((EV86),6)</f>
        <v>151.94999999999999</v>
      </c>
      <c r="AG86">
        <f>ROUND((AP86),6)</f>
        <v>0</v>
      </c>
      <c r="AH86">
        <f>(EW86)</f>
        <v>16.940000000000001</v>
      </c>
      <c r="AI86">
        <f>(EX86)</f>
        <v>0.01</v>
      </c>
      <c r="AJ86">
        <f>(AS86)</f>
        <v>0</v>
      </c>
      <c r="AK86">
        <v>1090.21</v>
      </c>
      <c r="AL86">
        <v>930.1</v>
      </c>
      <c r="AM86">
        <v>8.16</v>
      </c>
      <c r="AN86">
        <v>0.14000000000000001</v>
      </c>
      <c r="AO86">
        <v>151.94999999999999</v>
      </c>
      <c r="AP86">
        <v>0</v>
      </c>
      <c r="AQ86">
        <v>16.940000000000001</v>
      </c>
      <c r="AR86">
        <v>0.01</v>
      </c>
      <c r="AS86">
        <v>0</v>
      </c>
      <c r="AT86">
        <v>95</v>
      </c>
      <c r="AU86">
        <v>47</v>
      </c>
      <c r="AV86">
        <v>1</v>
      </c>
      <c r="AW86">
        <v>1</v>
      </c>
      <c r="AZ86">
        <v>1</v>
      </c>
      <c r="BA86">
        <v>33.049999999999997</v>
      </c>
      <c r="BB86">
        <v>10.86</v>
      </c>
      <c r="BC86">
        <v>3.88</v>
      </c>
      <c r="BD86" t="s">
        <v>3</v>
      </c>
      <c r="BE86" t="s">
        <v>3</v>
      </c>
      <c r="BF86" t="s">
        <v>3</v>
      </c>
      <c r="BG86" t="s">
        <v>3</v>
      </c>
      <c r="BH86">
        <v>0</v>
      </c>
      <c r="BI86">
        <v>1</v>
      </c>
      <c r="BJ86" t="s">
        <v>159</v>
      </c>
      <c r="BM86">
        <v>15001</v>
      </c>
      <c r="BN86">
        <v>0</v>
      </c>
      <c r="BO86" t="s">
        <v>157</v>
      </c>
      <c r="BP86">
        <v>1</v>
      </c>
      <c r="BQ86">
        <v>2</v>
      </c>
      <c r="BR86">
        <v>0</v>
      </c>
      <c r="BS86">
        <v>33.049999999999997</v>
      </c>
      <c r="BT86">
        <v>1</v>
      </c>
      <c r="BU86">
        <v>1</v>
      </c>
      <c r="BV86">
        <v>1</v>
      </c>
      <c r="BW86">
        <v>1</v>
      </c>
      <c r="BX86">
        <v>1</v>
      </c>
      <c r="BY86" t="s">
        <v>3</v>
      </c>
      <c r="BZ86">
        <v>105</v>
      </c>
      <c r="CA86">
        <v>55</v>
      </c>
      <c r="CE86">
        <v>0</v>
      </c>
      <c r="CF86">
        <v>0</v>
      </c>
      <c r="CG86">
        <v>0</v>
      </c>
      <c r="CM86">
        <v>0</v>
      </c>
      <c r="CN86" t="s">
        <v>3</v>
      </c>
      <c r="CO86">
        <v>0</v>
      </c>
      <c r="CP86">
        <f>(P86+Q86+S86)</f>
        <v>7917.17</v>
      </c>
      <c r="CQ86">
        <f>AC86*BC86</f>
        <v>3608.788</v>
      </c>
      <c r="CR86">
        <f>AD86*BB86</f>
        <v>88.617599999999996</v>
      </c>
      <c r="CS86">
        <f>AE86*BS86</f>
        <v>4.6269999999999998</v>
      </c>
      <c r="CT86">
        <f>AF86*BA86</f>
        <v>5021.9474999999993</v>
      </c>
      <c r="CU86">
        <f>AG86</f>
        <v>0</v>
      </c>
      <c r="CV86">
        <f>AH86</f>
        <v>16.940000000000001</v>
      </c>
      <c r="CW86">
        <f>AI86</f>
        <v>0.01</v>
      </c>
      <c r="CX86">
        <f>AJ86</f>
        <v>0</v>
      </c>
      <c r="CY86">
        <f>(((S86+R86)*AT86)/100)</f>
        <v>4335.9235000000008</v>
      </c>
      <c r="CZ86">
        <f>(((S86+R86)*AU86)/100)</f>
        <v>2145.1411000000003</v>
      </c>
      <c r="DC86" t="s">
        <v>3</v>
      </c>
      <c r="DD86" t="s">
        <v>3</v>
      </c>
      <c r="DE86" t="s">
        <v>3</v>
      </c>
      <c r="DF86" t="s">
        <v>3</v>
      </c>
      <c r="DG86" t="s">
        <v>3</v>
      </c>
      <c r="DH86" t="s">
        <v>3</v>
      </c>
      <c r="DI86" t="s">
        <v>3</v>
      </c>
      <c r="DJ86" t="s">
        <v>3</v>
      </c>
      <c r="DK86" t="s">
        <v>3</v>
      </c>
      <c r="DL86" t="s">
        <v>3</v>
      </c>
      <c r="DM86" t="s">
        <v>3</v>
      </c>
      <c r="DN86">
        <v>0</v>
      </c>
      <c r="DO86">
        <v>0</v>
      </c>
      <c r="DP86">
        <v>1</v>
      </c>
      <c r="DQ86">
        <v>1</v>
      </c>
      <c r="DU86">
        <v>1005</v>
      </c>
      <c r="DV86" t="s">
        <v>144</v>
      </c>
      <c r="DW86" t="s">
        <v>144</v>
      </c>
      <c r="DX86">
        <v>100</v>
      </c>
      <c r="DZ86" t="s">
        <v>3</v>
      </c>
      <c r="EA86" t="s">
        <v>3</v>
      </c>
      <c r="EB86" t="s">
        <v>3</v>
      </c>
      <c r="EC86" t="s">
        <v>3</v>
      </c>
      <c r="EE86">
        <v>35526105</v>
      </c>
      <c r="EF86">
        <v>2</v>
      </c>
      <c r="EG86" t="s">
        <v>34</v>
      </c>
      <c r="EH86">
        <v>0</v>
      </c>
      <c r="EI86" t="s">
        <v>3</v>
      </c>
      <c r="EJ86">
        <v>1</v>
      </c>
      <c r="EK86">
        <v>15001</v>
      </c>
      <c r="EL86" t="s">
        <v>148</v>
      </c>
      <c r="EM86" t="s">
        <v>149</v>
      </c>
      <c r="EO86" t="s">
        <v>3</v>
      </c>
      <c r="EQ86">
        <v>0</v>
      </c>
      <c r="ER86">
        <v>1090.21</v>
      </c>
      <c r="ES86">
        <v>930.1</v>
      </c>
      <c r="ET86">
        <v>8.16</v>
      </c>
      <c r="EU86">
        <v>0.14000000000000001</v>
      </c>
      <c r="EV86">
        <v>151.94999999999999</v>
      </c>
      <c r="EW86">
        <v>16.940000000000001</v>
      </c>
      <c r="EX86">
        <v>0.01</v>
      </c>
      <c r="EY86">
        <v>0</v>
      </c>
      <c r="FQ86">
        <v>0</v>
      </c>
      <c r="FR86">
        <f>ROUND(IF(AND(BH86=3,BI86=3),P86,0),2)</f>
        <v>0</v>
      </c>
      <c r="FS86">
        <v>0</v>
      </c>
      <c r="FT86" t="s">
        <v>37</v>
      </c>
      <c r="FU86" t="s">
        <v>38</v>
      </c>
      <c r="FX86">
        <v>94.5</v>
      </c>
      <c r="FY86">
        <v>46.75</v>
      </c>
      <c r="GA86" t="s">
        <v>3</v>
      </c>
      <c r="GD86">
        <v>1</v>
      </c>
      <c r="GF86">
        <v>1042583638</v>
      </c>
      <c r="GG86">
        <v>2</v>
      </c>
      <c r="GH86">
        <v>1</v>
      </c>
      <c r="GI86">
        <v>2</v>
      </c>
      <c r="GJ86">
        <v>0</v>
      </c>
      <c r="GK86">
        <v>0</v>
      </c>
      <c r="GL86">
        <f>ROUND(IF(AND(BH86=3,BI86=3,FS86&lt;&gt;0),P86,0),2)</f>
        <v>0</v>
      </c>
      <c r="GM86">
        <f>ROUND(O86+X86+Y86,2)+GX86</f>
        <v>14398.23</v>
      </c>
      <c r="GN86">
        <f>IF(OR(BI86=0,BI86=1),ROUND(O86+X86+Y86,2),0)</f>
        <v>14398.23</v>
      </c>
      <c r="GO86">
        <f>IF(BI86=2,ROUND(O86+X86+Y86,2),0)</f>
        <v>0</v>
      </c>
      <c r="GP86">
        <f>IF(BI86=4,ROUND(O86+X86+Y86,2)+GX86,0)</f>
        <v>0</v>
      </c>
      <c r="GR86">
        <v>0</v>
      </c>
      <c r="GS86">
        <v>3</v>
      </c>
      <c r="GT86">
        <v>0</v>
      </c>
      <c r="GU86" t="s">
        <v>3</v>
      </c>
      <c r="GV86">
        <f>ROUND((GT86),6)</f>
        <v>0</v>
      </c>
      <c r="GW86">
        <v>1</v>
      </c>
      <c r="GX86">
        <f>ROUND(HC86*I86,2)</f>
        <v>0</v>
      </c>
      <c r="HA86">
        <v>0</v>
      </c>
      <c r="HB86">
        <v>0</v>
      </c>
      <c r="HC86">
        <f>GV86*GW86</f>
        <v>0</v>
      </c>
      <c r="HE86" t="s">
        <v>3</v>
      </c>
      <c r="HF86" t="s">
        <v>3</v>
      </c>
      <c r="IK86">
        <v>0</v>
      </c>
    </row>
    <row r="87" spans="1:245">
      <c r="A87">
        <v>19</v>
      </c>
      <c r="B87">
        <v>1</v>
      </c>
      <c r="F87" t="s">
        <v>3</v>
      </c>
      <c r="G87" t="s">
        <v>160</v>
      </c>
      <c r="H87" t="s">
        <v>3</v>
      </c>
      <c r="AA87">
        <v>1</v>
      </c>
      <c r="IK87">
        <v>0</v>
      </c>
    </row>
    <row r="88" spans="1:245">
      <c r="A88">
        <v>17</v>
      </c>
      <c r="B88">
        <v>1</v>
      </c>
      <c r="C88">
        <f>ROW(SmtRes!A47)</f>
        <v>47</v>
      </c>
      <c r="D88">
        <f>ROW(EtalonRes!A45)</f>
        <v>45</v>
      </c>
      <c r="E88" t="s">
        <v>57</v>
      </c>
      <c r="F88" t="s">
        <v>161</v>
      </c>
      <c r="G88" t="s">
        <v>162</v>
      </c>
      <c r="H88" t="s">
        <v>163</v>
      </c>
      <c r="I88">
        <f>ROUND(90.8/100,9)</f>
        <v>0.90800000000000003</v>
      </c>
      <c r="J88">
        <v>0</v>
      </c>
      <c r="O88">
        <f t="shared" ref="O88:O97" si="110">ROUND(CP88,2)</f>
        <v>14962.68</v>
      </c>
      <c r="P88">
        <f t="shared" ref="P88:P97" si="111">ROUND(CQ88*I88,2)</f>
        <v>5514.85</v>
      </c>
      <c r="Q88">
        <f t="shared" ref="Q88:Q97" si="112">ROUND(CR88*I88,2)</f>
        <v>299.16000000000003</v>
      </c>
      <c r="R88">
        <f t="shared" ref="R88:R97" si="113">ROUND(CS88*I88,2)</f>
        <v>72.92</v>
      </c>
      <c r="S88">
        <f t="shared" ref="S88:S97" si="114">ROUND(CT88*I88,2)</f>
        <v>9148.67</v>
      </c>
      <c r="T88">
        <f t="shared" ref="T88:T97" si="115">ROUND(CU88*I88,2)</f>
        <v>0</v>
      </c>
      <c r="U88">
        <f t="shared" ref="U88:U97" si="116">CV88*I88</f>
        <v>32.451920000000001</v>
      </c>
      <c r="V88">
        <f t="shared" ref="V88:V97" si="117">CW88*I88</f>
        <v>0.16344</v>
      </c>
      <c r="W88">
        <f t="shared" ref="W88:W97" si="118">ROUND(CX88*I88,2)</f>
        <v>0</v>
      </c>
      <c r="X88">
        <f t="shared" ref="X88:X97" si="119">ROUND(CY88,2)</f>
        <v>10235.959999999999</v>
      </c>
      <c r="Y88">
        <f t="shared" ref="Y88:Y97" si="120">ROUND(CZ88,2)</f>
        <v>5901.82</v>
      </c>
      <c r="AA88">
        <v>35841400</v>
      </c>
      <c r="AB88">
        <f t="shared" ref="AB88:AB97" si="121">ROUND((AC88+AD88+AF88),6)</f>
        <v>2068.7800000000002</v>
      </c>
      <c r="AC88">
        <f t="shared" ref="AC88:AC94" si="122">ROUND((ES88),6)</f>
        <v>1735.32</v>
      </c>
      <c r="AD88">
        <f>ROUND((((ET88)-(EU88))+AE88),6)</f>
        <v>28.6</v>
      </c>
      <c r="AE88">
        <f>ROUND((EU88),6)</f>
        <v>2.4300000000000002</v>
      </c>
      <c r="AF88">
        <f>ROUND((EV88),6)</f>
        <v>304.86</v>
      </c>
      <c r="AG88">
        <f t="shared" ref="AG88:AG97" si="123">ROUND((AP88),6)</f>
        <v>0</v>
      </c>
      <c r="AH88">
        <f>(EW88)</f>
        <v>35.74</v>
      </c>
      <c r="AI88">
        <f>(EX88)</f>
        <v>0.18</v>
      </c>
      <c r="AJ88">
        <f t="shared" ref="AJ88:AJ97" si="124">(AS88)</f>
        <v>0</v>
      </c>
      <c r="AK88">
        <v>2068.7800000000002</v>
      </c>
      <c r="AL88">
        <v>1735.32</v>
      </c>
      <c r="AM88">
        <v>28.6</v>
      </c>
      <c r="AN88">
        <v>2.4300000000000002</v>
      </c>
      <c r="AO88">
        <v>304.86</v>
      </c>
      <c r="AP88">
        <v>0</v>
      </c>
      <c r="AQ88">
        <v>35.74</v>
      </c>
      <c r="AR88">
        <v>0.18</v>
      </c>
      <c r="AS88">
        <v>0</v>
      </c>
      <c r="AT88">
        <v>111</v>
      </c>
      <c r="AU88">
        <v>64</v>
      </c>
      <c r="AV88">
        <v>1</v>
      </c>
      <c r="AW88">
        <v>1</v>
      </c>
      <c r="AZ88">
        <v>1</v>
      </c>
      <c r="BA88">
        <v>33.049999999999997</v>
      </c>
      <c r="BB88">
        <v>11.52</v>
      </c>
      <c r="BC88">
        <v>3.5</v>
      </c>
      <c r="BD88" t="s">
        <v>3</v>
      </c>
      <c r="BE88" t="s">
        <v>3</v>
      </c>
      <c r="BF88" t="s">
        <v>3</v>
      </c>
      <c r="BG88" t="s">
        <v>3</v>
      </c>
      <c r="BH88">
        <v>0</v>
      </c>
      <c r="BI88">
        <v>1</v>
      </c>
      <c r="BJ88" t="s">
        <v>164</v>
      </c>
      <c r="BM88">
        <v>11001</v>
      </c>
      <c r="BN88">
        <v>0</v>
      </c>
      <c r="BO88" t="s">
        <v>161</v>
      </c>
      <c r="BP88">
        <v>1</v>
      </c>
      <c r="BQ88">
        <v>2</v>
      </c>
      <c r="BR88">
        <v>0</v>
      </c>
      <c r="BS88">
        <v>33.049999999999997</v>
      </c>
      <c r="BT88">
        <v>1</v>
      </c>
      <c r="BU88">
        <v>1</v>
      </c>
      <c r="BV88">
        <v>1</v>
      </c>
      <c r="BW88">
        <v>1</v>
      </c>
      <c r="BX88">
        <v>1</v>
      </c>
      <c r="BY88" t="s">
        <v>3</v>
      </c>
      <c r="BZ88">
        <v>123</v>
      </c>
      <c r="CA88">
        <v>75</v>
      </c>
      <c r="CE88">
        <v>0</v>
      </c>
      <c r="CF88">
        <v>0</v>
      </c>
      <c r="CG88">
        <v>0</v>
      </c>
      <c r="CM88">
        <v>0</v>
      </c>
      <c r="CN88" t="s">
        <v>3</v>
      </c>
      <c r="CO88">
        <v>0</v>
      </c>
      <c r="CP88">
        <f t="shared" ref="CP88:CP97" si="125">(P88+Q88+S88)</f>
        <v>14962.68</v>
      </c>
      <c r="CQ88">
        <f t="shared" ref="CQ88:CQ97" si="126">AC88*BC88</f>
        <v>6073.62</v>
      </c>
      <c r="CR88">
        <f t="shared" ref="CR88:CR97" si="127">AD88*BB88</f>
        <v>329.47199999999998</v>
      </c>
      <c r="CS88">
        <f t="shared" ref="CS88:CS97" si="128">AE88*BS88</f>
        <v>80.311499999999995</v>
      </c>
      <c r="CT88">
        <f t="shared" ref="CT88:CT97" si="129">AF88*BA88</f>
        <v>10075.623</v>
      </c>
      <c r="CU88">
        <f t="shared" ref="CU88:CU97" si="130">AG88</f>
        <v>0</v>
      </c>
      <c r="CV88">
        <f t="shared" ref="CV88:CV97" si="131">AH88</f>
        <v>35.74</v>
      </c>
      <c r="CW88">
        <f t="shared" ref="CW88:CW97" si="132">AI88</f>
        <v>0.18</v>
      </c>
      <c r="CX88">
        <f t="shared" ref="CX88:CX97" si="133">AJ88</f>
        <v>0</v>
      </c>
      <c r="CY88">
        <f t="shared" ref="CY88:CY97" si="134">(((S88+R88)*AT88)/100)</f>
        <v>10235.964899999999</v>
      </c>
      <c r="CZ88">
        <f t="shared" ref="CZ88:CZ97" si="135">(((S88+R88)*AU88)/100)</f>
        <v>5901.8176000000003</v>
      </c>
      <c r="DC88" t="s">
        <v>3</v>
      </c>
      <c r="DD88" t="s">
        <v>3</v>
      </c>
      <c r="DE88" t="s">
        <v>3</v>
      </c>
      <c r="DF88" t="s">
        <v>3</v>
      </c>
      <c r="DG88" t="s">
        <v>3</v>
      </c>
      <c r="DH88" t="s">
        <v>3</v>
      </c>
      <c r="DI88" t="s">
        <v>3</v>
      </c>
      <c r="DJ88" t="s">
        <v>3</v>
      </c>
      <c r="DK88" t="s">
        <v>3</v>
      </c>
      <c r="DL88" t="s">
        <v>3</v>
      </c>
      <c r="DM88" t="s">
        <v>3</v>
      </c>
      <c r="DN88">
        <v>0</v>
      </c>
      <c r="DO88">
        <v>0</v>
      </c>
      <c r="DP88">
        <v>1</v>
      </c>
      <c r="DQ88">
        <v>1</v>
      </c>
      <c r="DU88">
        <v>1013</v>
      </c>
      <c r="DV88" t="s">
        <v>163</v>
      </c>
      <c r="DW88" t="s">
        <v>163</v>
      </c>
      <c r="DX88">
        <v>1</v>
      </c>
      <c r="DZ88" t="s">
        <v>3</v>
      </c>
      <c r="EA88" t="s">
        <v>3</v>
      </c>
      <c r="EB88" t="s">
        <v>3</v>
      </c>
      <c r="EC88" t="s">
        <v>3</v>
      </c>
      <c r="EE88">
        <v>35526080</v>
      </c>
      <c r="EF88">
        <v>2</v>
      </c>
      <c r="EG88" t="s">
        <v>34</v>
      </c>
      <c r="EH88">
        <v>0</v>
      </c>
      <c r="EI88" t="s">
        <v>3</v>
      </c>
      <c r="EJ88">
        <v>1</v>
      </c>
      <c r="EK88">
        <v>11001</v>
      </c>
      <c r="EL88" t="s">
        <v>22</v>
      </c>
      <c r="EM88" t="s">
        <v>165</v>
      </c>
      <c r="EO88" t="s">
        <v>3</v>
      </c>
      <c r="EQ88">
        <v>0</v>
      </c>
      <c r="ER88">
        <v>2068.7800000000002</v>
      </c>
      <c r="ES88">
        <v>1735.32</v>
      </c>
      <c r="ET88">
        <v>28.6</v>
      </c>
      <c r="EU88">
        <v>2.4300000000000002</v>
      </c>
      <c r="EV88">
        <v>304.86</v>
      </c>
      <c r="EW88">
        <v>35.74</v>
      </c>
      <c r="EX88">
        <v>0.18</v>
      </c>
      <c r="EY88">
        <v>0</v>
      </c>
      <c r="FQ88">
        <v>0</v>
      </c>
      <c r="FR88">
        <f t="shared" ref="FR88:FR97" si="136">ROUND(IF(AND(BH88=3,BI88=3),P88,0),2)</f>
        <v>0</v>
      </c>
      <c r="FS88">
        <v>0</v>
      </c>
      <c r="FT88" t="s">
        <v>37</v>
      </c>
      <c r="FU88" t="s">
        <v>38</v>
      </c>
      <c r="FX88">
        <v>110.7</v>
      </c>
      <c r="FY88">
        <v>63.75</v>
      </c>
      <c r="GA88" t="s">
        <v>3</v>
      </c>
      <c r="GD88">
        <v>1</v>
      </c>
      <c r="GF88">
        <v>-1478680915</v>
      </c>
      <c r="GG88">
        <v>2</v>
      </c>
      <c r="GH88">
        <v>1</v>
      </c>
      <c r="GI88">
        <v>2</v>
      </c>
      <c r="GJ88">
        <v>0</v>
      </c>
      <c r="GK88">
        <v>0</v>
      </c>
      <c r="GL88">
        <f t="shared" ref="GL88:GL97" si="137">ROUND(IF(AND(BH88=3,BI88=3,FS88&lt;&gt;0),P88,0),2)</f>
        <v>0</v>
      </c>
      <c r="GM88">
        <f t="shared" ref="GM88:GM97" si="138">ROUND(O88+X88+Y88,2)+GX88</f>
        <v>31100.46</v>
      </c>
      <c r="GN88">
        <f t="shared" ref="GN88:GN97" si="139">IF(OR(BI88=0,BI88=1),ROUND(O88+X88+Y88,2),0)</f>
        <v>31100.46</v>
      </c>
      <c r="GO88">
        <f t="shared" ref="GO88:GO97" si="140">IF(BI88=2,ROUND(O88+X88+Y88,2),0)</f>
        <v>0</v>
      </c>
      <c r="GP88">
        <f t="shared" ref="GP88:GP97" si="141">IF(BI88=4,ROUND(O88+X88+Y88,2)+GX88,0)</f>
        <v>0</v>
      </c>
      <c r="GR88">
        <v>0</v>
      </c>
      <c r="GS88">
        <v>3</v>
      </c>
      <c r="GT88">
        <v>0</v>
      </c>
      <c r="GU88" t="s">
        <v>3</v>
      </c>
      <c r="GV88">
        <f t="shared" ref="GV88:GV97" si="142">ROUND((GT88),6)</f>
        <v>0</v>
      </c>
      <c r="GW88">
        <v>1</v>
      </c>
      <c r="GX88">
        <f t="shared" ref="GX88:GX97" si="143">ROUND(HC88*I88,2)</f>
        <v>0</v>
      </c>
      <c r="HA88">
        <v>0</v>
      </c>
      <c r="HB88">
        <v>0</v>
      </c>
      <c r="HC88">
        <f t="shared" ref="HC88:HC97" si="144">GV88*GW88</f>
        <v>0</v>
      </c>
      <c r="HE88" t="s">
        <v>3</v>
      </c>
      <c r="HF88" t="s">
        <v>3</v>
      </c>
      <c r="IK88">
        <v>0</v>
      </c>
    </row>
    <row r="89" spans="1:245">
      <c r="A89">
        <v>17</v>
      </c>
      <c r="B89">
        <v>1</v>
      </c>
      <c r="C89">
        <f>ROW(SmtRes!A55)</f>
        <v>55</v>
      </c>
      <c r="D89">
        <f>ROW(EtalonRes!A53)</f>
        <v>53</v>
      </c>
      <c r="E89" t="s">
        <v>166</v>
      </c>
      <c r="F89" t="s">
        <v>167</v>
      </c>
      <c r="G89" t="s">
        <v>168</v>
      </c>
      <c r="H89" t="s">
        <v>169</v>
      </c>
      <c r="I89">
        <f>ROUND(90.8/100,9)</f>
        <v>0.90800000000000003</v>
      </c>
      <c r="J89">
        <v>0</v>
      </c>
      <c r="O89">
        <f t="shared" si="110"/>
        <v>56905.22</v>
      </c>
      <c r="P89">
        <f t="shared" si="111"/>
        <v>37747.760000000002</v>
      </c>
      <c r="Q89">
        <f t="shared" si="112"/>
        <v>1282.93</v>
      </c>
      <c r="R89">
        <f t="shared" si="113"/>
        <v>293.72000000000003</v>
      </c>
      <c r="S89">
        <f t="shared" si="114"/>
        <v>17874.53</v>
      </c>
      <c r="T89">
        <f t="shared" si="115"/>
        <v>0</v>
      </c>
      <c r="U89">
        <f t="shared" si="116"/>
        <v>63.403823999999993</v>
      </c>
      <c r="V89">
        <f t="shared" si="117"/>
        <v>0.6583</v>
      </c>
      <c r="W89">
        <f t="shared" si="118"/>
        <v>0</v>
      </c>
      <c r="X89">
        <f t="shared" si="119"/>
        <v>20166.759999999998</v>
      </c>
      <c r="Y89">
        <f t="shared" si="120"/>
        <v>11627.68</v>
      </c>
      <c r="AA89">
        <v>35841400</v>
      </c>
      <c r="AB89">
        <f t="shared" si="121"/>
        <v>7074.4960000000001</v>
      </c>
      <c r="AC89">
        <f t="shared" si="122"/>
        <v>6356.64</v>
      </c>
      <c r="AD89">
        <f>ROUND(((((ET89*1.25))-((EU89*1.25)))+AE89),6)</f>
        <v>122.22499999999999</v>
      </c>
      <c r="AE89">
        <f>ROUND(((EU89*1.25)),6)</f>
        <v>9.7874999999999996</v>
      </c>
      <c r="AF89">
        <f>ROUND(((EV89*1.15)),6)</f>
        <v>595.63099999999997</v>
      </c>
      <c r="AG89">
        <f t="shared" si="123"/>
        <v>0</v>
      </c>
      <c r="AH89">
        <f>((EW89*1.15))</f>
        <v>69.827999999999989</v>
      </c>
      <c r="AI89">
        <f>((EX89*1.25))</f>
        <v>0.72499999999999998</v>
      </c>
      <c r="AJ89">
        <f t="shared" si="124"/>
        <v>0</v>
      </c>
      <c r="AK89">
        <v>6972.36</v>
      </c>
      <c r="AL89">
        <v>6356.64</v>
      </c>
      <c r="AM89">
        <v>97.78</v>
      </c>
      <c r="AN89">
        <v>7.83</v>
      </c>
      <c r="AO89">
        <v>517.94000000000005</v>
      </c>
      <c r="AP89">
        <v>0</v>
      </c>
      <c r="AQ89">
        <v>60.72</v>
      </c>
      <c r="AR89">
        <v>0.57999999999999996</v>
      </c>
      <c r="AS89">
        <v>0</v>
      </c>
      <c r="AT89">
        <v>111</v>
      </c>
      <c r="AU89">
        <v>64</v>
      </c>
      <c r="AV89">
        <v>1</v>
      </c>
      <c r="AW89">
        <v>1</v>
      </c>
      <c r="AZ89">
        <v>1</v>
      </c>
      <c r="BA89">
        <v>33.049999999999997</v>
      </c>
      <c r="BB89">
        <v>11.56</v>
      </c>
      <c r="BC89">
        <v>6.54</v>
      </c>
      <c r="BD89" t="s">
        <v>3</v>
      </c>
      <c r="BE89" t="s">
        <v>3</v>
      </c>
      <c r="BF89" t="s">
        <v>3</v>
      </c>
      <c r="BG89" t="s">
        <v>3</v>
      </c>
      <c r="BH89">
        <v>0</v>
      </c>
      <c r="BI89">
        <v>1</v>
      </c>
      <c r="BJ89" t="s">
        <v>170</v>
      </c>
      <c r="BM89">
        <v>11001</v>
      </c>
      <c r="BN89">
        <v>0</v>
      </c>
      <c r="BO89" t="s">
        <v>167</v>
      </c>
      <c r="BP89">
        <v>1</v>
      </c>
      <c r="BQ89">
        <v>2</v>
      </c>
      <c r="BR89">
        <v>0</v>
      </c>
      <c r="BS89">
        <v>33.049999999999997</v>
      </c>
      <c r="BT89">
        <v>1</v>
      </c>
      <c r="BU89">
        <v>1</v>
      </c>
      <c r="BV89">
        <v>1</v>
      </c>
      <c r="BW89">
        <v>1</v>
      </c>
      <c r="BX89">
        <v>1</v>
      </c>
      <c r="BY89" t="s">
        <v>3</v>
      </c>
      <c r="BZ89">
        <v>123</v>
      </c>
      <c r="CA89">
        <v>75</v>
      </c>
      <c r="CE89">
        <v>0</v>
      </c>
      <c r="CF89">
        <v>0</v>
      </c>
      <c r="CG89">
        <v>0</v>
      </c>
      <c r="CM89">
        <v>0</v>
      </c>
      <c r="CN89" t="s">
        <v>632</v>
      </c>
      <c r="CO89">
        <v>0</v>
      </c>
      <c r="CP89">
        <f t="shared" si="125"/>
        <v>56905.22</v>
      </c>
      <c r="CQ89">
        <f t="shared" si="126"/>
        <v>41572.425600000002</v>
      </c>
      <c r="CR89">
        <f t="shared" si="127"/>
        <v>1412.921</v>
      </c>
      <c r="CS89">
        <f t="shared" si="128"/>
        <v>323.47687499999995</v>
      </c>
      <c r="CT89">
        <f t="shared" si="129"/>
        <v>19685.604549999996</v>
      </c>
      <c r="CU89">
        <f t="shared" si="130"/>
        <v>0</v>
      </c>
      <c r="CV89">
        <f t="shared" si="131"/>
        <v>69.827999999999989</v>
      </c>
      <c r="CW89">
        <f t="shared" si="132"/>
        <v>0.72499999999999998</v>
      </c>
      <c r="CX89">
        <f t="shared" si="133"/>
        <v>0</v>
      </c>
      <c r="CY89">
        <f t="shared" si="134"/>
        <v>20166.7575</v>
      </c>
      <c r="CZ89">
        <f t="shared" si="135"/>
        <v>11627.68</v>
      </c>
      <c r="DC89" t="s">
        <v>3</v>
      </c>
      <c r="DD89" t="s">
        <v>3</v>
      </c>
      <c r="DE89" t="s">
        <v>146</v>
      </c>
      <c r="DF89" t="s">
        <v>146</v>
      </c>
      <c r="DG89" t="s">
        <v>147</v>
      </c>
      <c r="DH89" t="s">
        <v>3</v>
      </c>
      <c r="DI89" t="s">
        <v>147</v>
      </c>
      <c r="DJ89" t="s">
        <v>146</v>
      </c>
      <c r="DK89" t="s">
        <v>3</v>
      </c>
      <c r="DL89" t="s">
        <v>3</v>
      </c>
      <c r="DM89" t="s">
        <v>3</v>
      </c>
      <c r="DN89">
        <v>0</v>
      </c>
      <c r="DO89">
        <v>0</v>
      </c>
      <c r="DP89">
        <v>1</v>
      </c>
      <c r="DQ89">
        <v>1</v>
      </c>
      <c r="DU89">
        <v>1013</v>
      </c>
      <c r="DV89" t="s">
        <v>169</v>
      </c>
      <c r="DW89" t="s">
        <v>169</v>
      </c>
      <c r="DX89">
        <v>1</v>
      </c>
      <c r="DZ89" t="s">
        <v>3</v>
      </c>
      <c r="EA89" t="s">
        <v>3</v>
      </c>
      <c r="EB89" t="s">
        <v>3</v>
      </c>
      <c r="EC89" t="s">
        <v>3</v>
      </c>
      <c r="EE89">
        <v>35526080</v>
      </c>
      <c r="EF89">
        <v>2</v>
      </c>
      <c r="EG89" t="s">
        <v>34</v>
      </c>
      <c r="EH89">
        <v>0</v>
      </c>
      <c r="EI89" t="s">
        <v>3</v>
      </c>
      <c r="EJ89">
        <v>1</v>
      </c>
      <c r="EK89">
        <v>11001</v>
      </c>
      <c r="EL89" t="s">
        <v>22</v>
      </c>
      <c r="EM89" t="s">
        <v>165</v>
      </c>
      <c r="EO89" t="s">
        <v>150</v>
      </c>
      <c r="EQ89">
        <v>0</v>
      </c>
      <c r="ER89">
        <v>6972.36</v>
      </c>
      <c r="ES89">
        <v>6356.64</v>
      </c>
      <c r="ET89">
        <v>97.78</v>
      </c>
      <c r="EU89">
        <v>7.83</v>
      </c>
      <c r="EV89">
        <v>517.94000000000005</v>
      </c>
      <c r="EW89">
        <v>60.72</v>
      </c>
      <c r="EX89">
        <v>0.57999999999999996</v>
      </c>
      <c r="EY89">
        <v>0</v>
      </c>
      <c r="FQ89">
        <v>0</v>
      </c>
      <c r="FR89">
        <f t="shared" si="136"/>
        <v>0</v>
      </c>
      <c r="FS89">
        <v>0</v>
      </c>
      <c r="FT89" t="s">
        <v>37</v>
      </c>
      <c r="FU89" t="s">
        <v>38</v>
      </c>
      <c r="FX89">
        <v>110.7</v>
      </c>
      <c r="FY89">
        <v>63.75</v>
      </c>
      <c r="GA89" t="s">
        <v>3</v>
      </c>
      <c r="GD89">
        <v>1</v>
      </c>
      <c r="GF89">
        <v>1837524583</v>
      </c>
      <c r="GG89">
        <v>2</v>
      </c>
      <c r="GH89">
        <v>1</v>
      </c>
      <c r="GI89">
        <v>2</v>
      </c>
      <c r="GJ89">
        <v>0</v>
      </c>
      <c r="GK89">
        <v>0</v>
      </c>
      <c r="GL89">
        <f t="shared" si="137"/>
        <v>0</v>
      </c>
      <c r="GM89">
        <f t="shared" si="138"/>
        <v>88699.66</v>
      </c>
      <c r="GN89">
        <f t="shared" si="139"/>
        <v>88699.66</v>
      </c>
      <c r="GO89">
        <f t="shared" si="140"/>
        <v>0</v>
      </c>
      <c r="GP89">
        <f t="shared" si="141"/>
        <v>0</v>
      </c>
      <c r="GR89">
        <v>0</v>
      </c>
      <c r="GS89">
        <v>3</v>
      </c>
      <c r="GT89">
        <v>0</v>
      </c>
      <c r="GU89" t="s">
        <v>3</v>
      </c>
      <c r="GV89">
        <f t="shared" si="142"/>
        <v>0</v>
      </c>
      <c r="GW89">
        <v>1</v>
      </c>
      <c r="GX89">
        <f t="shared" si="143"/>
        <v>0</v>
      </c>
      <c r="HA89">
        <v>0</v>
      </c>
      <c r="HB89">
        <v>0</v>
      </c>
      <c r="HC89">
        <f t="shared" si="144"/>
        <v>0</v>
      </c>
      <c r="HE89" t="s">
        <v>3</v>
      </c>
      <c r="HF89" t="s">
        <v>3</v>
      </c>
      <c r="IK89">
        <v>0</v>
      </c>
    </row>
    <row r="90" spans="1:245">
      <c r="A90">
        <v>17</v>
      </c>
      <c r="B90">
        <v>1</v>
      </c>
      <c r="C90">
        <f>ROW(SmtRes!A62)</f>
        <v>62</v>
      </c>
      <c r="D90">
        <f>ROW(EtalonRes!A60)</f>
        <v>60</v>
      </c>
      <c r="E90" t="s">
        <v>62</v>
      </c>
      <c r="F90" t="s">
        <v>171</v>
      </c>
      <c r="G90" t="s">
        <v>172</v>
      </c>
      <c r="H90" t="s">
        <v>163</v>
      </c>
      <c r="I90">
        <f>ROUND(90.8/100,9)</f>
        <v>0.90800000000000003</v>
      </c>
      <c r="J90">
        <v>0</v>
      </c>
      <c r="O90">
        <f t="shared" si="110"/>
        <v>43202.47</v>
      </c>
      <c r="P90">
        <f t="shared" si="111"/>
        <v>29760.79</v>
      </c>
      <c r="Q90">
        <f t="shared" si="112"/>
        <v>4627.96</v>
      </c>
      <c r="R90">
        <f t="shared" si="113"/>
        <v>2528.29</v>
      </c>
      <c r="S90">
        <f t="shared" si="114"/>
        <v>8813.7199999999993</v>
      </c>
      <c r="T90">
        <f t="shared" si="115"/>
        <v>0</v>
      </c>
      <c r="U90">
        <f t="shared" si="116"/>
        <v>32.641691999999999</v>
      </c>
      <c r="V90">
        <f t="shared" si="117"/>
        <v>7.6044999999999998</v>
      </c>
      <c r="W90">
        <f t="shared" si="118"/>
        <v>0</v>
      </c>
      <c r="X90">
        <f t="shared" si="119"/>
        <v>12589.63</v>
      </c>
      <c r="Y90">
        <f t="shared" si="120"/>
        <v>7258.89</v>
      </c>
      <c r="AA90">
        <v>35841400</v>
      </c>
      <c r="AB90">
        <f t="shared" si="121"/>
        <v>6346.7034999999996</v>
      </c>
      <c r="AC90">
        <f t="shared" si="122"/>
        <v>5583.68</v>
      </c>
      <c r="AD90">
        <f>ROUND(((((ET90*1.25))-((EU90*1.25)))+AE90),6)</f>
        <v>469.32499999999999</v>
      </c>
      <c r="AE90">
        <f>ROUND(((EU90*1.25)),6)</f>
        <v>84.25</v>
      </c>
      <c r="AF90">
        <f>ROUND(((EV90*1.15)),6)</f>
        <v>293.69850000000002</v>
      </c>
      <c r="AG90">
        <f t="shared" si="123"/>
        <v>0</v>
      </c>
      <c r="AH90">
        <f>((EW90*1.15))</f>
        <v>35.948999999999998</v>
      </c>
      <c r="AI90">
        <f>((EX90*1.25))</f>
        <v>8.375</v>
      </c>
      <c r="AJ90">
        <f t="shared" si="124"/>
        <v>0</v>
      </c>
      <c r="AK90">
        <v>6214.53</v>
      </c>
      <c r="AL90">
        <v>5583.68</v>
      </c>
      <c r="AM90">
        <v>375.46</v>
      </c>
      <c r="AN90">
        <v>67.400000000000006</v>
      </c>
      <c r="AO90">
        <v>255.39</v>
      </c>
      <c r="AP90">
        <v>0</v>
      </c>
      <c r="AQ90">
        <v>31.26</v>
      </c>
      <c r="AR90">
        <v>6.7</v>
      </c>
      <c r="AS90">
        <v>0</v>
      </c>
      <c r="AT90">
        <v>111</v>
      </c>
      <c r="AU90">
        <v>64</v>
      </c>
      <c r="AV90">
        <v>1</v>
      </c>
      <c r="AW90">
        <v>1</v>
      </c>
      <c r="AZ90">
        <v>1</v>
      </c>
      <c r="BA90">
        <v>33.049999999999997</v>
      </c>
      <c r="BB90">
        <v>10.86</v>
      </c>
      <c r="BC90">
        <v>5.87</v>
      </c>
      <c r="BD90" t="s">
        <v>3</v>
      </c>
      <c r="BE90" t="s">
        <v>3</v>
      </c>
      <c r="BF90" t="s">
        <v>3</v>
      </c>
      <c r="BG90" t="s">
        <v>3</v>
      </c>
      <c r="BH90">
        <v>0</v>
      </c>
      <c r="BI90">
        <v>1</v>
      </c>
      <c r="BJ90" t="s">
        <v>173</v>
      </c>
      <c r="BM90">
        <v>11001</v>
      </c>
      <c r="BN90">
        <v>0</v>
      </c>
      <c r="BO90" t="s">
        <v>171</v>
      </c>
      <c r="BP90">
        <v>1</v>
      </c>
      <c r="BQ90">
        <v>2</v>
      </c>
      <c r="BR90">
        <v>0</v>
      </c>
      <c r="BS90">
        <v>33.049999999999997</v>
      </c>
      <c r="BT90">
        <v>1</v>
      </c>
      <c r="BU90">
        <v>1</v>
      </c>
      <c r="BV90">
        <v>1</v>
      </c>
      <c r="BW90">
        <v>1</v>
      </c>
      <c r="BX90">
        <v>1</v>
      </c>
      <c r="BY90" t="s">
        <v>3</v>
      </c>
      <c r="BZ90">
        <v>123</v>
      </c>
      <c r="CA90">
        <v>75</v>
      </c>
      <c r="CE90">
        <v>0</v>
      </c>
      <c r="CF90">
        <v>0</v>
      </c>
      <c r="CG90">
        <v>0</v>
      </c>
      <c r="CM90">
        <v>0</v>
      </c>
      <c r="CN90" t="s">
        <v>3</v>
      </c>
      <c r="CO90">
        <v>0</v>
      </c>
      <c r="CP90">
        <f t="shared" si="125"/>
        <v>43202.47</v>
      </c>
      <c r="CQ90">
        <f t="shared" si="126"/>
        <v>32776.2016</v>
      </c>
      <c r="CR90">
        <f t="shared" si="127"/>
        <v>5096.8694999999998</v>
      </c>
      <c r="CS90">
        <f t="shared" si="128"/>
        <v>2784.4624999999996</v>
      </c>
      <c r="CT90">
        <f t="shared" si="129"/>
        <v>9706.7354250000008</v>
      </c>
      <c r="CU90">
        <f t="shared" si="130"/>
        <v>0</v>
      </c>
      <c r="CV90">
        <f t="shared" si="131"/>
        <v>35.948999999999998</v>
      </c>
      <c r="CW90">
        <f t="shared" si="132"/>
        <v>8.375</v>
      </c>
      <c r="CX90">
        <f t="shared" si="133"/>
        <v>0</v>
      </c>
      <c r="CY90">
        <f t="shared" si="134"/>
        <v>12589.631099999999</v>
      </c>
      <c r="CZ90">
        <f t="shared" si="135"/>
        <v>7258.8863999999994</v>
      </c>
      <c r="DC90" t="s">
        <v>3</v>
      </c>
      <c r="DD90" t="s">
        <v>3</v>
      </c>
      <c r="DE90" t="s">
        <v>174</v>
      </c>
      <c r="DF90" t="s">
        <v>174</v>
      </c>
      <c r="DG90" t="s">
        <v>175</v>
      </c>
      <c r="DH90" t="s">
        <v>3</v>
      </c>
      <c r="DI90" t="s">
        <v>175</v>
      </c>
      <c r="DJ90" t="s">
        <v>174</v>
      </c>
      <c r="DK90" t="s">
        <v>3</v>
      </c>
      <c r="DL90" t="s">
        <v>3</v>
      </c>
      <c r="DM90" t="s">
        <v>3</v>
      </c>
      <c r="DN90">
        <v>0</v>
      </c>
      <c r="DO90">
        <v>0</v>
      </c>
      <c r="DP90">
        <v>1</v>
      </c>
      <c r="DQ90">
        <v>1</v>
      </c>
      <c r="DU90">
        <v>1013</v>
      </c>
      <c r="DV90" t="s">
        <v>163</v>
      </c>
      <c r="DW90" t="s">
        <v>163</v>
      </c>
      <c r="DX90">
        <v>1</v>
      </c>
      <c r="DZ90" t="s">
        <v>3</v>
      </c>
      <c r="EA90" t="s">
        <v>3</v>
      </c>
      <c r="EB90" t="s">
        <v>3</v>
      </c>
      <c r="EC90" t="s">
        <v>3</v>
      </c>
      <c r="EE90">
        <v>35526080</v>
      </c>
      <c r="EF90">
        <v>2</v>
      </c>
      <c r="EG90" t="s">
        <v>34</v>
      </c>
      <c r="EH90">
        <v>0</v>
      </c>
      <c r="EI90" t="s">
        <v>3</v>
      </c>
      <c r="EJ90">
        <v>1</v>
      </c>
      <c r="EK90">
        <v>11001</v>
      </c>
      <c r="EL90" t="s">
        <v>22</v>
      </c>
      <c r="EM90" t="s">
        <v>165</v>
      </c>
      <c r="EO90" t="s">
        <v>3</v>
      </c>
      <c r="EQ90">
        <v>0</v>
      </c>
      <c r="ER90">
        <v>6214.53</v>
      </c>
      <c r="ES90">
        <v>5583.68</v>
      </c>
      <c r="ET90">
        <v>375.46</v>
      </c>
      <c r="EU90">
        <v>67.400000000000006</v>
      </c>
      <c r="EV90">
        <v>255.39</v>
      </c>
      <c r="EW90">
        <v>31.26</v>
      </c>
      <c r="EX90">
        <v>6.7</v>
      </c>
      <c r="EY90">
        <v>0</v>
      </c>
      <c r="FQ90">
        <v>0</v>
      </c>
      <c r="FR90">
        <f t="shared" si="136"/>
        <v>0</v>
      </c>
      <c r="FS90">
        <v>0</v>
      </c>
      <c r="FT90" t="s">
        <v>37</v>
      </c>
      <c r="FU90" t="s">
        <v>38</v>
      </c>
      <c r="FX90">
        <v>110.7</v>
      </c>
      <c r="FY90">
        <v>63.75</v>
      </c>
      <c r="GA90" t="s">
        <v>3</v>
      </c>
      <c r="GD90">
        <v>1</v>
      </c>
      <c r="GF90">
        <v>1220877284</v>
      </c>
      <c r="GG90">
        <v>2</v>
      </c>
      <c r="GH90">
        <v>1</v>
      </c>
      <c r="GI90">
        <v>2</v>
      </c>
      <c r="GJ90">
        <v>0</v>
      </c>
      <c r="GK90">
        <v>0</v>
      </c>
      <c r="GL90">
        <f t="shared" si="137"/>
        <v>0</v>
      </c>
      <c r="GM90">
        <f t="shared" si="138"/>
        <v>63050.99</v>
      </c>
      <c r="GN90">
        <f t="shared" si="139"/>
        <v>63050.99</v>
      </c>
      <c r="GO90">
        <f t="shared" si="140"/>
        <v>0</v>
      </c>
      <c r="GP90">
        <f t="shared" si="141"/>
        <v>0</v>
      </c>
      <c r="GR90">
        <v>0</v>
      </c>
      <c r="GS90">
        <v>3</v>
      </c>
      <c r="GT90">
        <v>0</v>
      </c>
      <c r="GU90" t="s">
        <v>3</v>
      </c>
      <c r="GV90">
        <f t="shared" si="142"/>
        <v>0</v>
      </c>
      <c r="GW90">
        <v>1</v>
      </c>
      <c r="GX90">
        <f t="shared" si="143"/>
        <v>0</v>
      </c>
      <c r="HA90">
        <v>0</v>
      </c>
      <c r="HB90">
        <v>0</v>
      </c>
      <c r="HC90">
        <f t="shared" si="144"/>
        <v>0</v>
      </c>
      <c r="HE90" t="s">
        <v>3</v>
      </c>
      <c r="HF90" t="s">
        <v>3</v>
      </c>
      <c r="IK90">
        <v>0</v>
      </c>
    </row>
    <row r="91" spans="1:245">
      <c r="A91">
        <v>17</v>
      </c>
      <c r="B91">
        <v>1</v>
      </c>
      <c r="C91">
        <f>ROW(SmtRes!A71)</f>
        <v>71</v>
      </c>
      <c r="D91">
        <f>ROW(EtalonRes!A68)</f>
        <v>68</v>
      </c>
      <c r="E91" t="s">
        <v>176</v>
      </c>
      <c r="F91" t="s">
        <v>177</v>
      </c>
      <c r="G91" t="s">
        <v>178</v>
      </c>
      <c r="H91" t="s">
        <v>32</v>
      </c>
      <c r="I91">
        <f>ROUND(90.8/100,9)</f>
        <v>0.90800000000000003</v>
      </c>
      <c r="J91">
        <v>0</v>
      </c>
      <c r="O91">
        <f t="shared" si="110"/>
        <v>17058.87</v>
      </c>
      <c r="P91">
        <f t="shared" si="111"/>
        <v>5421.59</v>
      </c>
      <c r="Q91">
        <f t="shared" si="112"/>
        <v>51.55</v>
      </c>
      <c r="R91">
        <f t="shared" si="113"/>
        <v>16.21</v>
      </c>
      <c r="S91">
        <f t="shared" si="114"/>
        <v>11585.73</v>
      </c>
      <c r="T91">
        <f t="shared" si="115"/>
        <v>0</v>
      </c>
      <c r="U91">
        <f t="shared" si="116"/>
        <v>41.096080000000001</v>
      </c>
      <c r="V91">
        <f t="shared" si="117"/>
        <v>3.6320000000000005E-2</v>
      </c>
      <c r="W91">
        <f t="shared" si="118"/>
        <v>0</v>
      </c>
      <c r="X91">
        <f t="shared" si="119"/>
        <v>12878.15</v>
      </c>
      <c r="Y91">
        <f t="shared" si="120"/>
        <v>7425.24</v>
      </c>
      <c r="AA91">
        <v>35841400</v>
      </c>
      <c r="AB91">
        <f t="shared" si="121"/>
        <v>1180.5999999999999</v>
      </c>
      <c r="AC91">
        <f t="shared" si="122"/>
        <v>788.76</v>
      </c>
      <c r="AD91">
        <f>ROUND((((ET91)-(EU91))+AE91),6)</f>
        <v>5.77</v>
      </c>
      <c r="AE91">
        <f t="shared" ref="AE91:AF93" si="145">ROUND((EU91),6)</f>
        <v>0.54</v>
      </c>
      <c r="AF91">
        <f t="shared" si="145"/>
        <v>386.07</v>
      </c>
      <c r="AG91">
        <f t="shared" si="123"/>
        <v>0</v>
      </c>
      <c r="AH91">
        <f t="shared" ref="AH91:AI93" si="146">(EW91)</f>
        <v>45.26</v>
      </c>
      <c r="AI91">
        <f t="shared" si="146"/>
        <v>0.04</v>
      </c>
      <c r="AJ91">
        <f t="shared" si="124"/>
        <v>0</v>
      </c>
      <c r="AK91">
        <v>1180.5999999999999</v>
      </c>
      <c r="AL91">
        <v>788.76</v>
      </c>
      <c r="AM91">
        <v>5.77</v>
      </c>
      <c r="AN91">
        <v>0.54</v>
      </c>
      <c r="AO91">
        <v>386.07</v>
      </c>
      <c r="AP91">
        <v>0</v>
      </c>
      <c r="AQ91">
        <v>45.26</v>
      </c>
      <c r="AR91">
        <v>0.04</v>
      </c>
      <c r="AS91">
        <v>0</v>
      </c>
      <c r="AT91">
        <v>111</v>
      </c>
      <c r="AU91">
        <v>64</v>
      </c>
      <c r="AV91">
        <v>1</v>
      </c>
      <c r="AW91">
        <v>1</v>
      </c>
      <c r="AZ91">
        <v>1</v>
      </c>
      <c r="BA91">
        <v>33.049999999999997</v>
      </c>
      <c r="BB91">
        <v>9.84</v>
      </c>
      <c r="BC91">
        <v>7.57</v>
      </c>
      <c r="BD91" t="s">
        <v>3</v>
      </c>
      <c r="BE91" t="s">
        <v>3</v>
      </c>
      <c r="BF91" t="s">
        <v>3</v>
      </c>
      <c r="BG91" t="s">
        <v>3</v>
      </c>
      <c r="BH91">
        <v>0</v>
      </c>
      <c r="BI91">
        <v>1</v>
      </c>
      <c r="BJ91" t="s">
        <v>179</v>
      </c>
      <c r="BM91">
        <v>11001</v>
      </c>
      <c r="BN91">
        <v>0</v>
      </c>
      <c r="BO91" t="s">
        <v>177</v>
      </c>
      <c r="BP91">
        <v>1</v>
      </c>
      <c r="BQ91">
        <v>2</v>
      </c>
      <c r="BR91">
        <v>0</v>
      </c>
      <c r="BS91">
        <v>33.049999999999997</v>
      </c>
      <c r="BT91">
        <v>1</v>
      </c>
      <c r="BU91">
        <v>1</v>
      </c>
      <c r="BV91">
        <v>1</v>
      </c>
      <c r="BW91">
        <v>1</v>
      </c>
      <c r="BX91">
        <v>1</v>
      </c>
      <c r="BY91" t="s">
        <v>3</v>
      </c>
      <c r="BZ91">
        <v>123</v>
      </c>
      <c r="CA91">
        <v>75</v>
      </c>
      <c r="CE91">
        <v>0</v>
      </c>
      <c r="CF91">
        <v>0</v>
      </c>
      <c r="CG91">
        <v>0</v>
      </c>
      <c r="CM91">
        <v>0</v>
      </c>
      <c r="CN91" t="s">
        <v>3</v>
      </c>
      <c r="CO91">
        <v>0</v>
      </c>
      <c r="CP91">
        <f t="shared" si="125"/>
        <v>17058.87</v>
      </c>
      <c r="CQ91">
        <f t="shared" si="126"/>
        <v>5970.9132</v>
      </c>
      <c r="CR91">
        <f t="shared" si="127"/>
        <v>56.776799999999994</v>
      </c>
      <c r="CS91">
        <f t="shared" si="128"/>
        <v>17.847000000000001</v>
      </c>
      <c r="CT91">
        <f t="shared" si="129"/>
        <v>12759.613499999999</v>
      </c>
      <c r="CU91">
        <f t="shared" si="130"/>
        <v>0</v>
      </c>
      <c r="CV91">
        <f t="shared" si="131"/>
        <v>45.26</v>
      </c>
      <c r="CW91">
        <f t="shared" si="132"/>
        <v>0.04</v>
      </c>
      <c r="CX91">
        <f t="shared" si="133"/>
        <v>0</v>
      </c>
      <c r="CY91">
        <f t="shared" si="134"/>
        <v>12878.153399999999</v>
      </c>
      <c r="CZ91">
        <f t="shared" si="135"/>
        <v>7425.2415999999994</v>
      </c>
      <c r="DC91" t="s">
        <v>3</v>
      </c>
      <c r="DD91" t="s">
        <v>3</v>
      </c>
      <c r="DE91" t="s">
        <v>3</v>
      </c>
      <c r="DF91" t="s">
        <v>3</v>
      </c>
      <c r="DG91" t="s">
        <v>3</v>
      </c>
      <c r="DH91" t="s">
        <v>3</v>
      </c>
      <c r="DI91" t="s">
        <v>3</v>
      </c>
      <c r="DJ91" t="s">
        <v>3</v>
      </c>
      <c r="DK91" t="s">
        <v>3</v>
      </c>
      <c r="DL91" t="s">
        <v>3</v>
      </c>
      <c r="DM91" t="s">
        <v>3</v>
      </c>
      <c r="DN91">
        <v>0</v>
      </c>
      <c r="DO91">
        <v>0</v>
      </c>
      <c r="DP91">
        <v>1</v>
      </c>
      <c r="DQ91">
        <v>1</v>
      </c>
      <c r="DU91">
        <v>1005</v>
      </c>
      <c r="DV91" t="s">
        <v>32</v>
      </c>
      <c r="DW91" t="s">
        <v>32</v>
      </c>
      <c r="DX91">
        <v>100</v>
      </c>
      <c r="DZ91" t="s">
        <v>3</v>
      </c>
      <c r="EA91" t="s">
        <v>3</v>
      </c>
      <c r="EB91" t="s">
        <v>3</v>
      </c>
      <c r="EC91" t="s">
        <v>3</v>
      </c>
      <c r="EE91">
        <v>35526080</v>
      </c>
      <c r="EF91">
        <v>2</v>
      </c>
      <c r="EG91" t="s">
        <v>34</v>
      </c>
      <c r="EH91">
        <v>0</v>
      </c>
      <c r="EI91" t="s">
        <v>3</v>
      </c>
      <c r="EJ91">
        <v>1</v>
      </c>
      <c r="EK91">
        <v>11001</v>
      </c>
      <c r="EL91" t="s">
        <v>22</v>
      </c>
      <c r="EM91" t="s">
        <v>165</v>
      </c>
      <c r="EO91" t="s">
        <v>3</v>
      </c>
      <c r="EQ91">
        <v>0</v>
      </c>
      <c r="ER91">
        <v>1180.5999999999999</v>
      </c>
      <c r="ES91">
        <v>788.76</v>
      </c>
      <c r="ET91">
        <v>5.77</v>
      </c>
      <c r="EU91">
        <v>0.54</v>
      </c>
      <c r="EV91">
        <v>386.07</v>
      </c>
      <c r="EW91">
        <v>45.26</v>
      </c>
      <c r="EX91">
        <v>0.04</v>
      </c>
      <c r="EY91">
        <v>0</v>
      </c>
      <c r="FQ91">
        <v>0</v>
      </c>
      <c r="FR91">
        <f t="shared" si="136"/>
        <v>0</v>
      </c>
      <c r="FS91">
        <v>0</v>
      </c>
      <c r="FT91" t="s">
        <v>37</v>
      </c>
      <c r="FU91" t="s">
        <v>38</v>
      </c>
      <c r="FX91">
        <v>110.7</v>
      </c>
      <c r="FY91">
        <v>63.75</v>
      </c>
      <c r="GA91" t="s">
        <v>3</v>
      </c>
      <c r="GD91">
        <v>1</v>
      </c>
      <c r="GF91">
        <v>-295419027</v>
      </c>
      <c r="GG91">
        <v>2</v>
      </c>
      <c r="GH91">
        <v>1</v>
      </c>
      <c r="GI91">
        <v>2</v>
      </c>
      <c r="GJ91">
        <v>0</v>
      </c>
      <c r="GK91">
        <v>0</v>
      </c>
      <c r="GL91">
        <f t="shared" si="137"/>
        <v>0</v>
      </c>
      <c r="GM91">
        <f t="shared" si="138"/>
        <v>37362.26</v>
      </c>
      <c r="GN91">
        <f t="shared" si="139"/>
        <v>37362.26</v>
      </c>
      <c r="GO91">
        <f t="shared" si="140"/>
        <v>0</v>
      </c>
      <c r="GP91">
        <f t="shared" si="141"/>
        <v>0</v>
      </c>
      <c r="GR91">
        <v>0</v>
      </c>
      <c r="GS91">
        <v>3</v>
      </c>
      <c r="GT91">
        <v>0</v>
      </c>
      <c r="GU91" t="s">
        <v>3</v>
      </c>
      <c r="GV91">
        <f t="shared" si="142"/>
        <v>0</v>
      </c>
      <c r="GW91">
        <v>1</v>
      </c>
      <c r="GX91">
        <f t="shared" si="143"/>
        <v>0</v>
      </c>
      <c r="HA91">
        <v>0</v>
      </c>
      <c r="HB91">
        <v>0</v>
      </c>
      <c r="HC91">
        <f t="shared" si="144"/>
        <v>0</v>
      </c>
      <c r="HE91" t="s">
        <v>3</v>
      </c>
      <c r="HF91" t="s">
        <v>3</v>
      </c>
      <c r="IK91">
        <v>0</v>
      </c>
    </row>
    <row r="92" spans="1:245">
      <c r="A92">
        <v>18</v>
      </c>
      <c r="B92">
        <v>1</v>
      </c>
      <c r="C92">
        <v>69</v>
      </c>
      <c r="E92" t="s">
        <v>180</v>
      </c>
      <c r="F92" t="s">
        <v>181</v>
      </c>
      <c r="G92" t="s">
        <v>182</v>
      </c>
      <c r="H92" t="s">
        <v>183</v>
      </c>
      <c r="I92">
        <f>I91*J92</f>
        <v>90.8</v>
      </c>
      <c r="J92">
        <v>100</v>
      </c>
      <c r="O92">
        <f t="shared" si="110"/>
        <v>69431.63</v>
      </c>
      <c r="P92">
        <f t="shared" si="111"/>
        <v>69431.63</v>
      </c>
      <c r="Q92">
        <f t="shared" si="112"/>
        <v>0</v>
      </c>
      <c r="R92">
        <f t="shared" si="113"/>
        <v>0</v>
      </c>
      <c r="S92">
        <f t="shared" si="114"/>
        <v>0</v>
      </c>
      <c r="T92">
        <f t="shared" si="115"/>
        <v>0</v>
      </c>
      <c r="U92">
        <f t="shared" si="116"/>
        <v>0</v>
      </c>
      <c r="V92">
        <f t="shared" si="117"/>
        <v>0</v>
      </c>
      <c r="W92">
        <f t="shared" si="118"/>
        <v>773.62</v>
      </c>
      <c r="X92">
        <f t="shared" si="119"/>
        <v>0</v>
      </c>
      <c r="Y92">
        <f t="shared" si="120"/>
        <v>0</v>
      </c>
      <c r="AA92">
        <v>35841400</v>
      </c>
      <c r="AB92">
        <f t="shared" si="121"/>
        <v>186.05</v>
      </c>
      <c r="AC92">
        <f t="shared" si="122"/>
        <v>186.05</v>
      </c>
      <c r="AD92">
        <f>ROUND((((ET92)-(EU92))+AE92),6)</f>
        <v>0</v>
      </c>
      <c r="AE92">
        <f t="shared" si="145"/>
        <v>0</v>
      </c>
      <c r="AF92">
        <f t="shared" si="145"/>
        <v>0</v>
      </c>
      <c r="AG92">
        <f t="shared" si="123"/>
        <v>0</v>
      </c>
      <c r="AH92">
        <f t="shared" si="146"/>
        <v>0</v>
      </c>
      <c r="AI92">
        <f t="shared" si="146"/>
        <v>0</v>
      </c>
      <c r="AJ92">
        <f t="shared" si="124"/>
        <v>8.52</v>
      </c>
      <c r="AK92">
        <v>186.05</v>
      </c>
      <c r="AL92">
        <v>186.05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  <c r="AS92">
        <v>8.52</v>
      </c>
      <c r="AT92">
        <v>111</v>
      </c>
      <c r="AU92">
        <v>64</v>
      </c>
      <c r="AV92">
        <v>1</v>
      </c>
      <c r="AW92">
        <v>1</v>
      </c>
      <c r="AZ92">
        <v>1</v>
      </c>
      <c r="BA92">
        <v>1</v>
      </c>
      <c r="BB92">
        <v>1</v>
      </c>
      <c r="BC92">
        <v>4.1100000000000003</v>
      </c>
      <c r="BD92" t="s">
        <v>3</v>
      </c>
      <c r="BE92" t="s">
        <v>3</v>
      </c>
      <c r="BF92" t="s">
        <v>3</v>
      </c>
      <c r="BG92" t="s">
        <v>3</v>
      </c>
      <c r="BH92">
        <v>3</v>
      </c>
      <c r="BI92">
        <v>1</v>
      </c>
      <c r="BJ92" t="s">
        <v>184</v>
      </c>
      <c r="BM92">
        <v>11001</v>
      </c>
      <c r="BN92">
        <v>0</v>
      </c>
      <c r="BO92" t="s">
        <v>181</v>
      </c>
      <c r="BP92">
        <v>1</v>
      </c>
      <c r="BQ92">
        <v>2</v>
      </c>
      <c r="BR92">
        <v>0</v>
      </c>
      <c r="BS92">
        <v>1</v>
      </c>
      <c r="BT92">
        <v>1</v>
      </c>
      <c r="BU92">
        <v>1</v>
      </c>
      <c r="BV92">
        <v>1</v>
      </c>
      <c r="BW92">
        <v>1</v>
      </c>
      <c r="BX92">
        <v>1</v>
      </c>
      <c r="BY92" t="s">
        <v>3</v>
      </c>
      <c r="BZ92">
        <v>123</v>
      </c>
      <c r="CA92">
        <v>75</v>
      </c>
      <c r="CE92">
        <v>0</v>
      </c>
      <c r="CF92">
        <v>0</v>
      </c>
      <c r="CG92">
        <v>0</v>
      </c>
      <c r="CM92">
        <v>0</v>
      </c>
      <c r="CN92" t="s">
        <v>3</v>
      </c>
      <c r="CO92">
        <v>0</v>
      </c>
      <c r="CP92">
        <f t="shared" si="125"/>
        <v>69431.63</v>
      </c>
      <c r="CQ92">
        <f t="shared" si="126"/>
        <v>764.66550000000007</v>
      </c>
      <c r="CR92">
        <f t="shared" si="127"/>
        <v>0</v>
      </c>
      <c r="CS92">
        <f t="shared" si="128"/>
        <v>0</v>
      </c>
      <c r="CT92">
        <f t="shared" si="129"/>
        <v>0</v>
      </c>
      <c r="CU92">
        <f t="shared" si="130"/>
        <v>0</v>
      </c>
      <c r="CV92">
        <f t="shared" si="131"/>
        <v>0</v>
      </c>
      <c r="CW92">
        <f t="shared" si="132"/>
        <v>0</v>
      </c>
      <c r="CX92">
        <f t="shared" si="133"/>
        <v>8.52</v>
      </c>
      <c r="CY92">
        <f t="shared" si="134"/>
        <v>0</v>
      </c>
      <c r="CZ92">
        <f t="shared" si="135"/>
        <v>0</v>
      </c>
      <c r="DC92" t="s">
        <v>3</v>
      </c>
      <c r="DD92" t="s">
        <v>3</v>
      </c>
      <c r="DE92" t="s">
        <v>3</v>
      </c>
      <c r="DF92" t="s">
        <v>3</v>
      </c>
      <c r="DG92" t="s">
        <v>3</v>
      </c>
      <c r="DH92" t="s">
        <v>3</v>
      </c>
      <c r="DI92" t="s">
        <v>3</v>
      </c>
      <c r="DJ92" t="s">
        <v>3</v>
      </c>
      <c r="DK92" t="s">
        <v>3</v>
      </c>
      <c r="DL92" t="s">
        <v>3</v>
      </c>
      <c r="DM92" t="s">
        <v>3</v>
      </c>
      <c r="DN92">
        <v>0</v>
      </c>
      <c r="DO92">
        <v>0</v>
      </c>
      <c r="DP92">
        <v>1</v>
      </c>
      <c r="DQ92">
        <v>1</v>
      </c>
      <c r="DU92">
        <v>1005</v>
      </c>
      <c r="DV92" t="s">
        <v>183</v>
      </c>
      <c r="DW92" t="s">
        <v>183</v>
      </c>
      <c r="DX92">
        <v>1</v>
      </c>
      <c r="DZ92" t="s">
        <v>3</v>
      </c>
      <c r="EA92" t="s">
        <v>3</v>
      </c>
      <c r="EB92" t="s">
        <v>3</v>
      </c>
      <c r="EC92" t="s">
        <v>3</v>
      </c>
      <c r="EE92">
        <v>35526080</v>
      </c>
      <c r="EF92">
        <v>2</v>
      </c>
      <c r="EG92" t="s">
        <v>34</v>
      </c>
      <c r="EH92">
        <v>0</v>
      </c>
      <c r="EI92" t="s">
        <v>3</v>
      </c>
      <c r="EJ92">
        <v>1</v>
      </c>
      <c r="EK92">
        <v>11001</v>
      </c>
      <c r="EL92" t="s">
        <v>22</v>
      </c>
      <c r="EM92" t="s">
        <v>165</v>
      </c>
      <c r="EO92" t="s">
        <v>3</v>
      </c>
      <c r="EQ92">
        <v>0</v>
      </c>
      <c r="ER92">
        <v>186.05</v>
      </c>
      <c r="ES92">
        <v>186.05</v>
      </c>
      <c r="ET92">
        <v>0</v>
      </c>
      <c r="EU92">
        <v>0</v>
      </c>
      <c r="EV92">
        <v>0</v>
      </c>
      <c r="EW92">
        <v>0</v>
      </c>
      <c r="EX92">
        <v>0</v>
      </c>
      <c r="FQ92">
        <v>0</v>
      </c>
      <c r="FR92">
        <f t="shared" si="136"/>
        <v>0</v>
      </c>
      <c r="FS92">
        <v>0</v>
      </c>
      <c r="FT92" t="s">
        <v>37</v>
      </c>
      <c r="FU92" t="s">
        <v>38</v>
      </c>
      <c r="FX92">
        <v>110.7</v>
      </c>
      <c r="FY92">
        <v>63.75</v>
      </c>
      <c r="GA92" t="s">
        <v>3</v>
      </c>
      <c r="GD92">
        <v>1</v>
      </c>
      <c r="GF92">
        <v>1204958893</v>
      </c>
      <c r="GG92">
        <v>2</v>
      </c>
      <c r="GH92">
        <v>1</v>
      </c>
      <c r="GI92">
        <v>2</v>
      </c>
      <c r="GJ92">
        <v>0</v>
      </c>
      <c r="GK92">
        <v>0</v>
      </c>
      <c r="GL92">
        <f t="shared" si="137"/>
        <v>0</v>
      </c>
      <c r="GM92">
        <f t="shared" si="138"/>
        <v>69431.63</v>
      </c>
      <c r="GN92">
        <f t="shared" si="139"/>
        <v>69431.63</v>
      </c>
      <c r="GO92">
        <f t="shared" si="140"/>
        <v>0</v>
      </c>
      <c r="GP92">
        <f t="shared" si="141"/>
        <v>0</v>
      </c>
      <c r="GR92">
        <v>0</v>
      </c>
      <c r="GS92">
        <v>3</v>
      </c>
      <c r="GT92">
        <v>0</v>
      </c>
      <c r="GU92" t="s">
        <v>3</v>
      </c>
      <c r="GV92">
        <f t="shared" si="142"/>
        <v>0</v>
      </c>
      <c r="GW92">
        <v>1</v>
      </c>
      <c r="GX92">
        <f t="shared" si="143"/>
        <v>0</v>
      </c>
      <c r="HA92">
        <v>0</v>
      </c>
      <c r="HB92">
        <v>0</v>
      </c>
      <c r="HC92">
        <f t="shared" si="144"/>
        <v>0</v>
      </c>
      <c r="HE92" t="s">
        <v>3</v>
      </c>
      <c r="HF92" t="s">
        <v>3</v>
      </c>
      <c r="IK92">
        <v>0</v>
      </c>
    </row>
    <row r="93" spans="1:245">
      <c r="A93">
        <v>18</v>
      </c>
      <c r="B93">
        <v>1</v>
      </c>
      <c r="C93">
        <v>70</v>
      </c>
      <c r="E93" t="s">
        <v>185</v>
      </c>
      <c r="F93" t="s">
        <v>186</v>
      </c>
      <c r="G93" t="s">
        <v>187</v>
      </c>
      <c r="H93" t="s">
        <v>183</v>
      </c>
      <c r="I93">
        <f>I91*J93</f>
        <v>92.616</v>
      </c>
      <c r="J93">
        <v>102</v>
      </c>
      <c r="O93">
        <f t="shared" si="110"/>
        <v>0</v>
      </c>
      <c r="P93">
        <f t="shared" si="111"/>
        <v>0</v>
      </c>
      <c r="Q93">
        <f t="shared" si="112"/>
        <v>0</v>
      </c>
      <c r="R93">
        <f t="shared" si="113"/>
        <v>0</v>
      </c>
      <c r="S93">
        <f t="shared" si="114"/>
        <v>0</v>
      </c>
      <c r="T93">
        <f t="shared" si="115"/>
        <v>0</v>
      </c>
      <c r="U93">
        <f t="shared" si="116"/>
        <v>0</v>
      </c>
      <c r="V93">
        <f t="shared" si="117"/>
        <v>0</v>
      </c>
      <c r="W93">
        <f t="shared" si="118"/>
        <v>0</v>
      </c>
      <c r="X93">
        <f t="shared" si="119"/>
        <v>0</v>
      </c>
      <c r="Y93">
        <f t="shared" si="120"/>
        <v>0</v>
      </c>
      <c r="AA93">
        <v>35841400</v>
      </c>
      <c r="AB93">
        <f t="shared" si="121"/>
        <v>0</v>
      </c>
      <c r="AC93">
        <f t="shared" si="122"/>
        <v>0</v>
      </c>
      <c r="AD93">
        <f>ROUND((((ET93)-(EU93))+AE93),6)</f>
        <v>0</v>
      </c>
      <c r="AE93">
        <f t="shared" si="145"/>
        <v>0</v>
      </c>
      <c r="AF93">
        <f t="shared" si="145"/>
        <v>0</v>
      </c>
      <c r="AG93">
        <f t="shared" si="123"/>
        <v>0</v>
      </c>
      <c r="AH93">
        <f t="shared" si="146"/>
        <v>0</v>
      </c>
      <c r="AI93">
        <f t="shared" si="146"/>
        <v>0</v>
      </c>
      <c r="AJ93">
        <f t="shared" si="124"/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111</v>
      </c>
      <c r="AU93">
        <v>64</v>
      </c>
      <c r="AV93">
        <v>1</v>
      </c>
      <c r="AW93">
        <v>1</v>
      </c>
      <c r="AZ93">
        <v>1</v>
      </c>
      <c r="BA93">
        <v>1</v>
      </c>
      <c r="BB93">
        <v>1</v>
      </c>
      <c r="BC93">
        <v>1</v>
      </c>
      <c r="BD93" t="s">
        <v>3</v>
      </c>
      <c r="BE93" t="s">
        <v>3</v>
      </c>
      <c r="BF93" t="s">
        <v>3</v>
      </c>
      <c r="BG93" t="s">
        <v>3</v>
      </c>
      <c r="BH93">
        <v>3</v>
      </c>
      <c r="BI93">
        <v>1</v>
      </c>
      <c r="BJ93" t="s">
        <v>188</v>
      </c>
      <c r="BM93">
        <v>11001</v>
      </c>
      <c r="BN93">
        <v>0</v>
      </c>
      <c r="BO93" t="s">
        <v>3</v>
      </c>
      <c r="BP93">
        <v>0</v>
      </c>
      <c r="BQ93">
        <v>2</v>
      </c>
      <c r="BR93">
        <v>1</v>
      </c>
      <c r="BS93">
        <v>1</v>
      </c>
      <c r="BT93">
        <v>1</v>
      </c>
      <c r="BU93">
        <v>1</v>
      </c>
      <c r="BV93">
        <v>1</v>
      </c>
      <c r="BW93">
        <v>1</v>
      </c>
      <c r="BX93">
        <v>1</v>
      </c>
      <c r="BY93" t="s">
        <v>3</v>
      </c>
      <c r="BZ93">
        <v>123</v>
      </c>
      <c r="CA93">
        <v>75</v>
      </c>
      <c r="CE93">
        <v>0</v>
      </c>
      <c r="CF93">
        <v>0</v>
      </c>
      <c r="CG93">
        <v>0</v>
      </c>
      <c r="CM93">
        <v>0</v>
      </c>
      <c r="CN93" t="s">
        <v>3</v>
      </c>
      <c r="CO93">
        <v>0</v>
      </c>
      <c r="CP93">
        <f t="shared" si="125"/>
        <v>0</v>
      </c>
      <c r="CQ93">
        <f t="shared" si="126"/>
        <v>0</v>
      </c>
      <c r="CR93">
        <f t="shared" si="127"/>
        <v>0</v>
      </c>
      <c r="CS93">
        <f t="shared" si="128"/>
        <v>0</v>
      </c>
      <c r="CT93">
        <f t="shared" si="129"/>
        <v>0</v>
      </c>
      <c r="CU93">
        <f t="shared" si="130"/>
        <v>0</v>
      </c>
      <c r="CV93">
        <f t="shared" si="131"/>
        <v>0</v>
      </c>
      <c r="CW93">
        <f t="shared" si="132"/>
        <v>0</v>
      </c>
      <c r="CX93">
        <f t="shared" si="133"/>
        <v>0</v>
      </c>
      <c r="CY93">
        <f t="shared" si="134"/>
        <v>0</v>
      </c>
      <c r="CZ93">
        <f t="shared" si="135"/>
        <v>0</v>
      </c>
      <c r="DC93" t="s">
        <v>3</v>
      </c>
      <c r="DD93" t="s">
        <v>3</v>
      </c>
      <c r="DE93" t="s">
        <v>3</v>
      </c>
      <c r="DF93" t="s">
        <v>3</v>
      </c>
      <c r="DG93" t="s">
        <v>3</v>
      </c>
      <c r="DH93" t="s">
        <v>3</v>
      </c>
      <c r="DI93" t="s">
        <v>3</v>
      </c>
      <c r="DJ93" t="s">
        <v>3</v>
      </c>
      <c r="DK93" t="s">
        <v>3</v>
      </c>
      <c r="DL93" t="s">
        <v>3</v>
      </c>
      <c r="DM93" t="s">
        <v>3</v>
      </c>
      <c r="DN93">
        <v>0</v>
      </c>
      <c r="DO93">
        <v>0</v>
      </c>
      <c r="DP93">
        <v>1</v>
      </c>
      <c r="DQ93">
        <v>1</v>
      </c>
      <c r="DU93">
        <v>1005</v>
      </c>
      <c r="DV93" t="s">
        <v>183</v>
      </c>
      <c r="DW93" t="s">
        <v>183</v>
      </c>
      <c r="DX93">
        <v>1</v>
      </c>
      <c r="DZ93" t="s">
        <v>3</v>
      </c>
      <c r="EA93" t="s">
        <v>3</v>
      </c>
      <c r="EB93" t="s">
        <v>3</v>
      </c>
      <c r="EC93" t="s">
        <v>3</v>
      </c>
      <c r="EE93">
        <v>35526080</v>
      </c>
      <c r="EF93">
        <v>2</v>
      </c>
      <c r="EG93" t="s">
        <v>34</v>
      </c>
      <c r="EH93">
        <v>0</v>
      </c>
      <c r="EI93" t="s">
        <v>3</v>
      </c>
      <c r="EJ93">
        <v>1</v>
      </c>
      <c r="EK93">
        <v>11001</v>
      </c>
      <c r="EL93" t="s">
        <v>22</v>
      </c>
      <c r="EM93" t="s">
        <v>165</v>
      </c>
      <c r="EO93" t="s">
        <v>3</v>
      </c>
      <c r="EQ93">
        <v>0</v>
      </c>
      <c r="ER93">
        <v>0</v>
      </c>
      <c r="ES93">
        <v>0</v>
      </c>
      <c r="ET93">
        <v>0</v>
      </c>
      <c r="EU93">
        <v>0</v>
      </c>
      <c r="EV93">
        <v>0</v>
      </c>
      <c r="EW93">
        <v>0</v>
      </c>
      <c r="EX93">
        <v>0</v>
      </c>
      <c r="FQ93">
        <v>0</v>
      </c>
      <c r="FR93">
        <f t="shared" si="136"/>
        <v>0</v>
      </c>
      <c r="FS93">
        <v>0</v>
      </c>
      <c r="FT93" t="s">
        <v>37</v>
      </c>
      <c r="FU93" t="s">
        <v>38</v>
      </c>
      <c r="FX93">
        <v>110.7</v>
      </c>
      <c r="FY93">
        <v>63.75</v>
      </c>
      <c r="GA93" t="s">
        <v>3</v>
      </c>
      <c r="GD93">
        <v>1</v>
      </c>
      <c r="GF93">
        <v>722712840</v>
      </c>
      <c r="GG93">
        <v>2</v>
      </c>
      <c r="GH93">
        <v>1</v>
      </c>
      <c r="GI93">
        <v>-2</v>
      </c>
      <c r="GJ93">
        <v>0</v>
      </c>
      <c r="GK93">
        <v>0</v>
      </c>
      <c r="GL93">
        <f t="shared" si="137"/>
        <v>0</v>
      </c>
      <c r="GM93">
        <f t="shared" si="138"/>
        <v>0</v>
      </c>
      <c r="GN93">
        <f t="shared" si="139"/>
        <v>0</v>
      </c>
      <c r="GO93">
        <f t="shared" si="140"/>
        <v>0</v>
      </c>
      <c r="GP93">
        <f t="shared" si="141"/>
        <v>0</v>
      </c>
      <c r="GR93">
        <v>0</v>
      </c>
      <c r="GS93">
        <v>3</v>
      </c>
      <c r="GT93">
        <v>0</v>
      </c>
      <c r="GU93" t="s">
        <v>3</v>
      </c>
      <c r="GV93">
        <f t="shared" si="142"/>
        <v>0</v>
      </c>
      <c r="GW93">
        <v>1</v>
      </c>
      <c r="GX93">
        <f t="shared" si="143"/>
        <v>0</v>
      </c>
      <c r="HA93">
        <v>0</v>
      </c>
      <c r="HB93">
        <v>0</v>
      </c>
      <c r="HC93">
        <f t="shared" si="144"/>
        <v>0</v>
      </c>
      <c r="HE93" t="s">
        <v>3</v>
      </c>
      <c r="HF93" t="s">
        <v>3</v>
      </c>
      <c r="IK93">
        <v>0</v>
      </c>
    </row>
    <row r="94" spans="1:245">
      <c r="A94">
        <v>17</v>
      </c>
      <c r="B94">
        <v>1</v>
      </c>
      <c r="C94">
        <f>ROW(SmtRes!A75)</f>
        <v>75</v>
      </c>
      <c r="D94">
        <f>ROW(EtalonRes!A72)</f>
        <v>72</v>
      </c>
      <c r="E94" t="s">
        <v>189</v>
      </c>
      <c r="F94" t="s">
        <v>190</v>
      </c>
      <c r="G94" t="s">
        <v>191</v>
      </c>
      <c r="H94" t="s">
        <v>47</v>
      </c>
      <c r="I94">
        <f>ROUND(45/100,9)</f>
        <v>0.45</v>
      </c>
      <c r="J94">
        <v>0</v>
      </c>
      <c r="O94">
        <f t="shared" si="110"/>
        <v>3170.57</v>
      </c>
      <c r="P94">
        <f t="shared" si="111"/>
        <v>1654.18</v>
      </c>
      <c r="Q94">
        <f t="shared" si="112"/>
        <v>15.74</v>
      </c>
      <c r="R94">
        <f t="shared" si="113"/>
        <v>0</v>
      </c>
      <c r="S94">
        <f t="shared" si="114"/>
        <v>1500.65</v>
      </c>
      <c r="T94">
        <f t="shared" si="115"/>
        <v>0</v>
      </c>
      <c r="U94">
        <f t="shared" si="116"/>
        <v>4.6523250000000003</v>
      </c>
      <c r="V94">
        <f t="shared" si="117"/>
        <v>0</v>
      </c>
      <c r="W94">
        <f t="shared" si="118"/>
        <v>0</v>
      </c>
      <c r="X94">
        <f t="shared" si="119"/>
        <v>1665.72</v>
      </c>
      <c r="Y94">
        <f t="shared" si="120"/>
        <v>960.42</v>
      </c>
      <c r="AA94">
        <v>35841400</v>
      </c>
      <c r="AB94">
        <f t="shared" si="121"/>
        <v>1389.4760000000001</v>
      </c>
      <c r="AC94">
        <f t="shared" si="122"/>
        <v>1285.3</v>
      </c>
      <c r="AD94">
        <f>ROUND(((((ET94*1.25))-((EU94*1.25)))+AE94),6)</f>
        <v>3.2749999999999999</v>
      </c>
      <c r="AE94">
        <f>ROUND(((EU94*1.25)),6)</f>
        <v>0</v>
      </c>
      <c r="AF94">
        <f>ROUND(((EV94*1.15)),6)</f>
        <v>100.901</v>
      </c>
      <c r="AG94">
        <f t="shared" si="123"/>
        <v>0</v>
      </c>
      <c r="AH94">
        <f>((EW94*1.15))</f>
        <v>10.3385</v>
      </c>
      <c r="AI94">
        <f>((EX94*1.25))</f>
        <v>0</v>
      </c>
      <c r="AJ94">
        <f t="shared" si="124"/>
        <v>0</v>
      </c>
      <c r="AK94">
        <v>1375.66</v>
      </c>
      <c r="AL94">
        <v>1285.3</v>
      </c>
      <c r="AM94">
        <v>2.62</v>
      </c>
      <c r="AN94">
        <v>0</v>
      </c>
      <c r="AO94">
        <v>87.74</v>
      </c>
      <c r="AP94">
        <v>0</v>
      </c>
      <c r="AQ94">
        <v>8.99</v>
      </c>
      <c r="AR94">
        <v>0</v>
      </c>
      <c r="AS94">
        <v>0</v>
      </c>
      <c r="AT94">
        <v>111</v>
      </c>
      <c r="AU94">
        <v>64</v>
      </c>
      <c r="AV94">
        <v>1</v>
      </c>
      <c r="AW94">
        <v>1</v>
      </c>
      <c r="AZ94">
        <v>1</v>
      </c>
      <c r="BA94">
        <v>33.049999999999997</v>
      </c>
      <c r="BB94">
        <v>10.68</v>
      </c>
      <c r="BC94">
        <v>2.86</v>
      </c>
      <c r="BD94" t="s">
        <v>3</v>
      </c>
      <c r="BE94" t="s">
        <v>3</v>
      </c>
      <c r="BF94" t="s">
        <v>3</v>
      </c>
      <c r="BG94" t="s">
        <v>3</v>
      </c>
      <c r="BH94">
        <v>0</v>
      </c>
      <c r="BI94">
        <v>1</v>
      </c>
      <c r="BJ94" t="s">
        <v>192</v>
      </c>
      <c r="BM94">
        <v>11001</v>
      </c>
      <c r="BN94">
        <v>0</v>
      </c>
      <c r="BO94" t="s">
        <v>190</v>
      </c>
      <c r="BP94">
        <v>1</v>
      </c>
      <c r="BQ94">
        <v>2</v>
      </c>
      <c r="BR94">
        <v>0</v>
      </c>
      <c r="BS94">
        <v>33.049999999999997</v>
      </c>
      <c r="BT94">
        <v>1</v>
      </c>
      <c r="BU94">
        <v>1</v>
      </c>
      <c r="BV94">
        <v>1</v>
      </c>
      <c r="BW94">
        <v>1</v>
      </c>
      <c r="BX94">
        <v>1</v>
      </c>
      <c r="BY94" t="s">
        <v>3</v>
      </c>
      <c r="BZ94">
        <v>123</v>
      </c>
      <c r="CA94">
        <v>75</v>
      </c>
      <c r="CE94">
        <v>0</v>
      </c>
      <c r="CF94">
        <v>0</v>
      </c>
      <c r="CG94">
        <v>0</v>
      </c>
      <c r="CM94">
        <v>0</v>
      </c>
      <c r="CN94" t="s">
        <v>3</v>
      </c>
      <c r="CO94">
        <v>0</v>
      </c>
      <c r="CP94">
        <f t="shared" si="125"/>
        <v>3170.57</v>
      </c>
      <c r="CQ94">
        <f t="shared" si="126"/>
        <v>3675.9579999999996</v>
      </c>
      <c r="CR94">
        <f t="shared" si="127"/>
        <v>34.976999999999997</v>
      </c>
      <c r="CS94">
        <f t="shared" si="128"/>
        <v>0</v>
      </c>
      <c r="CT94">
        <f t="shared" si="129"/>
        <v>3334.7780499999994</v>
      </c>
      <c r="CU94">
        <f t="shared" si="130"/>
        <v>0</v>
      </c>
      <c r="CV94">
        <f t="shared" si="131"/>
        <v>10.3385</v>
      </c>
      <c r="CW94">
        <f t="shared" si="132"/>
        <v>0</v>
      </c>
      <c r="CX94">
        <f t="shared" si="133"/>
        <v>0</v>
      </c>
      <c r="CY94">
        <f t="shared" si="134"/>
        <v>1665.7215000000003</v>
      </c>
      <c r="CZ94">
        <f t="shared" si="135"/>
        <v>960.41600000000005</v>
      </c>
      <c r="DC94" t="s">
        <v>3</v>
      </c>
      <c r="DD94" t="s">
        <v>3</v>
      </c>
      <c r="DE94" t="s">
        <v>174</v>
      </c>
      <c r="DF94" t="s">
        <v>174</v>
      </c>
      <c r="DG94" t="s">
        <v>175</v>
      </c>
      <c r="DH94" t="s">
        <v>3</v>
      </c>
      <c r="DI94" t="s">
        <v>175</v>
      </c>
      <c r="DJ94" t="s">
        <v>174</v>
      </c>
      <c r="DK94" t="s">
        <v>3</v>
      </c>
      <c r="DL94" t="s">
        <v>3</v>
      </c>
      <c r="DM94" t="s">
        <v>3</v>
      </c>
      <c r="DN94">
        <v>0</v>
      </c>
      <c r="DO94">
        <v>0</v>
      </c>
      <c r="DP94">
        <v>1</v>
      </c>
      <c r="DQ94">
        <v>1</v>
      </c>
      <c r="DU94">
        <v>1013</v>
      </c>
      <c r="DV94" t="s">
        <v>47</v>
      </c>
      <c r="DW94" t="s">
        <v>47</v>
      </c>
      <c r="DX94">
        <v>1</v>
      </c>
      <c r="DZ94" t="s">
        <v>3</v>
      </c>
      <c r="EA94" t="s">
        <v>3</v>
      </c>
      <c r="EB94" t="s">
        <v>3</v>
      </c>
      <c r="EC94" t="s">
        <v>3</v>
      </c>
      <c r="EE94">
        <v>35526080</v>
      </c>
      <c r="EF94">
        <v>2</v>
      </c>
      <c r="EG94" t="s">
        <v>34</v>
      </c>
      <c r="EH94">
        <v>0</v>
      </c>
      <c r="EI94" t="s">
        <v>3</v>
      </c>
      <c r="EJ94">
        <v>1</v>
      </c>
      <c r="EK94">
        <v>11001</v>
      </c>
      <c r="EL94" t="s">
        <v>22</v>
      </c>
      <c r="EM94" t="s">
        <v>165</v>
      </c>
      <c r="EO94" t="s">
        <v>3</v>
      </c>
      <c r="EQ94">
        <v>0</v>
      </c>
      <c r="ER94">
        <v>1375.66</v>
      </c>
      <c r="ES94">
        <v>1285.3</v>
      </c>
      <c r="ET94">
        <v>2.62</v>
      </c>
      <c r="EU94">
        <v>0</v>
      </c>
      <c r="EV94">
        <v>87.74</v>
      </c>
      <c r="EW94">
        <v>8.99</v>
      </c>
      <c r="EX94">
        <v>0</v>
      </c>
      <c r="EY94">
        <v>0</v>
      </c>
      <c r="FQ94">
        <v>0</v>
      </c>
      <c r="FR94">
        <f t="shared" si="136"/>
        <v>0</v>
      </c>
      <c r="FS94">
        <v>0</v>
      </c>
      <c r="FT94" t="s">
        <v>37</v>
      </c>
      <c r="FU94" t="s">
        <v>38</v>
      </c>
      <c r="FX94">
        <v>110.7</v>
      </c>
      <c r="FY94">
        <v>63.75</v>
      </c>
      <c r="GA94" t="s">
        <v>3</v>
      </c>
      <c r="GD94">
        <v>1</v>
      </c>
      <c r="GF94">
        <v>273681548</v>
      </c>
      <c r="GG94">
        <v>2</v>
      </c>
      <c r="GH94">
        <v>1</v>
      </c>
      <c r="GI94">
        <v>2</v>
      </c>
      <c r="GJ94">
        <v>0</v>
      </c>
      <c r="GK94">
        <v>0</v>
      </c>
      <c r="GL94">
        <f t="shared" si="137"/>
        <v>0</v>
      </c>
      <c r="GM94">
        <f t="shared" si="138"/>
        <v>5796.71</v>
      </c>
      <c r="GN94">
        <f t="shared" si="139"/>
        <v>5796.71</v>
      </c>
      <c r="GO94">
        <f t="shared" si="140"/>
        <v>0</v>
      </c>
      <c r="GP94">
        <f t="shared" si="141"/>
        <v>0</v>
      </c>
      <c r="GR94">
        <v>0</v>
      </c>
      <c r="GS94">
        <v>3</v>
      </c>
      <c r="GT94">
        <v>0</v>
      </c>
      <c r="GU94" t="s">
        <v>3</v>
      </c>
      <c r="GV94">
        <f t="shared" si="142"/>
        <v>0</v>
      </c>
      <c r="GW94">
        <v>1</v>
      </c>
      <c r="GX94">
        <f t="shared" si="143"/>
        <v>0</v>
      </c>
      <c r="HA94">
        <v>0</v>
      </c>
      <c r="HB94">
        <v>0</v>
      </c>
      <c r="HC94">
        <f t="shared" si="144"/>
        <v>0</v>
      </c>
      <c r="HE94" t="s">
        <v>3</v>
      </c>
      <c r="HF94" t="s">
        <v>3</v>
      </c>
      <c r="IK94">
        <v>0</v>
      </c>
    </row>
    <row r="95" spans="1:245">
      <c r="A95">
        <v>17</v>
      </c>
      <c r="B95">
        <v>1</v>
      </c>
      <c r="C95">
        <f>ROW(SmtRes!A95)</f>
        <v>95</v>
      </c>
      <c r="D95">
        <f>ROW(EtalonRes!A91)</f>
        <v>91</v>
      </c>
      <c r="E95" t="s">
        <v>193</v>
      </c>
      <c r="F95" t="s">
        <v>194</v>
      </c>
      <c r="G95" t="s">
        <v>195</v>
      </c>
      <c r="H95" t="s">
        <v>196</v>
      </c>
      <c r="I95">
        <v>0.02</v>
      </c>
      <c r="J95">
        <v>0</v>
      </c>
      <c r="O95">
        <f t="shared" si="110"/>
        <v>692.02</v>
      </c>
      <c r="P95">
        <f t="shared" si="111"/>
        <v>0</v>
      </c>
      <c r="Q95">
        <f t="shared" si="112"/>
        <v>20.59</v>
      </c>
      <c r="R95">
        <f t="shared" si="113"/>
        <v>1.78</v>
      </c>
      <c r="S95">
        <f t="shared" si="114"/>
        <v>671.43</v>
      </c>
      <c r="T95">
        <f t="shared" si="115"/>
        <v>0</v>
      </c>
      <c r="U95">
        <f t="shared" si="116"/>
        <v>2.3816499999999996</v>
      </c>
      <c r="V95">
        <f t="shared" si="117"/>
        <v>4.0000000000000001E-3</v>
      </c>
      <c r="W95">
        <f t="shared" si="118"/>
        <v>0</v>
      </c>
      <c r="X95">
        <f t="shared" si="119"/>
        <v>545.29999999999995</v>
      </c>
      <c r="Y95">
        <f t="shared" si="120"/>
        <v>484.71</v>
      </c>
      <c r="AA95">
        <v>35841400</v>
      </c>
      <c r="AB95">
        <f t="shared" si="121"/>
        <v>1129.7845</v>
      </c>
      <c r="AC95">
        <f>ROUND(0,6)</f>
        <v>0</v>
      </c>
      <c r="AD95">
        <f>ROUND(((((ET95*1.25))-((EU95*1.25)))+AE95),6)</f>
        <v>114.0125</v>
      </c>
      <c r="AE95">
        <f>ROUND(((EU95*1.25)),6)</f>
        <v>2.7</v>
      </c>
      <c r="AF95">
        <f>ROUND(((EV95*1.15)),6)</f>
        <v>1015.772</v>
      </c>
      <c r="AG95">
        <f t="shared" si="123"/>
        <v>0</v>
      </c>
      <c r="AH95">
        <f>((EW95*1.15))</f>
        <v>119.08249999999998</v>
      </c>
      <c r="AI95">
        <f>((EX95*1.25))</f>
        <v>0.2</v>
      </c>
      <c r="AJ95">
        <f t="shared" si="124"/>
        <v>0</v>
      </c>
      <c r="AK95">
        <v>974.49</v>
      </c>
      <c r="AL95">
        <v>0</v>
      </c>
      <c r="AM95">
        <v>91.21</v>
      </c>
      <c r="AN95">
        <v>2.16</v>
      </c>
      <c r="AO95">
        <v>883.28</v>
      </c>
      <c r="AP95">
        <v>0</v>
      </c>
      <c r="AQ95">
        <v>103.55</v>
      </c>
      <c r="AR95">
        <v>0.16</v>
      </c>
      <c r="AS95">
        <v>0</v>
      </c>
      <c r="AT95">
        <v>81</v>
      </c>
      <c r="AU95">
        <v>72</v>
      </c>
      <c r="AV95">
        <v>1</v>
      </c>
      <c r="AW95">
        <v>1</v>
      </c>
      <c r="AZ95">
        <v>1</v>
      </c>
      <c r="BA95">
        <v>33.049999999999997</v>
      </c>
      <c r="BB95">
        <v>9.0299999999999994</v>
      </c>
      <c r="BC95">
        <v>9.84</v>
      </c>
      <c r="BD95" t="s">
        <v>3</v>
      </c>
      <c r="BE95" t="s">
        <v>3</v>
      </c>
      <c r="BF95" t="s">
        <v>3</v>
      </c>
      <c r="BG95" t="s">
        <v>3</v>
      </c>
      <c r="BH95">
        <v>0</v>
      </c>
      <c r="BI95">
        <v>1</v>
      </c>
      <c r="BJ95" t="s">
        <v>197</v>
      </c>
      <c r="BM95">
        <v>9001</v>
      </c>
      <c r="BN95">
        <v>0</v>
      </c>
      <c r="BO95" t="s">
        <v>194</v>
      </c>
      <c r="BP95">
        <v>1</v>
      </c>
      <c r="BQ95">
        <v>2</v>
      </c>
      <c r="BR95">
        <v>0</v>
      </c>
      <c r="BS95">
        <v>33.049999999999997</v>
      </c>
      <c r="BT95">
        <v>1</v>
      </c>
      <c r="BU95">
        <v>1</v>
      </c>
      <c r="BV95">
        <v>1</v>
      </c>
      <c r="BW95">
        <v>1</v>
      </c>
      <c r="BX95">
        <v>1</v>
      </c>
      <c r="BY95" t="s">
        <v>3</v>
      </c>
      <c r="BZ95">
        <v>90</v>
      </c>
      <c r="CA95">
        <v>85</v>
      </c>
      <c r="CE95">
        <v>0</v>
      </c>
      <c r="CF95">
        <v>0</v>
      </c>
      <c r="CG95">
        <v>0</v>
      </c>
      <c r="CM95">
        <v>0</v>
      </c>
      <c r="CN95" t="s">
        <v>3</v>
      </c>
      <c r="CO95">
        <v>0</v>
      </c>
      <c r="CP95">
        <f t="shared" si="125"/>
        <v>692.02</v>
      </c>
      <c r="CQ95">
        <f t="shared" si="126"/>
        <v>0</v>
      </c>
      <c r="CR95">
        <f t="shared" si="127"/>
        <v>1029.5328749999999</v>
      </c>
      <c r="CS95">
        <f t="shared" si="128"/>
        <v>89.234999999999999</v>
      </c>
      <c r="CT95">
        <f t="shared" si="129"/>
        <v>33571.264600000002</v>
      </c>
      <c r="CU95">
        <f t="shared" si="130"/>
        <v>0</v>
      </c>
      <c r="CV95">
        <f t="shared" si="131"/>
        <v>119.08249999999998</v>
      </c>
      <c r="CW95">
        <f t="shared" si="132"/>
        <v>0.2</v>
      </c>
      <c r="CX95">
        <f t="shared" si="133"/>
        <v>0</v>
      </c>
      <c r="CY95">
        <f t="shared" si="134"/>
        <v>545.30009999999993</v>
      </c>
      <c r="CZ95">
        <f t="shared" si="135"/>
        <v>484.71119999999996</v>
      </c>
      <c r="DC95" t="s">
        <v>3</v>
      </c>
      <c r="DD95" t="s">
        <v>198</v>
      </c>
      <c r="DE95" t="s">
        <v>174</v>
      </c>
      <c r="DF95" t="s">
        <v>174</v>
      </c>
      <c r="DG95" t="s">
        <v>175</v>
      </c>
      <c r="DH95" t="s">
        <v>3</v>
      </c>
      <c r="DI95" t="s">
        <v>175</v>
      </c>
      <c r="DJ95" t="s">
        <v>174</v>
      </c>
      <c r="DK95" t="s">
        <v>3</v>
      </c>
      <c r="DL95" t="s">
        <v>3</v>
      </c>
      <c r="DM95" t="s">
        <v>3</v>
      </c>
      <c r="DN95">
        <v>0</v>
      </c>
      <c r="DO95">
        <v>0</v>
      </c>
      <c r="DP95">
        <v>1</v>
      </c>
      <c r="DQ95">
        <v>1</v>
      </c>
      <c r="DU95">
        <v>1013</v>
      </c>
      <c r="DV95" t="s">
        <v>196</v>
      </c>
      <c r="DW95" t="s">
        <v>196</v>
      </c>
      <c r="DX95">
        <v>1</v>
      </c>
      <c r="DZ95" t="s">
        <v>3</v>
      </c>
      <c r="EA95" t="s">
        <v>3</v>
      </c>
      <c r="EB95" t="s">
        <v>3</v>
      </c>
      <c r="EC95" t="s">
        <v>3</v>
      </c>
      <c r="EE95">
        <v>35526078</v>
      </c>
      <c r="EF95">
        <v>2</v>
      </c>
      <c r="EG95" t="s">
        <v>34</v>
      </c>
      <c r="EH95">
        <v>0</v>
      </c>
      <c r="EI95" t="s">
        <v>3</v>
      </c>
      <c r="EJ95">
        <v>1</v>
      </c>
      <c r="EK95">
        <v>9001</v>
      </c>
      <c r="EL95" t="s">
        <v>199</v>
      </c>
      <c r="EM95" t="s">
        <v>200</v>
      </c>
      <c r="EO95" t="s">
        <v>3</v>
      </c>
      <c r="EQ95">
        <v>0</v>
      </c>
      <c r="ER95">
        <v>974.49</v>
      </c>
      <c r="ES95">
        <v>0</v>
      </c>
      <c r="ET95">
        <v>91.21</v>
      </c>
      <c r="EU95">
        <v>2.16</v>
      </c>
      <c r="EV95">
        <v>883.28</v>
      </c>
      <c r="EW95">
        <v>103.55</v>
      </c>
      <c r="EX95">
        <v>0.16</v>
      </c>
      <c r="EY95">
        <v>0</v>
      </c>
      <c r="FQ95">
        <v>0</v>
      </c>
      <c r="FR95">
        <f t="shared" si="136"/>
        <v>0</v>
      </c>
      <c r="FS95">
        <v>0</v>
      </c>
      <c r="FT95" t="s">
        <v>37</v>
      </c>
      <c r="FU95" t="s">
        <v>38</v>
      </c>
      <c r="FX95">
        <v>81</v>
      </c>
      <c r="FY95">
        <v>72.25</v>
      </c>
      <c r="GA95" t="s">
        <v>3</v>
      </c>
      <c r="GD95">
        <v>1</v>
      </c>
      <c r="GF95">
        <v>1225968437</v>
      </c>
      <c r="GG95">
        <v>2</v>
      </c>
      <c r="GH95">
        <v>2</v>
      </c>
      <c r="GI95">
        <v>2</v>
      </c>
      <c r="GJ95">
        <v>0</v>
      </c>
      <c r="GK95">
        <v>0</v>
      </c>
      <c r="GL95">
        <f t="shared" si="137"/>
        <v>0</v>
      </c>
      <c r="GM95">
        <f t="shared" si="138"/>
        <v>1722.03</v>
      </c>
      <c r="GN95">
        <f t="shared" si="139"/>
        <v>1722.03</v>
      </c>
      <c r="GO95">
        <f t="shared" si="140"/>
        <v>0</v>
      </c>
      <c r="GP95">
        <f t="shared" si="141"/>
        <v>0</v>
      </c>
      <c r="GR95">
        <v>0</v>
      </c>
      <c r="GS95">
        <v>3</v>
      </c>
      <c r="GT95">
        <v>0</v>
      </c>
      <c r="GU95" t="s">
        <v>3</v>
      </c>
      <c r="GV95">
        <f t="shared" si="142"/>
        <v>0</v>
      </c>
      <c r="GW95">
        <v>1</v>
      </c>
      <c r="GX95">
        <f t="shared" si="143"/>
        <v>0</v>
      </c>
      <c r="HA95">
        <v>0</v>
      </c>
      <c r="HB95">
        <v>0</v>
      </c>
      <c r="HC95">
        <f t="shared" si="144"/>
        <v>0</v>
      </c>
      <c r="HE95" t="s">
        <v>3</v>
      </c>
      <c r="HF95" t="s">
        <v>3</v>
      </c>
      <c r="IK95">
        <v>0</v>
      </c>
    </row>
    <row r="96" spans="1:245">
      <c r="A96">
        <v>18</v>
      </c>
      <c r="B96">
        <v>1</v>
      </c>
      <c r="C96">
        <v>93</v>
      </c>
      <c r="E96" t="s">
        <v>201</v>
      </c>
      <c r="F96" t="s">
        <v>202</v>
      </c>
      <c r="G96" t="s">
        <v>203</v>
      </c>
      <c r="H96" t="s">
        <v>204</v>
      </c>
      <c r="I96">
        <f>I95*J96</f>
        <v>1</v>
      </c>
      <c r="J96">
        <v>50</v>
      </c>
      <c r="O96">
        <f t="shared" si="110"/>
        <v>49485.3</v>
      </c>
      <c r="P96">
        <f t="shared" si="111"/>
        <v>49485.3</v>
      </c>
      <c r="Q96">
        <f t="shared" si="112"/>
        <v>0</v>
      </c>
      <c r="R96">
        <f t="shared" si="113"/>
        <v>0</v>
      </c>
      <c r="S96">
        <f t="shared" si="114"/>
        <v>0</v>
      </c>
      <c r="T96">
        <f t="shared" si="115"/>
        <v>0</v>
      </c>
      <c r="U96">
        <f t="shared" si="116"/>
        <v>0</v>
      </c>
      <c r="V96">
        <f t="shared" si="117"/>
        <v>0</v>
      </c>
      <c r="W96">
        <f t="shared" si="118"/>
        <v>388.05</v>
      </c>
      <c r="X96">
        <f t="shared" si="119"/>
        <v>0</v>
      </c>
      <c r="Y96">
        <f t="shared" si="120"/>
        <v>0</v>
      </c>
      <c r="AA96">
        <v>35841400</v>
      </c>
      <c r="AB96">
        <f t="shared" si="121"/>
        <v>8473.51</v>
      </c>
      <c r="AC96">
        <f>ROUND((ES96),6)</f>
        <v>8473.51</v>
      </c>
      <c r="AD96">
        <f>ROUND((((ET96)-(EU96))+AE96),6)</f>
        <v>0</v>
      </c>
      <c r="AE96">
        <f>ROUND((EU96),6)</f>
        <v>0</v>
      </c>
      <c r="AF96">
        <f>ROUND((EV96),6)</f>
        <v>0</v>
      </c>
      <c r="AG96">
        <f t="shared" si="123"/>
        <v>0</v>
      </c>
      <c r="AH96">
        <f>(EW96)</f>
        <v>0</v>
      </c>
      <c r="AI96">
        <f>(EX96)</f>
        <v>0</v>
      </c>
      <c r="AJ96">
        <f t="shared" si="124"/>
        <v>388.05</v>
      </c>
      <c r="AK96">
        <v>8473.51</v>
      </c>
      <c r="AL96">
        <v>8473.51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  <c r="AS96">
        <v>388.05</v>
      </c>
      <c r="AT96">
        <v>81</v>
      </c>
      <c r="AU96">
        <v>72</v>
      </c>
      <c r="AV96">
        <v>1</v>
      </c>
      <c r="AW96">
        <v>1</v>
      </c>
      <c r="AZ96">
        <v>1</v>
      </c>
      <c r="BA96">
        <v>1</v>
      </c>
      <c r="BB96">
        <v>1</v>
      </c>
      <c r="BC96">
        <v>5.84</v>
      </c>
      <c r="BD96" t="s">
        <v>3</v>
      </c>
      <c r="BE96" t="s">
        <v>3</v>
      </c>
      <c r="BF96" t="s">
        <v>3</v>
      </c>
      <c r="BG96" t="s">
        <v>3</v>
      </c>
      <c r="BH96">
        <v>3</v>
      </c>
      <c r="BI96">
        <v>1</v>
      </c>
      <c r="BJ96" t="s">
        <v>205</v>
      </c>
      <c r="BM96">
        <v>9001</v>
      </c>
      <c r="BN96">
        <v>0</v>
      </c>
      <c r="BO96" t="s">
        <v>202</v>
      </c>
      <c r="BP96">
        <v>1</v>
      </c>
      <c r="BQ96">
        <v>2</v>
      </c>
      <c r="BR96">
        <v>0</v>
      </c>
      <c r="BS96">
        <v>1</v>
      </c>
      <c r="BT96">
        <v>1</v>
      </c>
      <c r="BU96">
        <v>1</v>
      </c>
      <c r="BV96">
        <v>1</v>
      </c>
      <c r="BW96">
        <v>1</v>
      </c>
      <c r="BX96">
        <v>1</v>
      </c>
      <c r="BY96" t="s">
        <v>3</v>
      </c>
      <c r="BZ96">
        <v>90</v>
      </c>
      <c r="CA96">
        <v>85</v>
      </c>
      <c r="CE96">
        <v>0</v>
      </c>
      <c r="CF96">
        <v>0</v>
      </c>
      <c r="CG96">
        <v>0</v>
      </c>
      <c r="CM96">
        <v>0</v>
      </c>
      <c r="CN96" t="s">
        <v>3</v>
      </c>
      <c r="CO96">
        <v>0</v>
      </c>
      <c r="CP96">
        <f t="shared" si="125"/>
        <v>49485.3</v>
      </c>
      <c r="CQ96">
        <f t="shared" si="126"/>
        <v>49485.2984</v>
      </c>
      <c r="CR96">
        <f t="shared" si="127"/>
        <v>0</v>
      </c>
      <c r="CS96">
        <f t="shared" si="128"/>
        <v>0</v>
      </c>
      <c r="CT96">
        <f t="shared" si="129"/>
        <v>0</v>
      </c>
      <c r="CU96">
        <f t="shared" si="130"/>
        <v>0</v>
      </c>
      <c r="CV96">
        <f t="shared" si="131"/>
        <v>0</v>
      </c>
      <c r="CW96">
        <f t="shared" si="132"/>
        <v>0</v>
      </c>
      <c r="CX96">
        <f t="shared" si="133"/>
        <v>388.05</v>
      </c>
      <c r="CY96">
        <f t="shared" si="134"/>
        <v>0</v>
      </c>
      <c r="CZ96">
        <f t="shared" si="135"/>
        <v>0</v>
      </c>
      <c r="DC96" t="s">
        <v>3</v>
      </c>
      <c r="DD96" t="s">
        <v>3</v>
      </c>
      <c r="DE96" t="s">
        <v>3</v>
      </c>
      <c r="DF96" t="s">
        <v>3</v>
      </c>
      <c r="DG96" t="s">
        <v>3</v>
      </c>
      <c r="DH96" t="s">
        <v>3</v>
      </c>
      <c r="DI96" t="s">
        <v>3</v>
      </c>
      <c r="DJ96" t="s">
        <v>3</v>
      </c>
      <c r="DK96" t="s">
        <v>3</v>
      </c>
      <c r="DL96" t="s">
        <v>3</v>
      </c>
      <c r="DM96" t="s">
        <v>3</v>
      </c>
      <c r="DN96">
        <v>0</v>
      </c>
      <c r="DO96">
        <v>0</v>
      </c>
      <c r="DP96">
        <v>1</v>
      </c>
      <c r="DQ96">
        <v>1</v>
      </c>
      <c r="DU96">
        <v>1013</v>
      </c>
      <c r="DV96" t="s">
        <v>204</v>
      </c>
      <c r="DW96" t="s">
        <v>204</v>
      </c>
      <c r="DX96">
        <v>1</v>
      </c>
      <c r="DZ96" t="s">
        <v>3</v>
      </c>
      <c r="EA96" t="s">
        <v>3</v>
      </c>
      <c r="EB96" t="s">
        <v>3</v>
      </c>
      <c r="EC96" t="s">
        <v>3</v>
      </c>
      <c r="EE96">
        <v>35526078</v>
      </c>
      <c r="EF96">
        <v>2</v>
      </c>
      <c r="EG96" t="s">
        <v>34</v>
      </c>
      <c r="EH96">
        <v>0</v>
      </c>
      <c r="EI96" t="s">
        <v>3</v>
      </c>
      <c r="EJ96">
        <v>1</v>
      </c>
      <c r="EK96">
        <v>9001</v>
      </c>
      <c r="EL96" t="s">
        <v>199</v>
      </c>
      <c r="EM96" t="s">
        <v>200</v>
      </c>
      <c r="EO96" t="s">
        <v>3</v>
      </c>
      <c r="EQ96">
        <v>0</v>
      </c>
      <c r="ER96">
        <v>8473.51</v>
      </c>
      <c r="ES96">
        <v>8473.51</v>
      </c>
      <c r="ET96">
        <v>0</v>
      </c>
      <c r="EU96">
        <v>0</v>
      </c>
      <c r="EV96">
        <v>0</v>
      </c>
      <c r="EW96">
        <v>0</v>
      </c>
      <c r="EX96">
        <v>0</v>
      </c>
      <c r="FQ96">
        <v>0</v>
      </c>
      <c r="FR96">
        <f t="shared" si="136"/>
        <v>0</v>
      </c>
      <c r="FS96">
        <v>0</v>
      </c>
      <c r="FT96" t="s">
        <v>37</v>
      </c>
      <c r="FU96" t="s">
        <v>38</v>
      </c>
      <c r="FX96">
        <v>81</v>
      </c>
      <c r="FY96">
        <v>72.25</v>
      </c>
      <c r="GA96" t="s">
        <v>3</v>
      </c>
      <c r="GD96">
        <v>1</v>
      </c>
      <c r="GF96">
        <v>-601878019</v>
      </c>
      <c r="GG96">
        <v>2</v>
      </c>
      <c r="GH96">
        <v>1</v>
      </c>
      <c r="GI96">
        <v>2</v>
      </c>
      <c r="GJ96">
        <v>0</v>
      </c>
      <c r="GK96">
        <v>0</v>
      </c>
      <c r="GL96">
        <f t="shared" si="137"/>
        <v>0</v>
      </c>
      <c r="GM96">
        <f t="shared" si="138"/>
        <v>49485.3</v>
      </c>
      <c r="GN96">
        <f t="shared" si="139"/>
        <v>49485.3</v>
      </c>
      <c r="GO96">
        <f t="shared" si="140"/>
        <v>0</v>
      </c>
      <c r="GP96">
        <f t="shared" si="141"/>
        <v>0</v>
      </c>
      <c r="GR96">
        <v>0</v>
      </c>
      <c r="GS96">
        <v>3</v>
      </c>
      <c r="GT96">
        <v>0</v>
      </c>
      <c r="GU96" t="s">
        <v>3</v>
      </c>
      <c r="GV96">
        <f t="shared" si="142"/>
        <v>0</v>
      </c>
      <c r="GW96">
        <v>1</v>
      </c>
      <c r="GX96">
        <f t="shared" si="143"/>
        <v>0</v>
      </c>
      <c r="HA96">
        <v>0</v>
      </c>
      <c r="HB96">
        <v>0</v>
      </c>
      <c r="HC96">
        <f t="shared" si="144"/>
        <v>0</v>
      </c>
      <c r="HE96" t="s">
        <v>3</v>
      </c>
      <c r="HF96" t="s">
        <v>3</v>
      </c>
      <c r="IK96">
        <v>0</v>
      </c>
    </row>
    <row r="97" spans="1:245">
      <c r="A97">
        <v>18</v>
      </c>
      <c r="B97">
        <v>1</v>
      </c>
      <c r="C97">
        <v>95</v>
      </c>
      <c r="E97" t="s">
        <v>206</v>
      </c>
      <c r="F97" t="s">
        <v>207</v>
      </c>
      <c r="G97" t="s">
        <v>208</v>
      </c>
      <c r="H97" t="s">
        <v>209</v>
      </c>
      <c r="I97">
        <f>I95*J97</f>
        <v>1</v>
      </c>
      <c r="J97">
        <v>50</v>
      </c>
      <c r="O97">
        <f t="shared" si="110"/>
        <v>15148.89</v>
      </c>
      <c r="P97">
        <f t="shared" si="111"/>
        <v>15148.89</v>
      </c>
      <c r="Q97">
        <f t="shared" si="112"/>
        <v>0</v>
      </c>
      <c r="R97">
        <f t="shared" si="113"/>
        <v>0</v>
      </c>
      <c r="S97">
        <f t="shared" si="114"/>
        <v>0</v>
      </c>
      <c r="T97">
        <f t="shared" si="115"/>
        <v>0</v>
      </c>
      <c r="U97">
        <f t="shared" si="116"/>
        <v>0</v>
      </c>
      <c r="V97">
        <f t="shared" si="117"/>
        <v>0</v>
      </c>
      <c r="W97">
        <f t="shared" si="118"/>
        <v>0</v>
      </c>
      <c r="X97">
        <f t="shared" si="119"/>
        <v>0</v>
      </c>
      <c r="Y97">
        <f t="shared" si="120"/>
        <v>0</v>
      </c>
      <c r="AA97">
        <v>35841400</v>
      </c>
      <c r="AB97">
        <f t="shared" si="121"/>
        <v>15148.89</v>
      </c>
      <c r="AC97">
        <f>ROUND((ES97),6)</f>
        <v>15148.89</v>
      </c>
      <c r="AD97">
        <f>ROUND((((ET97)-(EU97))+AE97),6)</f>
        <v>0</v>
      </c>
      <c r="AE97">
        <f>ROUND((EU97),6)</f>
        <v>0</v>
      </c>
      <c r="AF97">
        <f>ROUND((EV97),6)</f>
        <v>0</v>
      </c>
      <c r="AG97">
        <f t="shared" si="123"/>
        <v>0</v>
      </c>
      <c r="AH97">
        <f>(EW97)</f>
        <v>0</v>
      </c>
      <c r="AI97">
        <f>(EX97)</f>
        <v>0</v>
      </c>
      <c r="AJ97">
        <f t="shared" si="124"/>
        <v>0</v>
      </c>
      <c r="AK97">
        <v>15148.89</v>
      </c>
      <c r="AL97">
        <v>15148.89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81</v>
      </c>
      <c r="AU97">
        <v>72</v>
      </c>
      <c r="AV97">
        <v>1</v>
      </c>
      <c r="AW97">
        <v>1</v>
      </c>
      <c r="AZ97">
        <v>1</v>
      </c>
      <c r="BA97">
        <v>1</v>
      </c>
      <c r="BB97">
        <v>1</v>
      </c>
      <c r="BC97">
        <v>1</v>
      </c>
      <c r="BD97" t="s">
        <v>3</v>
      </c>
      <c r="BE97" t="s">
        <v>3</v>
      </c>
      <c r="BF97" t="s">
        <v>3</v>
      </c>
      <c r="BG97" t="s">
        <v>3</v>
      </c>
      <c r="BH97">
        <v>3</v>
      </c>
      <c r="BI97">
        <v>1</v>
      </c>
      <c r="BJ97" t="s">
        <v>3</v>
      </c>
      <c r="BM97">
        <v>9001</v>
      </c>
      <c r="BN97">
        <v>0</v>
      </c>
      <c r="BO97" t="s">
        <v>3</v>
      </c>
      <c r="BP97">
        <v>0</v>
      </c>
      <c r="BQ97">
        <v>2</v>
      </c>
      <c r="BR97">
        <v>0</v>
      </c>
      <c r="BS97">
        <v>1</v>
      </c>
      <c r="BT97">
        <v>1</v>
      </c>
      <c r="BU97">
        <v>1</v>
      </c>
      <c r="BV97">
        <v>1</v>
      </c>
      <c r="BW97">
        <v>1</v>
      </c>
      <c r="BX97">
        <v>1</v>
      </c>
      <c r="BY97" t="s">
        <v>3</v>
      </c>
      <c r="BZ97">
        <v>90</v>
      </c>
      <c r="CA97">
        <v>85</v>
      </c>
      <c r="CE97">
        <v>0</v>
      </c>
      <c r="CF97">
        <v>0</v>
      </c>
      <c r="CG97">
        <v>0</v>
      </c>
      <c r="CM97">
        <v>0</v>
      </c>
      <c r="CN97" t="s">
        <v>3</v>
      </c>
      <c r="CO97">
        <v>0</v>
      </c>
      <c r="CP97">
        <f t="shared" si="125"/>
        <v>15148.89</v>
      </c>
      <c r="CQ97">
        <f t="shared" si="126"/>
        <v>15148.89</v>
      </c>
      <c r="CR97">
        <f t="shared" si="127"/>
        <v>0</v>
      </c>
      <c r="CS97">
        <f t="shared" si="128"/>
        <v>0</v>
      </c>
      <c r="CT97">
        <f t="shared" si="129"/>
        <v>0</v>
      </c>
      <c r="CU97">
        <f t="shared" si="130"/>
        <v>0</v>
      </c>
      <c r="CV97">
        <f t="shared" si="131"/>
        <v>0</v>
      </c>
      <c r="CW97">
        <f t="shared" si="132"/>
        <v>0</v>
      </c>
      <c r="CX97">
        <f t="shared" si="133"/>
        <v>0</v>
      </c>
      <c r="CY97">
        <f t="shared" si="134"/>
        <v>0</v>
      </c>
      <c r="CZ97">
        <f t="shared" si="135"/>
        <v>0</v>
      </c>
      <c r="DC97" t="s">
        <v>3</v>
      </c>
      <c r="DD97" t="s">
        <v>3</v>
      </c>
      <c r="DE97" t="s">
        <v>3</v>
      </c>
      <c r="DF97" t="s">
        <v>3</v>
      </c>
      <c r="DG97" t="s">
        <v>3</v>
      </c>
      <c r="DH97" t="s">
        <v>3</v>
      </c>
      <c r="DI97" t="s">
        <v>3</v>
      </c>
      <c r="DJ97" t="s">
        <v>3</v>
      </c>
      <c r="DK97" t="s">
        <v>3</v>
      </c>
      <c r="DL97" t="s">
        <v>3</v>
      </c>
      <c r="DM97" t="s">
        <v>3</v>
      </c>
      <c r="DN97">
        <v>0</v>
      </c>
      <c r="DO97">
        <v>0</v>
      </c>
      <c r="DP97">
        <v>1</v>
      </c>
      <c r="DQ97">
        <v>1</v>
      </c>
      <c r="DU97">
        <v>1010</v>
      </c>
      <c r="DV97" t="s">
        <v>209</v>
      </c>
      <c r="DW97" t="s">
        <v>209</v>
      </c>
      <c r="DX97">
        <v>1</v>
      </c>
      <c r="DZ97" t="s">
        <v>3</v>
      </c>
      <c r="EA97" t="s">
        <v>3</v>
      </c>
      <c r="EB97" t="s">
        <v>3</v>
      </c>
      <c r="EC97" t="s">
        <v>3</v>
      </c>
      <c r="EE97">
        <v>35526078</v>
      </c>
      <c r="EF97">
        <v>2</v>
      </c>
      <c r="EG97" t="s">
        <v>34</v>
      </c>
      <c r="EH97">
        <v>0</v>
      </c>
      <c r="EI97" t="s">
        <v>3</v>
      </c>
      <c r="EJ97">
        <v>1</v>
      </c>
      <c r="EK97">
        <v>9001</v>
      </c>
      <c r="EL97" t="s">
        <v>199</v>
      </c>
      <c r="EM97" t="s">
        <v>200</v>
      </c>
      <c r="EO97" t="s">
        <v>3</v>
      </c>
      <c r="EQ97">
        <v>0</v>
      </c>
      <c r="ER97">
        <v>0</v>
      </c>
      <c r="ES97">
        <v>15148.89</v>
      </c>
      <c r="ET97">
        <v>0</v>
      </c>
      <c r="EU97">
        <v>0</v>
      </c>
      <c r="EV97">
        <v>0</v>
      </c>
      <c r="EW97">
        <v>0</v>
      </c>
      <c r="EX97">
        <v>0</v>
      </c>
      <c r="FQ97">
        <v>0</v>
      </c>
      <c r="FR97">
        <f t="shared" si="136"/>
        <v>0</v>
      </c>
      <c r="FS97">
        <v>0</v>
      </c>
      <c r="FT97" t="s">
        <v>37</v>
      </c>
      <c r="FU97" t="s">
        <v>38</v>
      </c>
      <c r="FX97">
        <v>81</v>
      </c>
      <c r="FY97">
        <v>72.25</v>
      </c>
      <c r="GA97" t="s">
        <v>210</v>
      </c>
      <c r="GD97">
        <v>1</v>
      </c>
      <c r="GF97">
        <v>1500290331</v>
      </c>
      <c r="GG97">
        <v>2</v>
      </c>
      <c r="GH97">
        <v>2</v>
      </c>
      <c r="GI97">
        <v>-2</v>
      </c>
      <c r="GJ97">
        <v>0</v>
      </c>
      <c r="GK97">
        <v>0</v>
      </c>
      <c r="GL97">
        <f t="shared" si="137"/>
        <v>0</v>
      </c>
      <c r="GM97">
        <f t="shared" si="138"/>
        <v>15148.89</v>
      </c>
      <c r="GN97">
        <f t="shared" si="139"/>
        <v>15148.89</v>
      </c>
      <c r="GO97">
        <f t="shared" si="140"/>
        <v>0</v>
      </c>
      <c r="GP97">
        <f t="shared" si="141"/>
        <v>0</v>
      </c>
      <c r="GR97">
        <v>0</v>
      </c>
      <c r="GS97">
        <v>4</v>
      </c>
      <c r="GT97">
        <v>0</v>
      </c>
      <c r="GU97" t="s">
        <v>3</v>
      </c>
      <c r="GV97">
        <f t="shared" si="142"/>
        <v>0</v>
      </c>
      <c r="GW97">
        <v>1</v>
      </c>
      <c r="GX97">
        <f t="shared" si="143"/>
        <v>0</v>
      </c>
      <c r="HA97">
        <v>0</v>
      </c>
      <c r="HB97">
        <v>0</v>
      </c>
      <c r="HC97">
        <f t="shared" si="144"/>
        <v>0</v>
      </c>
      <c r="HE97" t="s">
        <v>3</v>
      </c>
      <c r="HF97" t="s">
        <v>3</v>
      </c>
      <c r="IK97">
        <v>0</v>
      </c>
    </row>
    <row r="99" spans="1:245">
      <c r="A99" s="2">
        <v>51</v>
      </c>
      <c r="B99" s="2">
        <f>B75</f>
        <v>1</v>
      </c>
      <c r="C99" s="2">
        <f>A75</f>
        <v>5</v>
      </c>
      <c r="D99" s="2">
        <f>ROW(A75)</f>
        <v>75</v>
      </c>
      <c r="E99" s="2"/>
      <c r="F99" s="2" t="str">
        <f>IF(F75&lt;&gt;"",F75,"")</f>
        <v>Новый подраздел</v>
      </c>
      <c r="G99" s="2" t="str">
        <f>IF(G75&lt;&gt;"",G75,"")</f>
        <v>стены</v>
      </c>
      <c r="H99" s="2">
        <v>0</v>
      </c>
      <c r="I99" s="2"/>
      <c r="J99" s="2"/>
      <c r="K99" s="2"/>
      <c r="L99" s="2"/>
      <c r="M99" s="2"/>
      <c r="N99" s="2"/>
      <c r="O99" s="2">
        <f t="shared" ref="O99:T99" si="147">ROUND(AB99,2)</f>
        <v>349134.28</v>
      </c>
      <c r="P99" s="2">
        <f t="shared" si="147"/>
        <v>233963.38</v>
      </c>
      <c r="Q99" s="2">
        <f t="shared" si="147"/>
        <v>7506.09</v>
      </c>
      <c r="R99" s="2">
        <f t="shared" si="147"/>
        <v>3806.05</v>
      </c>
      <c r="S99" s="2">
        <f t="shared" si="147"/>
        <v>107664.81</v>
      </c>
      <c r="T99" s="2">
        <f t="shared" si="147"/>
        <v>0</v>
      </c>
      <c r="U99" s="2">
        <f>AH99</f>
        <v>363.27983799999998</v>
      </c>
      <c r="V99" s="2">
        <f>AI99</f>
        <v>10.940964999999998</v>
      </c>
      <c r="W99" s="2">
        <f>ROUND(AJ99,2)</f>
        <v>1276.6300000000001</v>
      </c>
      <c r="X99" s="2">
        <f>ROUND(AK99,2)</f>
        <v>109045.88</v>
      </c>
      <c r="Y99" s="2">
        <f>ROUND(AL99,2)</f>
        <v>62318.47</v>
      </c>
      <c r="Z99" s="2"/>
      <c r="AA99" s="2"/>
      <c r="AB99" s="2">
        <f>ROUND(SUMIF(AA79:AA97,"=35841400",O79:O97),2)</f>
        <v>349134.28</v>
      </c>
      <c r="AC99" s="2">
        <f>ROUND(SUMIF(AA79:AA97,"=35841400",P79:P97),2)</f>
        <v>233963.38</v>
      </c>
      <c r="AD99" s="2">
        <f>ROUND(SUMIF(AA79:AA97,"=35841400",Q79:Q97),2)</f>
        <v>7506.09</v>
      </c>
      <c r="AE99" s="2">
        <f>ROUND(SUMIF(AA79:AA97,"=35841400",R79:R97),2)</f>
        <v>3806.05</v>
      </c>
      <c r="AF99" s="2">
        <f>ROUND(SUMIF(AA79:AA97,"=35841400",S79:S97),2)</f>
        <v>107664.81</v>
      </c>
      <c r="AG99" s="2">
        <f>ROUND(SUMIF(AA79:AA97,"=35841400",T79:T97),2)</f>
        <v>0</v>
      </c>
      <c r="AH99" s="2">
        <f>SUMIF(AA79:AA97,"=35841400",U79:U97)</f>
        <v>363.27983799999998</v>
      </c>
      <c r="AI99" s="2">
        <f>SUMIF(AA79:AA97,"=35841400",V79:V97)</f>
        <v>10.940964999999998</v>
      </c>
      <c r="AJ99" s="2">
        <f>ROUND(SUMIF(AA79:AA97,"=35841400",W79:W97),2)</f>
        <v>1276.6300000000001</v>
      </c>
      <c r="AK99" s="2">
        <f>ROUND(SUMIF(AA79:AA97,"=35841400",X79:X97),2)</f>
        <v>109045.88</v>
      </c>
      <c r="AL99" s="2">
        <f>ROUND(SUMIF(AA79:AA97,"=35841400",Y79:Y97),2)</f>
        <v>62318.47</v>
      </c>
      <c r="AM99" s="2"/>
      <c r="AN99" s="2"/>
      <c r="AO99" s="2">
        <f t="shared" ref="AO99:BD99" si="148">ROUND(BX99,2)</f>
        <v>0</v>
      </c>
      <c r="AP99" s="2">
        <f t="shared" si="148"/>
        <v>0</v>
      </c>
      <c r="AQ99" s="2">
        <f t="shared" si="148"/>
        <v>0</v>
      </c>
      <c r="AR99" s="2">
        <f t="shared" si="148"/>
        <v>520498.63</v>
      </c>
      <c r="AS99" s="2">
        <f t="shared" si="148"/>
        <v>520498.63</v>
      </c>
      <c r="AT99" s="2">
        <f t="shared" si="148"/>
        <v>0</v>
      </c>
      <c r="AU99" s="2">
        <f t="shared" si="148"/>
        <v>0</v>
      </c>
      <c r="AV99" s="2">
        <f t="shared" si="148"/>
        <v>233963.38</v>
      </c>
      <c r="AW99" s="2">
        <f t="shared" si="148"/>
        <v>233963.38</v>
      </c>
      <c r="AX99" s="2">
        <f t="shared" si="148"/>
        <v>0</v>
      </c>
      <c r="AY99" s="2">
        <f t="shared" si="148"/>
        <v>233963.38</v>
      </c>
      <c r="AZ99" s="2">
        <f t="shared" si="148"/>
        <v>0</v>
      </c>
      <c r="BA99" s="2">
        <f t="shared" si="148"/>
        <v>0</v>
      </c>
      <c r="BB99" s="2">
        <f t="shared" si="148"/>
        <v>0</v>
      </c>
      <c r="BC99" s="2">
        <f t="shared" si="148"/>
        <v>0</v>
      </c>
      <c r="BD99" s="2">
        <f t="shared" si="148"/>
        <v>0</v>
      </c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>
        <f>ROUND(SUMIF(AA79:AA97,"=35841400",FQ79:FQ97),2)</f>
        <v>0</v>
      </c>
      <c r="BY99" s="2">
        <f>ROUND(SUMIF(AA79:AA97,"=35841400",FR79:FR97),2)</f>
        <v>0</v>
      </c>
      <c r="BZ99" s="2">
        <f>ROUND(SUMIF(AA79:AA97,"=35841400",GL79:GL97),2)</f>
        <v>0</v>
      </c>
      <c r="CA99" s="2">
        <f>ROUND(SUMIF(AA79:AA97,"=35841400",GM79:GM97),2)</f>
        <v>520498.63</v>
      </c>
      <c r="CB99" s="2">
        <f>ROUND(SUMIF(AA79:AA97,"=35841400",GN79:GN97),2)</f>
        <v>520498.63</v>
      </c>
      <c r="CC99" s="2">
        <f>ROUND(SUMIF(AA79:AA97,"=35841400",GO79:GO97),2)</f>
        <v>0</v>
      </c>
      <c r="CD99" s="2">
        <f>ROUND(SUMIF(AA79:AA97,"=35841400",GP79:GP97),2)</f>
        <v>0</v>
      </c>
      <c r="CE99" s="2">
        <f>AC99-BX99</f>
        <v>233963.38</v>
      </c>
      <c r="CF99" s="2">
        <f>AC99-BY99</f>
        <v>233963.38</v>
      </c>
      <c r="CG99" s="2">
        <f>BX99-BZ99</f>
        <v>0</v>
      </c>
      <c r="CH99" s="2">
        <f>AC99-BX99-BY99+BZ99</f>
        <v>233963.38</v>
      </c>
      <c r="CI99" s="2">
        <f>BY99-BZ99</f>
        <v>0</v>
      </c>
      <c r="CJ99" s="2">
        <f>ROUND(SUMIF(AA79:AA97,"=35841400",GX79:GX97),2)</f>
        <v>0</v>
      </c>
      <c r="CK99" s="2">
        <f>ROUND(SUMIF(AA79:AA97,"=35841400",GY79:GY97),2)</f>
        <v>0</v>
      </c>
      <c r="CL99" s="2">
        <f>ROUND(SUMIF(AA79:AA97,"=35841400",GZ79:GZ97),2)</f>
        <v>0</v>
      </c>
      <c r="CM99" s="2">
        <f>ROUND(SUMIF(AA79:AA97,"=35841400",HD79:HD97),2)</f>
        <v>0</v>
      </c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>
        <v>0</v>
      </c>
    </row>
    <row r="101" spans="1:245">
      <c r="A101" s="4">
        <v>50</v>
      </c>
      <c r="B101" s="4">
        <v>0</v>
      </c>
      <c r="C101" s="4">
        <v>0</v>
      </c>
      <c r="D101" s="4">
        <v>1</v>
      </c>
      <c r="E101" s="4">
        <v>201</v>
      </c>
      <c r="F101" s="4">
        <f>ROUND(Source!O99,O101)</f>
        <v>349134.28</v>
      </c>
      <c r="G101" s="4" t="s">
        <v>66</v>
      </c>
      <c r="H101" s="4" t="s">
        <v>67</v>
      </c>
      <c r="I101" s="4"/>
      <c r="J101" s="4"/>
      <c r="K101" s="4">
        <v>201</v>
      </c>
      <c r="L101" s="4">
        <v>1</v>
      </c>
      <c r="M101" s="4">
        <v>3</v>
      </c>
      <c r="N101" s="4" t="s">
        <v>3</v>
      </c>
      <c r="O101" s="4">
        <v>2</v>
      </c>
      <c r="P101" s="4"/>
      <c r="Q101" s="4"/>
      <c r="R101" s="4"/>
      <c r="S101" s="4"/>
      <c r="T101" s="4"/>
      <c r="U101" s="4"/>
      <c r="V101" s="4"/>
      <c r="W101" s="4"/>
    </row>
    <row r="102" spans="1:245">
      <c r="A102" s="4">
        <v>50</v>
      </c>
      <c r="B102" s="4">
        <v>0</v>
      </c>
      <c r="C102" s="4">
        <v>0</v>
      </c>
      <c r="D102" s="4">
        <v>1</v>
      </c>
      <c r="E102" s="4">
        <v>202</v>
      </c>
      <c r="F102" s="4">
        <f>ROUND(Source!P99,O102)</f>
        <v>233963.38</v>
      </c>
      <c r="G102" s="4" t="s">
        <v>68</v>
      </c>
      <c r="H102" s="4" t="s">
        <v>69</v>
      </c>
      <c r="I102" s="4"/>
      <c r="J102" s="4"/>
      <c r="K102" s="4">
        <v>202</v>
      </c>
      <c r="L102" s="4">
        <v>2</v>
      </c>
      <c r="M102" s="4">
        <v>3</v>
      </c>
      <c r="N102" s="4" t="s">
        <v>3</v>
      </c>
      <c r="O102" s="4">
        <v>2</v>
      </c>
      <c r="P102" s="4"/>
      <c r="Q102" s="4"/>
      <c r="R102" s="4"/>
      <c r="S102" s="4"/>
      <c r="T102" s="4"/>
      <c r="U102" s="4"/>
      <c r="V102" s="4"/>
      <c r="W102" s="4"/>
    </row>
    <row r="103" spans="1:245">
      <c r="A103" s="4">
        <v>50</v>
      </c>
      <c r="B103" s="4">
        <v>0</v>
      </c>
      <c r="C103" s="4">
        <v>0</v>
      </c>
      <c r="D103" s="4">
        <v>1</v>
      </c>
      <c r="E103" s="4">
        <v>222</v>
      </c>
      <c r="F103" s="4">
        <f>ROUND(Source!AO99,O103)</f>
        <v>0</v>
      </c>
      <c r="G103" s="4" t="s">
        <v>70</v>
      </c>
      <c r="H103" s="4" t="s">
        <v>71</v>
      </c>
      <c r="I103" s="4"/>
      <c r="J103" s="4"/>
      <c r="K103" s="4">
        <v>222</v>
      </c>
      <c r="L103" s="4">
        <v>3</v>
      </c>
      <c r="M103" s="4">
        <v>3</v>
      </c>
      <c r="N103" s="4" t="s">
        <v>3</v>
      </c>
      <c r="O103" s="4">
        <v>2</v>
      </c>
      <c r="P103" s="4"/>
      <c r="Q103" s="4"/>
      <c r="R103" s="4"/>
      <c r="S103" s="4"/>
      <c r="T103" s="4"/>
      <c r="U103" s="4"/>
      <c r="V103" s="4"/>
      <c r="W103" s="4"/>
    </row>
    <row r="104" spans="1:245">
      <c r="A104" s="4">
        <v>50</v>
      </c>
      <c r="B104" s="4">
        <v>0</v>
      </c>
      <c r="C104" s="4">
        <v>0</v>
      </c>
      <c r="D104" s="4">
        <v>1</v>
      </c>
      <c r="E104" s="4">
        <v>225</v>
      </c>
      <c r="F104" s="4">
        <f>ROUND(Source!AV99,O104)</f>
        <v>233963.38</v>
      </c>
      <c r="G104" s="4" t="s">
        <v>72</v>
      </c>
      <c r="H104" s="4" t="s">
        <v>73</v>
      </c>
      <c r="I104" s="4"/>
      <c r="J104" s="4"/>
      <c r="K104" s="4">
        <v>225</v>
      </c>
      <c r="L104" s="4">
        <v>4</v>
      </c>
      <c r="M104" s="4">
        <v>3</v>
      </c>
      <c r="N104" s="4" t="s">
        <v>3</v>
      </c>
      <c r="O104" s="4">
        <v>2</v>
      </c>
      <c r="P104" s="4"/>
      <c r="Q104" s="4"/>
      <c r="R104" s="4"/>
      <c r="S104" s="4"/>
      <c r="T104" s="4"/>
      <c r="U104" s="4"/>
      <c r="V104" s="4"/>
      <c r="W104" s="4"/>
    </row>
    <row r="105" spans="1:245">
      <c r="A105" s="4">
        <v>50</v>
      </c>
      <c r="B105" s="4">
        <v>0</v>
      </c>
      <c r="C105" s="4">
        <v>0</v>
      </c>
      <c r="D105" s="4">
        <v>1</v>
      </c>
      <c r="E105" s="4">
        <v>226</v>
      </c>
      <c r="F105" s="4">
        <f>ROUND(Source!AW99,O105)</f>
        <v>233963.38</v>
      </c>
      <c r="G105" s="4" t="s">
        <v>74</v>
      </c>
      <c r="H105" s="4" t="s">
        <v>75</v>
      </c>
      <c r="I105" s="4"/>
      <c r="J105" s="4"/>
      <c r="K105" s="4">
        <v>226</v>
      </c>
      <c r="L105" s="4">
        <v>5</v>
      </c>
      <c r="M105" s="4">
        <v>3</v>
      </c>
      <c r="N105" s="4" t="s">
        <v>3</v>
      </c>
      <c r="O105" s="4">
        <v>2</v>
      </c>
      <c r="P105" s="4"/>
      <c r="Q105" s="4"/>
      <c r="R105" s="4"/>
      <c r="S105" s="4"/>
      <c r="T105" s="4"/>
      <c r="U105" s="4"/>
      <c r="V105" s="4"/>
      <c r="W105" s="4"/>
    </row>
    <row r="106" spans="1:245">
      <c r="A106" s="4">
        <v>50</v>
      </c>
      <c r="B106" s="4">
        <v>0</v>
      </c>
      <c r="C106" s="4">
        <v>0</v>
      </c>
      <c r="D106" s="4">
        <v>1</v>
      </c>
      <c r="E106" s="4">
        <v>227</v>
      </c>
      <c r="F106" s="4">
        <f>ROUND(Source!AX99,O106)</f>
        <v>0</v>
      </c>
      <c r="G106" s="4" t="s">
        <v>76</v>
      </c>
      <c r="H106" s="4" t="s">
        <v>77</v>
      </c>
      <c r="I106" s="4"/>
      <c r="J106" s="4"/>
      <c r="K106" s="4">
        <v>227</v>
      </c>
      <c r="L106" s="4">
        <v>6</v>
      </c>
      <c r="M106" s="4">
        <v>3</v>
      </c>
      <c r="N106" s="4" t="s">
        <v>3</v>
      </c>
      <c r="O106" s="4">
        <v>2</v>
      </c>
      <c r="P106" s="4"/>
      <c r="Q106" s="4"/>
      <c r="R106" s="4"/>
      <c r="S106" s="4"/>
      <c r="T106" s="4"/>
      <c r="U106" s="4"/>
      <c r="V106" s="4"/>
      <c r="W106" s="4"/>
    </row>
    <row r="107" spans="1:245">
      <c r="A107" s="4">
        <v>50</v>
      </c>
      <c r="B107" s="4">
        <v>0</v>
      </c>
      <c r="C107" s="4">
        <v>0</v>
      </c>
      <c r="D107" s="4">
        <v>1</v>
      </c>
      <c r="E107" s="4">
        <v>228</v>
      </c>
      <c r="F107" s="4">
        <f>ROUND(Source!AY99,O107)</f>
        <v>233963.38</v>
      </c>
      <c r="G107" s="4" t="s">
        <v>78</v>
      </c>
      <c r="H107" s="4" t="s">
        <v>79</v>
      </c>
      <c r="I107" s="4"/>
      <c r="J107" s="4"/>
      <c r="K107" s="4">
        <v>228</v>
      </c>
      <c r="L107" s="4">
        <v>7</v>
      </c>
      <c r="M107" s="4">
        <v>3</v>
      </c>
      <c r="N107" s="4" t="s">
        <v>3</v>
      </c>
      <c r="O107" s="4">
        <v>2</v>
      </c>
      <c r="P107" s="4"/>
      <c r="Q107" s="4"/>
      <c r="R107" s="4"/>
      <c r="S107" s="4"/>
      <c r="T107" s="4"/>
      <c r="U107" s="4"/>
      <c r="V107" s="4"/>
      <c r="W107" s="4"/>
    </row>
    <row r="108" spans="1:245">
      <c r="A108" s="4">
        <v>50</v>
      </c>
      <c r="B108" s="4">
        <v>0</v>
      </c>
      <c r="C108" s="4">
        <v>0</v>
      </c>
      <c r="D108" s="4">
        <v>1</v>
      </c>
      <c r="E108" s="4">
        <v>216</v>
      </c>
      <c r="F108" s="4">
        <f>ROUND(Source!AP99,O108)</f>
        <v>0</v>
      </c>
      <c r="G108" s="4" t="s">
        <v>80</v>
      </c>
      <c r="H108" s="4" t="s">
        <v>81</v>
      </c>
      <c r="I108" s="4"/>
      <c r="J108" s="4"/>
      <c r="K108" s="4">
        <v>216</v>
      </c>
      <c r="L108" s="4">
        <v>8</v>
      </c>
      <c r="M108" s="4">
        <v>3</v>
      </c>
      <c r="N108" s="4" t="s">
        <v>3</v>
      </c>
      <c r="O108" s="4">
        <v>2</v>
      </c>
      <c r="P108" s="4"/>
      <c r="Q108" s="4"/>
      <c r="R108" s="4"/>
      <c r="S108" s="4"/>
      <c r="T108" s="4"/>
      <c r="U108" s="4"/>
      <c r="V108" s="4"/>
      <c r="W108" s="4"/>
    </row>
    <row r="109" spans="1:245">
      <c r="A109" s="4">
        <v>50</v>
      </c>
      <c r="B109" s="4">
        <v>0</v>
      </c>
      <c r="C109" s="4">
        <v>0</v>
      </c>
      <c r="D109" s="4">
        <v>1</v>
      </c>
      <c r="E109" s="4">
        <v>223</v>
      </c>
      <c r="F109" s="4">
        <f>ROUND(Source!AQ99,O109)</f>
        <v>0</v>
      </c>
      <c r="G109" s="4" t="s">
        <v>82</v>
      </c>
      <c r="H109" s="4" t="s">
        <v>83</v>
      </c>
      <c r="I109" s="4"/>
      <c r="J109" s="4"/>
      <c r="K109" s="4">
        <v>223</v>
      </c>
      <c r="L109" s="4">
        <v>9</v>
      </c>
      <c r="M109" s="4">
        <v>3</v>
      </c>
      <c r="N109" s="4" t="s">
        <v>3</v>
      </c>
      <c r="O109" s="4">
        <v>2</v>
      </c>
      <c r="P109" s="4"/>
      <c r="Q109" s="4"/>
      <c r="R109" s="4"/>
      <c r="S109" s="4"/>
      <c r="T109" s="4"/>
      <c r="U109" s="4"/>
      <c r="V109" s="4"/>
      <c r="W109" s="4"/>
    </row>
    <row r="110" spans="1:245">
      <c r="A110" s="4">
        <v>50</v>
      </c>
      <c r="B110" s="4">
        <v>0</v>
      </c>
      <c r="C110" s="4">
        <v>0</v>
      </c>
      <c r="D110" s="4">
        <v>1</v>
      </c>
      <c r="E110" s="4">
        <v>229</v>
      </c>
      <c r="F110" s="4">
        <f>ROUND(Source!AZ99,O110)</f>
        <v>0</v>
      </c>
      <c r="G110" s="4" t="s">
        <v>84</v>
      </c>
      <c r="H110" s="4" t="s">
        <v>85</v>
      </c>
      <c r="I110" s="4"/>
      <c r="J110" s="4"/>
      <c r="K110" s="4">
        <v>229</v>
      </c>
      <c r="L110" s="4">
        <v>10</v>
      </c>
      <c r="M110" s="4">
        <v>3</v>
      </c>
      <c r="N110" s="4" t="s">
        <v>3</v>
      </c>
      <c r="O110" s="4">
        <v>2</v>
      </c>
      <c r="P110" s="4"/>
      <c r="Q110" s="4"/>
      <c r="R110" s="4"/>
      <c r="S110" s="4"/>
      <c r="T110" s="4"/>
      <c r="U110" s="4"/>
      <c r="V110" s="4"/>
      <c r="W110" s="4"/>
    </row>
    <row r="111" spans="1:245">
      <c r="A111" s="4">
        <v>50</v>
      </c>
      <c r="B111" s="4">
        <v>0</v>
      </c>
      <c r="C111" s="4">
        <v>0</v>
      </c>
      <c r="D111" s="4">
        <v>1</v>
      </c>
      <c r="E111" s="4">
        <v>203</v>
      </c>
      <c r="F111" s="4">
        <f>ROUND(Source!Q99,O111)</f>
        <v>7506.09</v>
      </c>
      <c r="G111" s="4" t="s">
        <v>86</v>
      </c>
      <c r="H111" s="4" t="s">
        <v>87</v>
      </c>
      <c r="I111" s="4"/>
      <c r="J111" s="4"/>
      <c r="K111" s="4">
        <v>203</v>
      </c>
      <c r="L111" s="4">
        <v>11</v>
      </c>
      <c r="M111" s="4">
        <v>3</v>
      </c>
      <c r="N111" s="4" t="s">
        <v>3</v>
      </c>
      <c r="O111" s="4">
        <v>2</v>
      </c>
      <c r="P111" s="4"/>
      <c r="Q111" s="4"/>
      <c r="R111" s="4"/>
      <c r="S111" s="4"/>
      <c r="T111" s="4"/>
      <c r="U111" s="4"/>
      <c r="V111" s="4"/>
      <c r="W111" s="4"/>
    </row>
    <row r="112" spans="1:245">
      <c r="A112" s="4">
        <v>50</v>
      </c>
      <c r="B112" s="4">
        <v>0</v>
      </c>
      <c r="C112" s="4">
        <v>0</v>
      </c>
      <c r="D112" s="4">
        <v>1</v>
      </c>
      <c r="E112" s="4">
        <v>231</v>
      </c>
      <c r="F112" s="4">
        <f>ROUND(Source!BB99,O112)</f>
        <v>0</v>
      </c>
      <c r="G112" s="4" t="s">
        <v>88</v>
      </c>
      <c r="H112" s="4" t="s">
        <v>89</v>
      </c>
      <c r="I112" s="4"/>
      <c r="J112" s="4"/>
      <c r="K112" s="4">
        <v>231</v>
      </c>
      <c r="L112" s="4">
        <v>12</v>
      </c>
      <c r="M112" s="4">
        <v>3</v>
      </c>
      <c r="N112" s="4" t="s">
        <v>3</v>
      </c>
      <c r="O112" s="4">
        <v>2</v>
      </c>
      <c r="P112" s="4"/>
      <c r="Q112" s="4"/>
      <c r="R112" s="4"/>
      <c r="S112" s="4"/>
      <c r="T112" s="4"/>
      <c r="U112" s="4"/>
      <c r="V112" s="4"/>
      <c r="W112" s="4"/>
    </row>
    <row r="113" spans="1:23">
      <c r="A113" s="4">
        <v>50</v>
      </c>
      <c r="B113" s="4">
        <v>0</v>
      </c>
      <c r="C113" s="4">
        <v>0</v>
      </c>
      <c r="D113" s="4">
        <v>1</v>
      </c>
      <c r="E113" s="4">
        <v>204</v>
      </c>
      <c r="F113" s="4">
        <f>ROUND(Source!R99,O113)</f>
        <v>3806.05</v>
      </c>
      <c r="G113" s="4" t="s">
        <v>90</v>
      </c>
      <c r="H113" s="4" t="s">
        <v>91</v>
      </c>
      <c r="I113" s="4"/>
      <c r="J113" s="4"/>
      <c r="K113" s="4">
        <v>204</v>
      </c>
      <c r="L113" s="4">
        <v>13</v>
      </c>
      <c r="M113" s="4">
        <v>3</v>
      </c>
      <c r="N113" s="4" t="s">
        <v>3</v>
      </c>
      <c r="O113" s="4">
        <v>2</v>
      </c>
      <c r="P113" s="4"/>
      <c r="Q113" s="4"/>
      <c r="R113" s="4"/>
      <c r="S113" s="4"/>
      <c r="T113" s="4"/>
      <c r="U113" s="4"/>
      <c r="V113" s="4"/>
      <c r="W113" s="4"/>
    </row>
    <row r="114" spans="1:23">
      <c r="A114" s="4">
        <v>50</v>
      </c>
      <c r="B114" s="4">
        <v>0</v>
      </c>
      <c r="C114" s="4">
        <v>0</v>
      </c>
      <c r="D114" s="4">
        <v>1</v>
      </c>
      <c r="E114" s="4">
        <v>205</v>
      </c>
      <c r="F114" s="4">
        <f>ROUND(Source!S99,O114)</f>
        <v>107664.81</v>
      </c>
      <c r="G114" s="4" t="s">
        <v>92</v>
      </c>
      <c r="H114" s="4" t="s">
        <v>93</v>
      </c>
      <c r="I114" s="4"/>
      <c r="J114" s="4"/>
      <c r="K114" s="4">
        <v>205</v>
      </c>
      <c r="L114" s="4">
        <v>14</v>
      </c>
      <c r="M114" s="4">
        <v>3</v>
      </c>
      <c r="N114" s="4" t="s">
        <v>3</v>
      </c>
      <c r="O114" s="4">
        <v>2</v>
      </c>
      <c r="P114" s="4"/>
      <c r="Q114" s="4"/>
      <c r="R114" s="4"/>
      <c r="S114" s="4"/>
      <c r="T114" s="4"/>
      <c r="U114" s="4"/>
      <c r="V114" s="4"/>
      <c r="W114" s="4"/>
    </row>
    <row r="115" spans="1:23">
      <c r="A115" s="4">
        <v>50</v>
      </c>
      <c r="B115" s="4">
        <v>0</v>
      </c>
      <c r="C115" s="4">
        <v>0</v>
      </c>
      <c r="D115" s="4">
        <v>1</v>
      </c>
      <c r="E115" s="4">
        <v>232</v>
      </c>
      <c r="F115" s="4">
        <f>ROUND(Source!BC99,O115)</f>
        <v>0</v>
      </c>
      <c r="G115" s="4" t="s">
        <v>94</v>
      </c>
      <c r="H115" s="4" t="s">
        <v>95</v>
      </c>
      <c r="I115" s="4"/>
      <c r="J115" s="4"/>
      <c r="K115" s="4">
        <v>232</v>
      </c>
      <c r="L115" s="4">
        <v>15</v>
      </c>
      <c r="M115" s="4">
        <v>3</v>
      </c>
      <c r="N115" s="4" t="s">
        <v>3</v>
      </c>
      <c r="O115" s="4">
        <v>2</v>
      </c>
      <c r="P115" s="4"/>
      <c r="Q115" s="4"/>
      <c r="R115" s="4"/>
      <c r="S115" s="4"/>
      <c r="T115" s="4"/>
      <c r="U115" s="4"/>
      <c r="V115" s="4"/>
      <c r="W115" s="4"/>
    </row>
    <row r="116" spans="1:23">
      <c r="A116" s="4">
        <v>50</v>
      </c>
      <c r="B116" s="4">
        <v>0</v>
      </c>
      <c r="C116" s="4">
        <v>0</v>
      </c>
      <c r="D116" s="4">
        <v>1</v>
      </c>
      <c r="E116" s="4">
        <v>214</v>
      </c>
      <c r="F116" s="4">
        <f>ROUND(Source!AS99,O116)</f>
        <v>520498.63</v>
      </c>
      <c r="G116" s="4" t="s">
        <v>96</v>
      </c>
      <c r="H116" s="4" t="s">
        <v>97</v>
      </c>
      <c r="I116" s="4"/>
      <c r="J116" s="4"/>
      <c r="K116" s="4">
        <v>214</v>
      </c>
      <c r="L116" s="4">
        <v>16</v>
      </c>
      <c r="M116" s="4">
        <v>3</v>
      </c>
      <c r="N116" s="4" t="s">
        <v>3</v>
      </c>
      <c r="O116" s="4">
        <v>2</v>
      </c>
      <c r="P116" s="4"/>
      <c r="Q116" s="4"/>
      <c r="R116" s="4"/>
      <c r="S116" s="4"/>
      <c r="T116" s="4"/>
      <c r="U116" s="4"/>
      <c r="V116" s="4"/>
      <c r="W116" s="4"/>
    </row>
    <row r="117" spans="1:23">
      <c r="A117" s="4">
        <v>50</v>
      </c>
      <c r="B117" s="4">
        <v>0</v>
      </c>
      <c r="C117" s="4">
        <v>0</v>
      </c>
      <c r="D117" s="4">
        <v>1</v>
      </c>
      <c r="E117" s="4">
        <v>215</v>
      </c>
      <c r="F117" s="4">
        <f>ROUND(Source!AT99,O117)</f>
        <v>0</v>
      </c>
      <c r="G117" s="4" t="s">
        <v>98</v>
      </c>
      <c r="H117" s="4" t="s">
        <v>99</v>
      </c>
      <c r="I117" s="4"/>
      <c r="J117" s="4"/>
      <c r="K117" s="4">
        <v>215</v>
      </c>
      <c r="L117" s="4">
        <v>17</v>
      </c>
      <c r="M117" s="4">
        <v>3</v>
      </c>
      <c r="N117" s="4" t="s">
        <v>3</v>
      </c>
      <c r="O117" s="4">
        <v>2</v>
      </c>
      <c r="P117" s="4"/>
      <c r="Q117" s="4"/>
      <c r="R117" s="4"/>
      <c r="S117" s="4"/>
      <c r="T117" s="4"/>
      <c r="U117" s="4"/>
      <c r="V117" s="4"/>
      <c r="W117" s="4"/>
    </row>
    <row r="118" spans="1:23">
      <c r="A118" s="4">
        <v>50</v>
      </c>
      <c r="B118" s="4">
        <v>0</v>
      </c>
      <c r="C118" s="4">
        <v>0</v>
      </c>
      <c r="D118" s="4">
        <v>1</v>
      </c>
      <c r="E118" s="4">
        <v>217</v>
      </c>
      <c r="F118" s="4">
        <f>ROUND(Source!AU99,O118)</f>
        <v>0</v>
      </c>
      <c r="G118" s="4" t="s">
        <v>100</v>
      </c>
      <c r="H118" s="4" t="s">
        <v>101</v>
      </c>
      <c r="I118" s="4"/>
      <c r="J118" s="4"/>
      <c r="K118" s="4">
        <v>217</v>
      </c>
      <c r="L118" s="4">
        <v>18</v>
      </c>
      <c r="M118" s="4">
        <v>3</v>
      </c>
      <c r="N118" s="4" t="s">
        <v>3</v>
      </c>
      <c r="O118" s="4">
        <v>2</v>
      </c>
      <c r="P118" s="4"/>
      <c r="Q118" s="4"/>
      <c r="R118" s="4"/>
      <c r="S118" s="4"/>
      <c r="T118" s="4"/>
      <c r="U118" s="4"/>
      <c r="V118" s="4"/>
      <c r="W118" s="4"/>
    </row>
    <row r="119" spans="1:23">
      <c r="A119" s="4">
        <v>50</v>
      </c>
      <c r="B119" s="4">
        <v>0</v>
      </c>
      <c r="C119" s="4">
        <v>0</v>
      </c>
      <c r="D119" s="4">
        <v>1</v>
      </c>
      <c r="E119" s="4">
        <v>230</v>
      </c>
      <c r="F119" s="4">
        <f>ROUND(Source!BA99,O119)</f>
        <v>0</v>
      </c>
      <c r="G119" s="4" t="s">
        <v>102</v>
      </c>
      <c r="H119" s="4" t="s">
        <v>103</v>
      </c>
      <c r="I119" s="4"/>
      <c r="J119" s="4"/>
      <c r="K119" s="4">
        <v>230</v>
      </c>
      <c r="L119" s="4">
        <v>19</v>
      </c>
      <c r="M119" s="4">
        <v>3</v>
      </c>
      <c r="N119" s="4" t="s">
        <v>3</v>
      </c>
      <c r="O119" s="4">
        <v>2</v>
      </c>
      <c r="P119" s="4"/>
      <c r="Q119" s="4"/>
      <c r="R119" s="4"/>
      <c r="S119" s="4"/>
      <c r="T119" s="4"/>
      <c r="U119" s="4"/>
      <c r="V119" s="4"/>
      <c r="W119" s="4"/>
    </row>
    <row r="120" spans="1:23">
      <c r="A120" s="4">
        <v>50</v>
      </c>
      <c r="B120" s="4">
        <v>0</v>
      </c>
      <c r="C120" s="4">
        <v>0</v>
      </c>
      <c r="D120" s="4">
        <v>1</v>
      </c>
      <c r="E120" s="4">
        <v>206</v>
      </c>
      <c r="F120" s="4">
        <f>ROUND(Source!T99,O120)</f>
        <v>0</v>
      </c>
      <c r="G120" s="4" t="s">
        <v>104</v>
      </c>
      <c r="H120" s="4" t="s">
        <v>105</v>
      </c>
      <c r="I120" s="4"/>
      <c r="J120" s="4"/>
      <c r="K120" s="4">
        <v>206</v>
      </c>
      <c r="L120" s="4">
        <v>20</v>
      </c>
      <c r="M120" s="4">
        <v>3</v>
      </c>
      <c r="N120" s="4" t="s">
        <v>3</v>
      </c>
      <c r="O120" s="4">
        <v>2</v>
      </c>
      <c r="P120" s="4"/>
      <c r="Q120" s="4"/>
      <c r="R120" s="4"/>
      <c r="S120" s="4"/>
      <c r="T120" s="4"/>
      <c r="U120" s="4"/>
      <c r="V120" s="4"/>
      <c r="W120" s="4"/>
    </row>
    <row r="121" spans="1:23">
      <c r="A121" s="4">
        <v>50</v>
      </c>
      <c r="B121" s="4">
        <v>0</v>
      </c>
      <c r="C121" s="4">
        <v>0</v>
      </c>
      <c r="D121" s="4">
        <v>1</v>
      </c>
      <c r="E121" s="4">
        <v>207</v>
      </c>
      <c r="F121" s="4">
        <f>Source!U99</f>
        <v>363.27983799999998</v>
      </c>
      <c r="G121" s="4" t="s">
        <v>106</v>
      </c>
      <c r="H121" s="4" t="s">
        <v>107</v>
      </c>
      <c r="I121" s="4"/>
      <c r="J121" s="4"/>
      <c r="K121" s="4">
        <v>207</v>
      </c>
      <c r="L121" s="4">
        <v>21</v>
      </c>
      <c r="M121" s="4">
        <v>3</v>
      </c>
      <c r="N121" s="4" t="s">
        <v>3</v>
      </c>
      <c r="O121" s="4">
        <v>-1</v>
      </c>
      <c r="P121" s="4"/>
      <c r="Q121" s="4"/>
      <c r="R121" s="4"/>
      <c r="S121" s="4"/>
      <c r="T121" s="4"/>
      <c r="U121" s="4"/>
      <c r="V121" s="4"/>
      <c r="W121" s="4"/>
    </row>
    <row r="122" spans="1:23">
      <c r="A122" s="4">
        <v>50</v>
      </c>
      <c r="B122" s="4">
        <v>0</v>
      </c>
      <c r="C122" s="4">
        <v>0</v>
      </c>
      <c r="D122" s="4">
        <v>1</v>
      </c>
      <c r="E122" s="4">
        <v>208</v>
      </c>
      <c r="F122" s="4">
        <f>Source!V99</f>
        <v>10.940964999999998</v>
      </c>
      <c r="G122" s="4" t="s">
        <v>108</v>
      </c>
      <c r="H122" s="4" t="s">
        <v>109</v>
      </c>
      <c r="I122" s="4"/>
      <c r="J122" s="4"/>
      <c r="K122" s="4">
        <v>208</v>
      </c>
      <c r="L122" s="4">
        <v>22</v>
      </c>
      <c r="M122" s="4">
        <v>3</v>
      </c>
      <c r="N122" s="4" t="s">
        <v>3</v>
      </c>
      <c r="O122" s="4">
        <v>-1</v>
      </c>
      <c r="P122" s="4"/>
      <c r="Q122" s="4"/>
      <c r="R122" s="4"/>
      <c r="S122" s="4"/>
      <c r="T122" s="4"/>
      <c r="U122" s="4"/>
      <c r="V122" s="4"/>
      <c r="W122" s="4"/>
    </row>
    <row r="123" spans="1:23">
      <c r="A123" s="4">
        <v>50</v>
      </c>
      <c r="B123" s="4">
        <v>0</v>
      </c>
      <c r="C123" s="4">
        <v>0</v>
      </c>
      <c r="D123" s="4">
        <v>1</v>
      </c>
      <c r="E123" s="4">
        <v>209</v>
      </c>
      <c r="F123" s="4">
        <f>ROUND(Source!W99,O123)</f>
        <v>1276.6300000000001</v>
      </c>
      <c r="G123" s="4" t="s">
        <v>110</v>
      </c>
      <c r="H123" s="4" t="s">
        <v>111</v>
      </c>
      <c r="I123" s="4"/>
      <c r="J123" s="4"/>
      <c r="K123" s="4">
        <v>209</v>
      </c>
      <c r="L123" s="4">
        <v>23</v>
      </c>
      <c r="M123" s="4">
        <v>3</v>
      </c>
      <c r="N123" s="4" t="s">
        <v>3</v>
      </c>
      <c r="O123" s="4">
        <v>2</v>
      </c>
      <c r="P123" s="4"/>
      <c r="Q123" s="4"/>
      <c r="R123" s="4"/>
      <c r="S123" s="4"/>
      <c r="T123" s="4"/>
      <c r="U123" s="4"/>
      <c r="V123" s="4"/>
      <c r="W123" s="4"/>
    </row>
    <row r="124" spans="1:23">
      <c r="A124" s="4">
        <v>50</v>
      </c>
      <c r="B124" s="4">
        <v>0</v>
      </c>
      <c r="C124" s="4">
        <v>0</v>
      </c>
      <c r="D124" s="4">
        <v>1</v>
      </c>
      <c r="E124" s="4">
        <v>233</v>
      </c>
      <c r="F124" s="4">
        <f>ROUND(Source!BD99,O124)</f>
        <v>0</v>
      </c>
      <c r="G124" s="4" t="s">
        <v>112</v>
      </c>
      <c r="H124" s="4" t="s">
        <v>113</v>
      </c>
      <c r="I124" s="4"/>
      <c r="J124" s="4"/>
      <c r="K124" s="4">
        <v>233</v>
      </c>
      <c r="L124" s="4">
        <v>24</v>
      </c>
      <c r="M124" s="4">
        <v>3</v>
      </c>
      <c r="N124" s="4" t="s">
        <v>3</v>
      </c>
      <c r="O124" s="4">
        <v>2</v>
      </c>
      <c r="P124" s="4"/>
      <c r="Q124" s="4"/>
      <c r="R124" s="4"/>
      <c r="S124" s="4"/>
      <c r="T124" s="4"/>
      <c r="U124" s="4"/>
      <c r="V124" s="4"/>
      <c r="W124" s="4"/>
    </row>
    <row r="125" spans="1:23">
      <c r="A125" s="4">
        <v>50</v>
      </c>
      <c r="B125" s="4">
        <v>0</v>
      </c>
      <c r="C125" s="4">
        <v>0</v>
      </c>
      <c r="D125" s="4">
        <v>1</v>
      </c>
      <c r="E125" s="4">
        <v>210</v>
      </c>
      <c r="F125" s="4">
        <f>ROUND(Source!X99,O125)</f>
        <v>109045.88</v>
      </c>
      <c r="G125" s="4" t="s">
        <v>114</v>
      </c>
      <c r="H125" s="4" t="s">
        <v>115</v>
      </c>
      <c r="I125" s="4"/>
      <c r="J125" s="4"/>
      <c r="K125" s="4">
        <v>210</v>
      </c>
      <c r="L125" s="4">
        <v>25</v>
      </c>
      <c r="M125" s="4">
        <v>3</v>
      </c>
      <c r="N125" s="4" t="s">
        <v>3</v>
      </c>
      <c r="O125" s="4">
        <v>2</v>
      </c>
      <c r="P125" s="4"/>
      <c r="Q125" s="4"/>
      <c r="R125" s="4"/>
      <c r="S125" s="4"/>
      <c r="T125" s="4"/>
      <c r="U125" s="4"/>
      <c r="V125" s="4"/>
      <c r="W125" s="4"/>
    </row>
    <row r="126" spans="1:23">
      <c r="A126" s="4">
        <v>50</v>
      </c>
      <c r="B126" s="4">
        <v>0</v>
      </c>
      <c r="C126" s="4">
        <v>0</v>
      </c>
      <c r="D126" s="4">
        <v>1</v>
      </c>
      <c r="E126" s="4">
        <v>211</v>
      </c>
      <c r="F126" s="4">
        <f>ROUND(Source!Y99,O126)</f>
        <v>62318.47</v>
      </c>
      <c r="G126" s="4" t="s">
        <v>116</v>
      </c>
      <c r="H126" s="4" t="s">
        <v>117</v>
      </c>
      <c r="I126" s="4"/>
      <c r="J126" s="4"/>
      <c r="K126" s="4">
        <v>211</v>
      </c>
      <c r="L126" s="4">
        <v>26</v>
      </c>
      <c r="M126" s="4">
        <v>3</v>
      </c>
      <c r="N126" s="4" t="s">
        <v>3</v>
      </c>
      <c r="O126" s="4">
        <v>2</v>
      </c>
      <c r="P126" s="4"/>
      <c r="Q126" s="4"/>
      <c r="R126" s="4"/>
      <c r="S126" s="4"/>
      <c r="T126" s="4"/>
      <c r="U126" s="4"/>
      <c r="V126" s="4"/>
      <c r="W126" s="4"/>
    </row>
    <row r="127" spans="1:23">
      <c r="A127" s="4">
        <v>50</v>
      </c>
      <c r="B127" s="4">
        <v>0</v>
      </c>
      <c r="C127" s="4">
        <v>0</v>
      </c>
      <c r="D127" s="4">
        <v>1</v>
      </c>
      <c r="E127" s="4">
        <v>224</v>
      </c>
      <c r="F127" s="4">
        <f>ROUND(Source!AR99,O127)</f>
        <v>520498.63</v>
      </c>
      <c r="G127" s="4" t="s">
        <v>118</v>
      </c>
      <c r="H127" s="4" t="s">
        <v>119</v>
      </c>
      <c r="I127" s="4"/>
      <c r="J127" s="4"/>
      <c r="K127" s="4">
        <v>224</v>
      </c>
      <c r="L127" s="4">
        <v>27</v>
      </c>
      <c r="M127" s="4">
        <v>3</v>
      </c>
      <c r="N127" s="4" t="s">
        <v>3</v>
      </c>
      <c r="O127" s="4">
        <v>2</v>
      </c>
      <c r="P127" s="4"/>
      <c r="Q127" s="4"/>
      <c r="R127" s="4"/>
      <c r="S127" s="4"/>
      <c r="T127" s="4"/>
      <c r="U127" s="4"/>
      <c r="V127" s="4"/>
      <c r="W127" s="4"/>
    </row>
    <row r="129" spans="1:206">
      <c r="A129" s="2">
        <v>51</v>
      </c>
      <c r="B129" s="2">
        <f>B71</f>
        <v>1</v>
      </c>
      <c r="C129" s="2">
        <f>A71</f>
        <v>4</v>
      </c>
      <c r="D129" s="2">
        <f>ROW(A71)</f>
        <v>71</v>
      </c>
      <c r="E129" s="2"/>
      <c r="F129" s="2" t="str">
        <f>IF(F71&lt;&gt;"",F71,"")</f>
        <v>Новый раздел</v>
      </c>
      <c r="G129" s="2" t="str">
        <f>IF(G71&lt;&gt;"",G71,"")</f>
        <v>Монтаж</v>
      </c>
      <c r="H129" s="2">
        <v>0</v>
      </c>
      <c r="I129" s="2"/>
      <c r="J129" s="2"/>
      <c r="K129" s="2"/>
      <c r="L129" s="2"/>
      <c r="M129" s="2"/>
      <c r="N129" s="2"/>
      <c r="O129" s="2">
        <f t="shared" ref="O129:T129" si="149">ROUND(O99+AB129,2)</f>
        <v>349134.28</v>
      </c>
      <c r="P129" s="2">
        <f t="shared" si="149"/>
        <v>233963.38</v>
      </c>
      <c r="Q129" s="2">
        <f t="shared" si="149"/>
        <v>7506.09</v>
      </c>
      <c r="R129" s="2">
        <f t="shared" si="149"/>
        <v>3806.05</v>
      </c>
      <c r="S129" s="2">
        <f t="shared" si="149"/>
        <v>107664.81</v>
      </c>
      <c r="T129" s="2">
        <f t="shared" si="149"/>
        <v>0</v>
      </c>
      <c r="U129" s="2">
        <f>U99+AH129</f>
        <v>363.27983799999998</v>
      </c>
      <c r="V129" s="2">
        <f>V99+AI129</f>
        <v>10.940964999999998</v>
      </c>
      <c r="W129" s="2">
        <f>ROUND(W99+AJ129,2)</f>
        <v>1276.6300000000001</v>
      </c>
      <c r="X129" s="2">
        <f>ROUND(X99+AK129,2)</f>
        <v>109045.88</v>
      </c>
      <c r="Y129" s="2">
        <f>ROUND(Y99+AL129,2)</f>
        <v>62318.47</v>
      </c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>
        <f t="shared" ref="AO129:BD129" si="150">ROUND(AO99+BX129,2)</f>
        <v>0</v>
      </c>
      <c r="AP129" s="2">
        <f t="shared" si="150"/>
        <v>0</v>
      </c>
      <c r="AQ129" s="2">
        <f t="shared" si="150"/>
        <v>0</v>
      </c>
      <c r="AR129" s="2">
        <f t="shared" si="150"/>
        <v>520498.63</v>
      </c>
      <c r="AS129" s="2">
        <f t="shared" si="150"/>
        <v>520498.63</v>
      </c>
      <c r="AT129" s="2">
        <f t="shared" si="150"/>
        <v>0</v>
      </c>
      <c r="AU129" s="2">
        <f t="shared" si="150"/>
        <v>0</v>
      </c>
      <c r="AV129" s="2">
        <f t="shared" si="150"/>
        <v>233963.38</v>
      </c>
      <c r="AW129" s="2">
        <f t="shared" si="150"/>
        <v>233963.38</v>
      </c>
      <c r="AX129" s="2">
        <f t="shared" si="150"/>
        <v>0</v>
      </c>
      <c r="AY129" s="2">
        <f t="shared" si="150"/>
        <v>233963.38</v>
      </c>
      <c r="AZ129" s="2">
        <f t="shared" si="150"/>
        <v>0</v>
      </c>
      <c r="BA129" s="2">
        <f t="shared" si="150"/>
        <v>0</v>
      </c>
      <c r="BB129" s="2">
        <f t="shared" si="150"/>
        <v>0</v>
      </c>
      <c r="BC129" s="2">
        <f t="shared" si="150"/>
        <v>0</v>
      </c>
      <c r="BD129" s="2">
        <f t="shared" si="150"/>
        <v>0</v>
      </c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>
        <v>0</v>
      </c>
    </row>
    <row r="131" spans="1:206">
      <c r="A131" s="4">
        <v>50</v>
      </c>
      <c r="B131" s="4">
        <v>0</v>
      </c>
      <c r="C131" s="4">
        <v>0</v>
      </c>
      <c r="D131" s="4">
        <v>1</v>
      </c>
      <c r="E131" s="4">
        <v>201</v>
      </c>
      <c r="F131" s="4">
        <f>ROUND(Source!O129,O131)</f>
        <v>349134.28</v>
      </c>
      <c r="G131" s="4" t="s">
        <v>66</v>
      </c>
      <c r="H131" s="4" t="s">
        <v>67</v>
      </c>
      <c r="I131" s="4"/>
      <c r="J131" s="4"/>
      <c r="K131" s="4">
        <v>201</v>
      </c>
      <c r="L131" s="4">
        <v>1</v>
      </c>
      <c r="M131" s="4">
        <v>3</v>
      </c>
      <c r="N131" s="4" t="s">
        <v>3</v>
      </c>
      <c r="O131" s="4">
        <v>2</v>
      </c>
      <c r="P131" s="4"/>
      <c r="Q131" s="4"/>
      <c r="R131" s="4"/>
      <c r="S131" s="4"/>
      <c r="T131" s="4"/>
      <c r="U131" s="4"/>
      <c r="V131" s="4"/>
      <c r="W131" s="4"/>
    </row>
    <row r="132" spans="1:206">
      <c r="A132" s="4">
        <v>50</v>
      </c>
      <c r="B132" s="4">
        <v>0</v>
      </c>
      <c r="C132" s="4">
        <v>0</v>
      </c>
      <c r="D132" s="4">
        <v>1</v>
      </c>
      <c r="E132" s="4">
        <v>202</v>
      </c>
      <c r="F132" s="4">
        <f>ROUND(Source!P129,O132)</f>
        <v>233963.38</v>
      </c>
      <c r="G132" s="4" t="s">
        <v>68</v>
      </c>
      <c r="H132" s="4" t="s">
        <v>69</v>
      </c>
      <c r="I132" s="4"/>
      <c r="J132" s="4"/>
      <c r="K132" s="4">
        <v>202</v>
      </c>
      <c r="L132" s="4">
        <v>2</v>
      </c>
      <c r="M132" s="4">
        <v>3</v>
      </c>
      <c r="N132" s="4" t="s">
        <v>3</v>
      </c>
      <c r="O132" s="4">
        <v>2</v>
      </c>
      <c r="P132" s="4"/>
      <c r="Q132" s="4"/>
      <c r="R132" s="4"/>
      <c r="S132" s="4"/>
      <c r="T132" s="4"/>
      <c r="U132" s="4"/>
      <c r="V132" s="4"/>
      <c r="W132" s="4"/>
    </row>
    <row r="133" spans="1:206">
      <c r="A133" s="4">
        <v>50</v>
      </c>
      <c r="B133" s="4">
        <v>0</v>
      </c>
      <c r="C133" s="4">
        <v>0</v>
      </c>
      <c r="D133" s="4">
        <v>1</v>
      </c>
      <c r="E133" s="4">
        <v>222</v>
      </c>
      <c r="F133" s="4">
        <f>ROUND(Source!AO129,O133)</f>
        <v>0</v>
      </c>
      <c r="G133" s="4" t="s">
        <v>70</v>
      </c>
      <c r="H133" s="4" t="s">
        <v>71</v>
      </c>
      <c r="I133" s="4"/>
      <c r="J133" s="4"/>
      <c r="K133" s="4">
        <v>222</v>
      </c>
      <c r="L133" s="4">
        <v>3</v>
      </c>
      <c r="M133" s="4">
        <v>3</v>
      </c>
      <c r="N133" s="4" t="s">
        <v>3</v>
      </c>
      <c r="O133" s="4">
        <v>2</v>
      </c>
      <c r="P133" s="4"/>
      <c r="Q133" s="4"/>
      <c r="R133" s="4"/>
      <c r="S133" s="4"/>
      <c r="T133" s="4"/>
      <c r="U133" s="4"/>
      <c r="V133" s="4"/>
      <c r="W133" s="4"/>
    </row>
    <row r="134" spans="1:206">
      <c r="A134" s="4">
        <v>50</v>
      </c>
      <c r="B134" s="4">
        <v>0</v>
      </c>
      <c r="C134" s="4">
        <v>0</v>
      </c>
      <c r="D134" s="4">
        <v>1</v>
      </c>
      <c r="E134" s="4">
        <v>225</v>
      </c>
      <c r="F134" s="4">
        <f>ROUND(Source!AV129,O134)</f>
        <v>233963.38</v>
      </c>
      <c r="G134" s="4" t="s">
        <v>72</v>
      </c>
      <c r="H134" s="4" t="s">
        <v>73</v>
      </c>
      <c r="I134" s="4"/>
      <c r="J134" s="4"/>
      <c r="K134" s="4">
        <v>225</v>
      </c>
      <c r="L134" s="4">
        <v>4</v>
      </c>
      <c r="M134" s="4">
        <v>3</v>
      </c>
      <c r="N134" s="4" t="s">
        <v>3</v>
      </c>
      <c r="O134" s="4">
        <v>2</v>
      </c>
      <c r="P134" s="4"/>
      <c r="Q134" s="4"/>
      <c r="R134" s="4"/>
      <c r="S134" s="4"/>
      <c r="T134" s="4"/>
      <c r="U134" s="4"/>
      <c r="V134" s="4"/>
      <c r="W134" s="4"/>
    </row>
    <row r="135" spans="1:206">
      <c r="A135" s="4">
        <v>50</v>
      </c>
      <c r="B135" s="4">
        <v>0</v>
      </c>
      <c r="C135" s="4">
        <v>0</v>
      </c>
      <c r="D135" s="4">
        <v>1</v>
      </c>
      <c r="E135" s="4">
        <v>226</v>
      </c>
      <c r="F135" s="4">
        <f>ROUND(Source!AW129,O135)</f>
        <v>233963.38</v>
      </c>
      <c r="G135" s="4" t="s">
        <v>74</v>
      </c>
      <c r="H135" s="4" t="s">
        <v>75</v>
      </c>
      <c r="I135" s="4"/>
      <c r="J135" s="4"/>
      <c r="K135" s="4">
        <v>226</v>
      </c>
      <c r="L135" s="4">
        <v>5</v>
      </c>
      <c r="M135" s="4">
        <v>3</v>
      </c>
      <c r="N135" s="4" t="s">
        <v>3</v>
      </c>
      <c r="O135" s="4">
        <v>2</v>
      </c>
      <c r="P135" s="4"/>
      <c r="Q135" s="4"/>
      <c r="R135" s="4"/>
      <c r="S135" s="4"/>
      <c r="T135" s="4"/>
      <c r="U135" s="4"/>
      <c r="V135" s="4"/>
      <c r="W135" s="4"/>
    </row>
    <row r="136" spans="1:206">
      <c r="A136" s="4">
        <v>50</v>
      </c>
      <c r="B136" s="4">
        <v>0</v>
      </c>
      <c r="C136" s="4">
        <v>0</v>
      </c>
      <c r="D136" s="4">
        <v>1</v>
      </c>
      <c r="E136" s="4">
        <v>227</v>
      </c>
      <c r="F136" s="4">
        <f>ROUND(Source!AX129,O136)</f>
        <v>0</v>
      </c>
      <c r="G136" s="4" t="s">
        <v>76</v>
      </c>
      <c r="H136" s="4" t="s">
        <v>77</v>
      </c>
      <c r="I136" s="4"/>
      <c r="J136" s="4"/>
      <c r="K136" s="4">
        <v>227</v>
      </c>
      <c r="L136" s="4">
        <v>6</v>
      </c>
      <c r="M136" s="4">
        <v>3</v>
      </c>
      <c r="N136" s="4" t="s">
        <v>3</v>
      </c>
      <c r="O136" s="4">
        <v>2</v>
      </c>
      <c r="P136" s="4"/>
      <c r="Q136" s="4"/>
      <c r="R136" s="4"/>
      <c r="S136" s="4"/>
      <c r="T136" s="4"/>
      <c r="U136" s="4"/>
      <c r="V136" s="4"/>
      <c r="W136" s="4"/>
    </row>
    <row r="137" spans="1:206">
      <c r="A137" s="4">
        <v>50</v>
      </c>
      <c r="B137" s="4">
        <v>0</v>
      </c>
      <c r="C137" s="4">
        <v>0</v>
      </c>
      <c r="D137" s="4">
        <v>1</v>
      </c>
      <c r="E137" s="4">
        <v>228</v>
      </c>
      <c r="F137" s="4">
        <f>ROUND(Source!AY129,O137)</f>
        <v>233963.38</v>
      </c>
      <c r="G137" s="4" t="s">
        <v>78</v>
      </c>
      <c r="H137" s="4" t="s">
        <v>79</v>
      </c>
      <c r="I137" s="4"/>
      <c r="J137" s="4"/>
      <c r="K137" s="4">
        <v>228</v>
      </c>
      <c r="L137" s="4">
        <v>7</v>
      </c>
      <c r="M137" s="4">
        <v>3</v>
      </c>
      <c r="N137" s="4" t="s">
        <v>3</v>
      </c>
      <c r="O137" s="4">
        <v>2</v>
      </c>
      <c r="P137" s="4"/>
      <c r="Q137" s="4"/>
      <c r="R137" s="4"/>
      <c r="S137" s="4"/>
      <c r="T137" s="4"/>
      <c r="U137" s="4"/>
      <c r="V137" s="4"/>
      <c r="W137" s="4"/>
    </row>
    <row r="138" spans="1:206">
      <c r="A138" s="4">
        <v>50</v>
      </c>
      <c r="B138" s="4">
        <v>0</v>
      </c>
      <c r="C138" s="4">
        <v>0</v>
      </c>
      <c r="D138" s="4">
        <v>1</v>
      </c>
      <c r="E138" s="4">
        <v>216</v>
      </c>
      <c r="F138" s="4">
        <f>ROUND(Source!AP129,O138)</f>
        <v>0</v>
      </c>
      <c r="G138" s="4" t="s">
        <v>80</v>
      </c>
      <c r="H138" s="4" t="s">
        <v>81</v>
      </c>
      <c r="I138" s="4"/>
      <c r="J138" s="4"/>
      <c r="K138" s="4">
        <v>216</v>
      </c>
      <c r="L138" s="4">
        <v>8</v>
      </c>
      <c r="M138" s="4">
        <v>3</v>
      </c>
      <c r="N138" s="4" t="s">
        <v>3</v>
      </c>
      <c r="O138" s="4">
        <v>2</v>
      </c>
      <c r="P138" s="4"/>
      <c r="Q138" s="4"/>
      <c r="R138" s="4"/>
      <c r="S138" s="4"/>
      <c r="T138" s="4"/>
      <c r="U138" s="4"/>
      <c r="V138" s="4"/>
      <c r="W138" s="4"/>
    </row>
    <row r="139" spans="1:206">
      <c r="A139" s="4">
        <v>50</v>
      </c>
      <c r="B139" s="4">
        <v>0</v>
      </c>
      <c r="C139" s="4">
        <v>0</v>
      </c>
      <c r="D139" s="4">
        <v>1</v>
      </c>
      <c r="E139" s="4">
        <v>223</v>
      </c>
      <c r="F139" s="4">
        <f>ROUND(Source!AQ129,O139)</f>
        <v>0</v>
      </c>
      <c r="G139" s="4" t="s">
        <v>82</v>
      </c>
      <c r="H139" s="4" t="s">
        <v>83</v>
      </c>
      <c r="I139" s="4"/>
      <c r="J139" s="4"/>
      <c r="K139" s="4">
        <v>223</v>
      </c>
      <c r="L139" s="4">
        <v>9</v>
      </c>
      <c r="M139" s="4">
        <v>3</v>
      </c>
      <c r="N139" s="4" t="s">
        <v>3</v>
      </c>
      <c r="O139" s="4">
        <v>2</v>
      </c>
      <c r="P139" s="4"/>
      <c r="Q139" s="4"/>
      <c r="R139" s="4"/>
      <c r="S139" s="4"/>
      <c r="T139" s="4"/>
      <c r="U139" s="4"/>
      <c r="V139" s="4"/>
      <c r="W139" s="4"/>
    </row>
    <row r="140" spans="1:206">
      <c r="A140" s="4">
        <v>50</v>
      </c>
      <c r="B140" s="4">
        <v>0</v>
      </c>
      <c r="C140" s="4">
        <v>0</v>
      </c>
      <c r="D140" s="4">
        <v>1</v>
      </c>
      <c r="E140" s="4">
        <v>229</v>
      </c>
      <c r="F140" s="4">
        <f>ROUND(Source!AZ129,O140)</f>
        <v>0</v>
      </c>
      <c r="G140" s="4" t="s">
        <v>84</v>
      </c>
      <c r="H140" s="4" t="s">
        <v>85</v>
      </c>
      <c r="I140" s="4"/>
      <c r="J140" s="4"/>
      <c r="K140" s="4">
        <v>229</v>
      </c>
      <c r="L140" s="4">
        <v>10</v>
      </c>
      <c r="M140" s="4">
        <v>3</v>
      </c>
      <c r="N140" s="4" t="s">
        <v>3</v>
      </c>
      <c r="O140" s="4">
        <v>2</v>
      </c>
      <c r="P140" s="4"/>
      <c r="Q140" s="4"/>
      <c r="R140" s="4"/>
      <c r="S140" s="4"/>
      <c r="T140" s="4"/>
      <c r="U140" s="4"/>
      <c r="V140" s="4"/>
      <c r="W140" s="4"/>
    </row>
    <row r="141" spans="1:206">
      <c r="A141" s="4">
        <v>50</v>
      </c>
      <c r="B141" s="4">
        <v>0</v>
      </c>
      <c r="C141" s="4">
        <v>0</v>
      </c>
      <c r="D141" s="4">
        <v>1</v>
      </c>
      <c r="E141" s="4">
        <v>203</v>
      </c>
      <c r="F141" s="4">
        <f>ROUND(Source!Q129,O141)</f>
        <v>7506.09</v>
      </c>
      <c r="G141" s="4" t="s">
        <v>86</v>
      </c>
      <c r="H141" s="4" t="s">
        <v>87</v>
      </c>
      <c r="I141" s="4"/>
      <c r="J141" s="4"/>
      <c r="K141" s="4">
        <v>203</v>
      </c>
      <c r="L141" s="4">
        <v>11</v>
      </c>
      <c r="M141" s="4">
        <v>3</v>
      </c>
      <c r="N141" s="4" t="s">
        <v>3</v>
      </c>
      <c r="O141" s="4">
        <v>2</v>
      </c>
      <c r="P141" s="4"/>
      <c r="Q141" s="4"/>
      <c r="R141" s="4"/>
      <c r="S141" s="4"/>
      <c r="T141" s="4"/>
      <c r="U141" s="4"/>
      <c r="V141" s="4"/>
      <c r="W141" s="4"/>
    </row>
    <row r="142" spans="1:206">
      <c r="A142" s="4">
        <v>50</v>
      </c>
      <c r="B142" s="4">
        <v>0</v>
      </c>
      <c r="C142" s="4">
        <v>0</v>
      </c>
      <c r="D142" s="4">
        <v>1</v>
      </c>
      <c r="E142" s="4">
        <v>231</v>
      </c>
      <c r="F142" s="4">
        <f>ROUND(Source!BB129,O142)</f>
        <v>0</v>
      </c>
      <c r="G142" s="4" t="s">
        <v>88</v>
      </c>
      <c r="H142" s="4" t="s">
        <v>89</v>
      </c>
      <c r="I142" s="4"/>
      <c r="J142" s="4"/>
      <c r="K142" s="4">
        <v>231</v>
      </c>
      <c r="L142" s="4">
        <v>12</v>
      </c>
      <c r="M142" s="4">
        <v>3</v>
      </c>
      <c r="N142" s="4" t="s">
        <v>3</v>
      </c>
      <c r="O142" s="4">
        <v>2</v>
      </c>
      <c r="P142" s="4"/>
      <c r="Q142" s="4"/>
      <c r="R142" s="4"/>
      <c r="S142" s="4"/>
      <c r="T142" s="4"/>
      <c r="U142" s="4"/>
      <c r="V142" s="4"/>
      <c r="W142" s="4"/>
    </row>
    <row r="143" spans="1:206">
      <c r="A143" s="4">
        <v>50</v>
      </c>
      <c r="B143" s="4">
        <v>0</v>
      </c>
      <c r="C143" s="4">
        <v>0</v>
      </c>
      <c r="D143" s="4">
        <v>1</v>
      </c>
      <c r="E143" s="4">
        <v>204</v>
      </c>
      <c r="F143" s="4">
        <f>ROUND(Source!R129,O143)</f>
        <v>3806.05</v>
      </c>
      <c r="G143" s="4" t="s">
        <v>90</v>
      </c>
      <c r="H143" s="4" t="s">
        <v>91</v>
      </c>
      <c r="I143" s="4"/>
      <c r="J143" s="4"/>
      <c r="K143" s="4">
        <v>204</v>
      </c>
      <c r="L143" s="4">
        <v>13</v>
      </c>
      <c r="M143" s="4">
        <v>3</v>
      </c>
      <c r="N143" s="4" t="s">
        <v>3</v>
      </c>
      <c r="O143" s="4">
        <v>2</v>
      </c>
      <c r="P143" s="4"/>
      <c r="Q143" s="4"/>
      <c r="R143" s="4"/>
      <c r="S143" s="4"/>
      <c r="T143" s="4"/>
      <c r="U143" s="4"/>
      <c r="V143" s="4"/>
      <c r="W143" s="4"/>
    </row>
    <row r="144" spans="1:206">
      <c r="A144" s="4">
        <v>50</v>
      </c>
      <c r="B144" s="4">
        <v>0</v>
      </c>
      <c r="C144" s="4">
        <v>0</v>
      </c>
      <c r="D144" s="4">
        <v>1</v>
      </c>
      <c r="E144" s="4">
        <v>205</v>
      </c>
      <c r="F144" s="4">
        <f>ROUND(Source!S129,O144)</f>
        <v>107664.81</v>
      </c>
      <c r="G144" s="4" t="s">
        <v>92</v>
      </c>
      <c r="H144" s="4" t="s">
        <v>93</v>
      </c>
      <c r="I144" s="4"/>
      <c r="J144" s="4"/>
      <c r="K144" s="4">
        <v>205</v>
      </c>
      <c r="L144" s="4">
        <v>14</v>
      </c>
      <c r="M144" s="4">
        <v>3</v>
      </c>
      <c r="N144" s="4" t="s">
        <v>3</v>
      </c>
      <c r="O144" s="4">
        <v>2</v>
      </c>
      <c r="P144" s="4"/>
      <c r="Q144" s="4"/>
      <c r="R144" s="4"/>
      <c r="S144" s="4"/>
      <c r="T144" s="4"/>
      <c r="U144" s="4"/>
      <c r="V144" s="4"/>
      <c r="W144" s="4"/>
    </row>
    <row r="145" spans="1:88">
      <c r="A145" s="4">
        <v>50</v>
      </c>
      <c r="B145" s="4">
        <v>0</v>
      </c>
      <c r="C145" s="4">
        <v>0</v>
      </c>
      <c r="D145" s="4">
        <v>1</v>
      </c>
      <c r="E145" s="4">
        <v>232</v>
      </c>
      <c r="F145" s="4">
        <f>ROUND(Source!BC129,O145)</f>
        <v>0</v>
      </c>
      <c r="G145" s="4" t="s">
        <v>94</v>
      </c>
      <c r="H145" s="4" t="s">
        <v>95</v>
      </c>
      <c r="I145" s="4"/>
      <c r="J145" s="4"/>
      <c r="K145" s="4">
        <v>232</v>
      </c>
      <c r="L145" s="4">
        <v>15</v>
      </c>
      <c r="M145" s="4">
        <v>3</v>
      </c>
      <c r="N145" s="4" t="s">
        <v>3</v>
      </c>
      <c r="O145" s="4">
        <v>2</v>
      </c>
      <c r="P145" s="4"/>
      <c r="Q145" s="4"/>
      <c r="R145" s="4"/>
      <c r="S145" s="4"/>
      <c r="T145" s="4"/>
      <c r="U145" s="4"/>
      <c r="V145" s="4"/>
      <c r="W145" s="4"/>
    </row>
    <row r="146" spans="1:88">
      <c r="A146" s="4">
        <v>50</v>
      </c>
      <c r="B146" s="4">
        <v>0</v>
      </c>
      <c r="C146" s="4">
        <v>0</v>
      </c>
      <c r="D146" s="4">
        <v>1</v>
      </c>
      <c r="E146" s="4">
        <v>214</v>
      </c>
      <c r="F146" s="4">
        <f>ROUND(Source!AS129,O146)</f>
        <v>520498.63</v>
      </c>
      <c r="G146" s="4" t="s">
        <v>96</v>
      </c>
      <c r="H146" s="4" t="s">
        <v>97</v>
      </c>
      <c r="I146" s="4"/>
      <c r="J146" s="4"/>
      <c r="K146" s="4">
        <v>214</v>
      </c>
      <c r="L146" s="4">
        <v>16</v>
      </c>
      <c r="M146" s="4">
        <v>3</v>
      </c>
      <c r="N146" s="4" t="s">
        <v>3</v>
      </c>
      <c r="O146" s="4">
        <v>2</v>
      </c>
      <c r="P146" s="4"/>
      <c r="Q146" s="4"/>
      <c r="R146" s="4"/>
      <c r="S146" s="4"/>
      <c r="T146" s="4"/>
      <c r="U146" s="4"/>
      <c r="V146" s="4"/>
      <c r="W146" s="4"/>
    </row>
    <row r="147" spans="1:88">
      <c r="A147" s="4">
        <v>50</v>
      </c>
      <c r="B147" s="4">
        <v>0</v>
      </c>
      <c r="C147" s="4">
        <v>0</v>
      </c>
      <c r="D147" s="4">
        <v>1</v>
      </c>
      <c r="E147" s="4">
        <v>215</v>
      </c>
      <c r="F147" s="4">
        <f>ROUND(Source!AT129,O147)</f>
        <v>0</v>
      </c>
      <c r="G147" s="4" t="s">
        <v>98</v>
      </c>
      <c r="H147" s="4" t="s">
        <v>99</v>
      </c>
      <c r="I147" s="4"/>
      <c r="J147" s="4"/>
      <c r="K147" s="4">
        <v>215</v>
      </c>
      <c r="L147" s="4">
        <v>17</v>
      </c>
      <c r="M147" s="4">
        <v>3</v>
      </c>
      <c r="N147" s="4" t="s">
        <v>3</v>
      </c>
      <c r="O147" s="4">
        <v>2</v>
      </c>
      <c r="P147" s="4"/>
      <c r="Q147" s="4"/>
      <c r="R147" s="4"/>
      <c r="S147" s="4"/>
      <c r="T147" s="4"/>
      <c r="U147" s="4"/>
      <c r="V147" s="4"/>
      <c r="W147" s="4"/>
    </row>
    <row r="148" spans="1:88">
      <c r="A148" s="4">
        <v>50</v>
      </c>
      <c r="B148" s="4">
        <v>0</v>
      </c>
      <c r="C148" s="4">
        <v>0</v>
      </c>
      <c r="D148" s="4">
        <v>1</v>
      </c>
      <c r="E148" s="4">
        <v>217</v>
      </c>
      <c r="F148" s="4">
        <f>ROUND(Source!AU129,O148)</f>
        <v>0</v>
      </c>
      <c r="G148" s="4" t="s">
        <v>100</v>
      </c>
      <c r="H148" s="4" t="s">
        <v>101</v>
      </c>
      <c r="I148" s="4"/>
      <c r="J148" s="4"/>
      <c r="K148" s="4">
        <v>217</v>
      </c>
      <c r="L148" s="4">
        <v>18</v>
      </c>
      <c r="M148" s="4">
        <v>3</v>
      </c>
      <c r="N148" s="4" t="s">
        <v>3</v>
      </c>
      <c r="O148" s="4">
        <v>2</v>
      </c>
      <c r="P148" s="4"/>
      <c r="Q148" s="4"/>
      <c r="R148" s="4"/>
      <c r="S148" s="4"/>
      <c r="T148" s="4"/>
      <c r="U148" s="4"/>
      <c r="V148" s="4"/>
      <c r="W148" s="4"/>
    </row>
    <row r="149" spans="1:88">
      <c r="A149" s="4">
        <v>50</v>
      </c>
      <c r="B149" s="4">
        <v>0</v>
      </c>
      <c r="C149" s="4">
        <v>0</v>
      </c>
      <c r="D149" s="4">
        <v>1</v>
      </c>
      <c r="E149" s="4">
        <v>230</v>
      </c>
      <c r="F149" s="4">
        <f>ROUND(Source!BA129,O149)</f>
        <v>0</v>
      </c>
      <c r="G149" s="4" t="s">
        <v>102</v>
      </c>
      <c r="H149" s="4" t="s">
        <v>103</v>
      </c>
      <c r="I149" s="4"/>
      <c r="J149" s="4"/>
      <c r="K149" s="4">
        <v>230</v>
      </c>
      <c r="L149" s="4">
        <v>19</v>
      </c>
      <c r="M149" s="4">
        <v>3</v>
      </c>
      <c r="N149" s="4" t="s">
        <v>3</v>
      </c>
      <c r="O149" s="4">
        <v>2</v>
      </c>
      <c r="P149" s="4"/>
      <c r="Q149" s="4"/>
      <c r="R149" s="4"/>
      <c r="S149" s="4"/>
      <c r="T149" s="4"/>
      <c r="U149" s="4"/>
      <c r="V149" s="4"/>
      <c r="W149" s="4"/>
    </row>
    <row r="150" spans="1:88">
      <c r="A150" s="4">
        <v>50</v>
      </c>
      <c r="B150" s="4">
        <v>0</v>
      </c>
      <c r="C150" s="4">
        <v>0</v>
      </c>
      <c r="D150" s="4">
        <v>1</v>
      </c>
      <c r="E150" s="4">
        <v>206</v>
      </c>
      <c r="F150" s="4">
        <f>ROUND(Source!T129,O150)</f>
        <v>0</v>
      </c>
      <c r="G150" s="4" t="s">
        <v>104</v>
      </c>
      <c r="H150" s="4" t="s">
        <v>105</v>
      </c>
      <c r="I150" s="4"/>
      <c r="J150" s="4"/>
      <c r="K150" s="4">
        <v>206</v>
      </c>
      <c r="L150" s="4">
        <v>20</v>
      </c>
      <c r="M150" s="4">
        <v>3</v>
      </c>
      <c r="N150" s="4" t="s">
        <v>3</v>
      </c>
      <c r="O150" s="4">
        <v>2</v>
      </c>
      <c r="P150" s="4"/>
      <c r="Q150" s="4"/>
      <c r="R150" s="4"/>
      <c r="S150" s="4"/>
      <c r="T150" s="4"/>
      <c r="U150" s="4"/>
      <c r="V150" s="4"/>
      <c r="W150" s="4"/>
    </row>
    <row r="151" spans="1:88">
      <c r="A151" s="4">
        <v>50</v>
      </c>
      <c r="B151" s="4">
        <v>0</v>
      </c>
      <c r="C151" s="4">
        <v>0</v>
      </c>
      <c r="D151" s="4">
        <v>1</v>
      </c>
      <c r="E151" s="4">
        <v>207</v>
      </c>
      <c r="F151" s="4">
        <f>Source!U129</f>
        <v>363.27983799999998</v>
      </c>
      <c r="G151" s="4" t="s">
        <v>106</v>
      </c>
      <c r="H151" s="4" t="s">
        <v>107</v>
      </c>
      <c r="I151" s="4"/>
      <c r="J151" s="4"/>
      <c r="K151" s="4">
        <v>207</v>
      </c>
      <c r="L151" s="4">
        <v>21</v>
      </c>
      <c r="M151" s="4">
        <v>3</v>
      </c>
      <c r="N151" s="4" t="s">
        <v>3</v>
      </c>
      <c r="O151" s="4">
        <v>-1</v>
      </c>
      <c r="P151" s="4"/>
      <c r="Q151" s="4"/>
      <c r="R151" s="4"/>
      <c r="S151" s="4"/>
      <c r="T151" s="4"/>
      <c r="U151" s="4"/>
      <c r="V151" s="4"/>
      <c r="W151" s="4"/>
    </row>
    <row r="152" spans="1:88">
      <c r="A152" s="4">
        <v>50</v>
      </c>
      <c r="B152" s="4">
        <v>0</v>
      </c>
      <c r="C152" s="4">
        <v>0</v>
      </c>
      <c r="D152" s="4">
        <v>1</v>
      </c>
      <c r="E152" s="4">
        <v>208</v>
      </c>
      <c r="F152" s="4">
        <f>Source!V129</f>
        <v>10.940964999999998</v>
      </c>
      <c r="G152" s="4" t="s">
        <v>108</v>
      </c>
      <c r="H152" s="4" t="s">
        <v>109</v>
      </c>
      <c r="I152" s="4"/>
      <c r="J152" s="4"/>
      <c r="K152" s="4">
        <v>208</v>
      </c>
      <c r="L152" s="4">
        <v>22</v>
      </c>
      <c r="M152" s="4">
        <v>3</v>
      </c>
      <c r="N152" s="4" t="s">
        <v>3</v>
      </c>
      <c r="O152" s="4">
        <v>-1</v>
      </c>
      <c r="P152" s="4"/>
      <c r="Q152" s="4"/>
      <c r="R152" s="4"/>
      <c r="S152" s="4"/>
      <c r="T152" s="4"/>
      <c r="U152" s="4"/>
      <c r="V152" s="4"/>
      <c r="W152" s="4"/>
    </row>
    <row r="153" spans="1:88">
      <c r="A153" s="4">
        <v>50</v>
      </c>
      <c r="B153" s="4">
        <v>0</v>
      </c>
      <c r="C153" s="4">
        <v>0</v>
      </c>
      <c r="D153" s="4">
        <v>1</v>
      </c>
      <c r="E153" s="4">
        <v>209</v>
      </c>
      <c r="F153" s="4">
        <f>ROUND(Source!W129,O153)</f>
        <v>1276.6300000000001</v>
      </c>
      <c r="G153" s="4" t="s">
        <v>110</v>
      </c>
      <c r="H153" s="4" t="s">
        <v>111</v>
      </c>
      <c r="I153" s="4"/>
      <c r="J153" s="4"/>
      <c r="K153" s="4">
        <v>209</v>
      </c>
      <c r="L153" s="4">
        <v>23</v>
      </c>
      <c r="M153" s="4">
        <v>3</v>
      </c>
      <c r="N153" s="4" t="s">
        <v>3</v>
      </c>
      <c r="O153" s="4">
        <v>2</v>
      </c>
      <c r="P153" s="4"/>
      <c r="Q153" s="4"/>
      <c r="R153" s="4"/>
      <c r="S153" s="4"/>
      <c r="T153" s="4"/>
      <c r="U153" s="4"/>
      <c r="V153" s="4"/>
      <c r="W153" s="4"/>
    </row>
    <row r="154" spans="1:88">
      <c r="A154" s="4">
        <v>50</v>
      </c>
      <c r="B154" s="4">
        <v>0</v>
      </c>
      <c r="C154" s="4">
        <v>0</v>
      </c>
      <c r="D154" s="4">
        <v>1</v>
      </c>
      <c r="E154" s="4">
        <v>233</v>
      </c>
      <c r="F154" s="4">
        <f>ROUND(Source!BD129,O154)</f>
        <v>0</v>
      </c>
      <c r="G154" s="4" t="s">
        <v>112</v>
      </c>
      <c r="H154" s="4" t="s">
        <v>113</v>
      </c>
      <c r="I154" s="4"/>
      <c r="J154" s="4"/>
      <c r="K154" s="4">
        <v>233</v>
      </c>
      <c r="L154" s="4">
        <v>24</v>
      </c>
      <c r="M154" s="4">
        <v>3</v>
      </c>
      <c r="N154" s="4" t="s">
        <v>3</v>
      </c>
      <c r="O154" s="4">
        <v>2</v>
      </c>
      <c r="P154" s="4"/>
      <c r="Q154" s="4"/>
      <c r="R154" s="4"/>
      <c r="S154" s="4"/>
      <c r="T154" s="4"/>
      <c r="U154" s="4"/>
      <c r="V154" s="4"/>
      <c r="W154" s="4"/>
    </row>
    <row r="155" spans="1:88">
      <c r="A155" s="4">
        <v>50</v>
      </c>
      <c r="B155" s="4">
        <v>0</v>
      </c>
      <c r="C155" s="4">
        <v>0</v>
      </c>
      <c r="D155" s="4">
        <v>1</v>
      </c>
      <c r="E155" s="4">
        <v>210</v>
      </c>
      <c r="F155" s="4">
        <f>ROUND(Source!X129,O155)</f>
        <v>109045.88</v>
      </c>
      <c r="G155" s="4" t="s">
        <v>114</v>
      </c>
      <c r="H155" s="4" t="s">
        <v>115</v>
      </c>
      <c r="I155" s="4"/>
      <c r="J155" s="4"/>
      <c r="K155" s="4">
        <v>210</v>
      </c>
      <c r="L155" s="4">
        <v>25</v>
      </c>
      <c r="M155" s="4">
        <v>3</v>
      </c>
      <c r="N155" s="4" t="s">
        <v>3</v>
      </c>
      <c r="O155" s="4">
        <v>2</v>
      </c>
      <c r="P155" s="4"/>
      <c r="Q155" s="4"/>
      <c r="R155" s="4"/>
      <c r="S155" s="4"/>
      <c r="T155" s="4"/>
      <c r="U155" s="4"/>
      <c r="V155" s="4"/>
      <c r="W155" s="4"/>
    </row>
    <row r="156" spans="1:88">
      <c r="A156" s="4">
        <v>50</v>
      </c>
      <c r="B156" s="4">
        <v>0</v>
      </c>
      <c r="C156" s="4">
        <v>0</v>
      </c>
      <c r="D156" s="4">
        <v>1</v>
      </c>
      <c r="E156" s="4">
        <v>211</v>
      </c>
      <c r="F156" s="4">
        <f>ROUND(Source!Y129,O156)</f>
        <v>62318.47</v>
      </c>
      <c r="G156" s="4" t="s">
        <v>116</v>
      </c>
      <c r="H156" s="4" t="s">
        <v>117</v>
      </c>
      <c r="I156" s="4"/>
      <c r="J156" s="4"/>
      <c r="K156" s="4">
        <v>211</v>
      </c>
      <c r="L156" s="4">
        <v>26</v>
      </c>
      <c r="M156" s="4">
        <v>3</v>
      </c>
      <c r="N156" s="4" t="s">
        <v>3</v>
      </c>
      <c r="O156" s="4">
        <v>2</v>
      </c>
      <c r="P156" s="4"/>
      <c r="Q156" s="4"/>
      <c r="R156" s="4"/>
      <c r="S156" s="4"/>
      <c r="T156" s="4"/>
      <c r="U156" s="4"/>
      <c r="V156" s="4"/>
      <c r="W156" s="4"/>
    </row>
    <row r="157" spans="1:88">
      <c r="A157" s="4">
        <v>50</v>
      </c>
      <c r="B157" s="4">
        <v>0</v>
      </c>
      <c r="C157" s="4">
        <v>0</v>
      </c>
      <c r="D157" s="4">
        <v>1</v>
      </c>
      <c r="E157" s="4">
        <v>224</v>
      </c>
      <c r="F157" s="4">
        <f>ROUND(Source!AR129,O157)</f>
        <v>520498.63</v>
      </c>
      <c r="G157" s="4" t="s">
        <v>118</v>
      </c>
      <c r="H157" s="4" t="s">
        <v>119</v>
      </c>
      <c r="I157" s="4"/>
      <c r="J157" s="4"/>
      <c r="K157" s="4">
        <v>224</v>
      </c>
      <c r="L157" s="4">
        <v>27</v>
      </c>
      <c r="M157" s="4">
        <v>3</v>
      </c>
      <c r="N157" s="4" t="s">
        <v>3</v>
      </c>
      <c r="O157" s="4">
        <v>2</v>
      </c>
      <c r="P157" s="4"/>
      <c r="Q157" s="4"/>
      <c r="R157" s="4"/>
      <c r="S157" s="4"/>
      <c r="T157" s="4"/>
      <c r="U157" s="4"/>
      <c r="V157" s="4"/>
      <c r="W157" s="4"/>
    </row>
    <row r="159" spans="1:88">
      <c r="A159" s="1">
        <v>4</v>
      </c>
      <c r="B159" s="1">
        <v>1</v>
      </c>
      <c r="C159" s="1"/>
      <c r="D159" s="1">
        <f>ROW(A174)</f>
        <v>174</v>
      </c>
      <c r="E159" s="1"/>
      <c r="F159" s="1" t="s">
        <v>14</v>
      </c>
      <c r="G159" s="1" t="s">
        <v>211</v>
      </c>
      <c r="H159" s="1" t="s">
        <v>3</v>
      </c>
      <c r="I159" s="1">
        <v>0</v>
      </c>
      <c r="J159" s="1"/>
      <c r="K159" s="1">
        <v>-1</v>
      </c>
      <c r="L159" s="1"/>
      <c r="M159" s="1" t="s">
        <v>3</v>
      </c>
      <c r="N159" s="1"/>
      <c r="O159" s="1"/>
      <c r="P159" s="1"/>
      <c r="Q159" s="1"/>
      <c r="R159" s="1"/>
      <c r="S159" s="1">
        <v>0</v>
      </c>
      <c r="T159" s="1"/>
      <c r="U159" s="1" t="s">
        <v>3</v>
      </c>
      <c r="V159" s="1">
        <v>0</v>
      </c>
      <c r="W159" s="1"/>
      <c r="X159" s="1"/>
      <c r="Y159" s="1"/>
      <c r="Z159" s="1"/>
      <c r="AA159" s="1"/>
      <c r="AB159" s="1" t="s">
        <v>3</v>
      </c>
      <c r="AC159" s="1" t="s">
        <v>3</v>
      </c>
      <c r="AD159" s="1" t="s">
        <v>3</v>
      </c>
      <c r="AE159" s="1" t="s">
        <v>3</v>
      </c>
      <c r="AF159" s="1" t="s">
        <v>3</v>
      </c>
      <c r="AG159" s="1" t="s">
        <v>3</v>
      </c>
      <c r="AH159" s="1"/>
      <c r="AI159" s="1"/>
      <c r="AJ159" s="1"/>
      <c r="AK159" s="1"/>
      <c r="AL159" s="1"/>
      <c r="AM159" s="1"/>
      <c r="AN159" s="1"/>
      <c r="AO159" s="1"/>
      <c r="AP159" s="1" t="s">
        <v>3</v>
      </c>
      <c r="AQ159" s="1" t="s">
        <v>3</v>
      </c>
      <c r="AR159" s="1" t="s">
        <v>3</v>
      </c>
      <c r="AS159" s="1"/>
      <c r="AT159" s="1"/>
      <c r="AU159" s="1"/>
      <c r="AV159" s="1"/>
      <c r="AW159" s="1"/>
      <c r="AX159" s="1"/>
      <c r="AY159" s="1"/>
      <c r="AZ159" s="1" t="s">
        <v>3</v>
      </c>
      <c r="BA159" s="1"/>
      <c r="BB159" s="1" t="s">
        <v>3</v>
      </c>
      <c r="BC159" s="1" t="s">
        <v>3</v>
      </c>
      <c r="BD159" s="1" t="s">
        <v>3</v>
      </c>
      <c r="BE159" s="1" t="s">
        <v>3</v>
      </c>
      <c r="BF159" s="1" t="s">
        <v>3</v>
      </c>
      <c r="BG159" s="1" t="s">
        <v>3</v>
      </c>
      <c r="BH159" s="1" t="s">
        <v>3</v>
      </c>
      <c r="BI159" s="1" t="s">
        <v>3</v>
      </c>
      <c r="BJ159" s="1" t="s">
        <v>3</v>
      </c>
      <c r="BK159" s="1" t="s">
        <v>3</v>
      </c>
      <c r="BL159" s="1" t="s">
        <v>3</v>
      </c>
      <c r="BM159" s="1" t="s">
        <v>3</v>
      </c>
      <c r="BN159" s="1" t="s">
        <v>3</v>
      </c>
      <c r="BO159" s="1" t="s">
        <v>3</v>
      </c>
      <c r="BP159" s="1" t="s">
        <v>3</v>
      </c>
      <c r="BQ159" s="1"/>
      <c r="BR159" s="1"/>
      <c r="BS159" s="1"/>
      <c r="BT159" s="1"/>
      <c r="BU159" s="1"/>
      <c r="BV159" s="1"/>
      <c r="BW159" s="1"/>
      <c r="BX159" s="1">
        <v>0</v>
      </c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>
        <v>0</v>
      </c>
    </row>
    <row r="161" spans="1:245">
      <c r="A161" s="2">
        <v>52</v>
      </c>
      <c r="B161" s="2">
        <f t="shared" ref="B161:G161" si="151">B174</f>
        <v>1</v>
      </c>
      <c r="C161" s="2">
        <f t="shared" si="151"/>
        <v>4</v>
      </c>
      <c r="D161" s="2">
        <f t="shared" si="151"/>
        <v>159</v>
      </c>
      <c r="E161" s="2">
        <f t="shared" si="151"/>
        <v>0</v>
      </c>
      <c r="F161" s="2" t="str">
        <f t="shared" si="151"/>
        <v>Новый раздел</v>
      </c>
      <c r="G161" s="2" t="str">
        <f t="shared" si="151"/>
        <v>сантехнические работы</v>
      </c>
      <c r="H161" s="2"/>
      <c r="I161" s="2"/>
      <c r="J161" s="2"/>
      <c r="K161" s="2"/>
      <c r="L161" s="2"/>
      <c r="M161" s="2"/>
      <c r="N161" s="2"/>
      <c r="O161" s="2">
        <f t="shared" ref="O161:AT161" si="152">O174</f>
        <v>81432.960000000006</v>
      </c>
      <c r="P161" s="2">
        <f t="shared" si="152"/>
        <v>68506.789999999994</v>
      </c>
      <c r="Q161" s="2">
        <f t="shared" si="152"/>
        <v>883.07</v>
      </c>
      <c r="R161" s="2">
        <f t="shared" si="152"/>
        <v>274.83999999999997</v>
      </c>
      <c r="S161" s="2">
        <f t="shared" si="152"/>
        <v>12043.1</v>
      </c>
      <c r="T161" s="2">
        <f t="shared" si="152"/>
        <v>0</v>
      </c>
      <c r="U161" s="2">
        <f t="shared" si="152"/>
        <v>42.507905000000001</v>
      </c>
      <c r="V161" s="2">
        <f t="shared" si="152"/>
        <v>0.6160000000000001</v>
      </c>
      <c r="W161" s="2">
        <f t="shared" si="152"/>
        <v>905.74</v>
      </c>
      <c r="X161" s="2">
        <f t="shared" si="152"/>
        <v>11689.06</v>
      </c>
      <c r="Y161" s="2">
        <f t="shared" si="152"/>
        <v>7475.18</v>
      </c>
      <c r="Z161" s="2">
        <f t="shared" si="152"/>
        <v>0</v>
      </c>
      <c r="AA161" s="2">
        <f t="shared" si="152"/>
        <v>0</v>
      </c>
      <c r="AB161" s="2">
        <f t="shared" si="152"/>
        <v>81432.960000000006</v>
      </c>
      <c r="AC161" s="2">
        <f t="shared" si="152"/>
        <v>68506.789999999994</v>
      </c>
      <c r="AD161" s="2">
        <f t="shared" si="152"/>
        <v>883.07</v>
      </c>
      <c r="AE161" s="2">
        <f t="shared" si="152"/>
        <v>274.83999999999997</v>
      </c>
      <c r="AF161" s="2">
        <f t="shared" si="152"/>
        <v>12043.1</v>
      </c>
      <c r="AG161" s="2">
        <f t="shared" si="152"/>
        <v>0</v>
      </c>
      <c r="AH161" s="2">
        <f t="shared" si="152"/>
        <v>42.507905000000001</v>
      </c>
      <c r="AI161" s="2">
        <f t="shared" si="152"/>
        <v>0.6160000000000001</v>
      </c>
      <c r="AJ161" s="2">
        <f t="shared" si="152"/>
        <v>905.74</v>
      </c>
      <c r="AK161" s="2">
        <f t="shared" si="152"/>
        <v>11689.06</v>
      </c>
      <c r="AL161" s="2">
        <f t="shared" si="152"/>
        <v>7475.18</v>
      </c>
      <c r="AM161" s="2">
        <f t="shared" si="152"/>
        <v>0</v>
      </c>
      <c r="AN161" s="2">
        <f t="shared" si="152"/>
        <v>0</v>
      </c>
      <c r="AO161" s="2">
        <f t="shared" si="152"/>
        <v>0</v>
      </c>
      <c r="AP161" s="2">
        <f t="shared" si="152"/>
        <v>0</v>
      </c>
      <c r="AQ161" s="2">
        <f t="shared" si="152"/>
        <v>0</v>
      </c>
      <c r="AR161" s="2">
        <f t="shared" si="152"/>
        <v>100597.2</v>
      </c>
      <c r="AS161" s="2">
        <f t="shared" si="152"/>
        <v>100597.2</v>
      </c>
      <c r="AT161" s="2">
        <f t="shared" si="152"/>
        <v>0</v>
      </c>
      <c r="AU161" s="2">
        <f t="shared" ref="AU161:BZ161" si="153">AU174</f>
        <v>0</v>
      </c>
      <c r="AV161" s="2">
        <f t="shared" si="153"/>
        <v>68506.789999999994</v>
      </c>
      <c r="AW161" s="2">
        <f t="shared" si="153"/>
        <v>68506.789999999994</v>
      </c>
      <c r="AX161" s="2">
        <f t="shared" si="153"/>
        <v>0</v>
      </c>
      <c r="AY161" s="2">
        <f t="shared" si="153"/>
        <v>68506.789999999994</v>
      </c>
      <c r="AZ161" s="2">
        <f t="shared" si="153"/>
        <v>0</v>
      </c>
      <c r="BA161" s="2">
        <f t="shared" si="153"/>
        <v>0</v>
      </c>
      <c r="BB161" s="2">
        <f t="shared" si="153"/>
        <v>0</v>
      </c>
      <c r="BC161" s="2">
        <f t="shared" si="153"/>
        <v>0</v>
      </c>
      <c r="BD161" s="2">
        <f t="shared" si="153"/>
        <v>0</v>
      </c>
      <c r="BE161" s="2">
        <f t="shared" si="153"/>
        <v>0</v>
      </c>
      <c r="BF161" s="2">
        <f t="shared" si="153"/>
        <v>0</v>
      </c>
      <c r="BG161" s="2">
        <f t="shared" si="153"/>
        <v>0</v>
      </c>
      <c r="BH161" s="2">
        <f t="shared" si="153"/>
        <v>0</v>
      </c>
      <c r="BI161" s="2">
        <f t="shared" si="153"/>
        <v>0</v>
      </c>
      <c r="BJ161" s="2">
        <f t="shared" si="153"/>
        <v>0</v>
      </c>
      <c r="BK161" s="2">
        <f t="shared" si="153"/>
        <v>0</v>
      </c>
      <c r="BL161" s="2">
        <f t="shared" si="153"/>
        <v>0</v>
      </c>
      <c r="BM161" s="2">
        <f t="shared" si="153"/>
        <v>0</v>
      </c>
      <c r="BN161" s="2">
        <f t="shared" si="153"/>
        <v>0</v>
      </c>
      <c r="BO161" s="2">
        <f t="shared" si="153"/>
        <v>0</v>
      </c>
      <c r="BP161" s="2">
        <f t="shared" si="153"/>
        <v>0</v>
      </c>
      <c r="BQ161" s="2">
        <f t="shared" si="153"/>
        <v>0</v>
      </c>
      <c r="BR161" s="2">
        <f t="shared" si="153"/>
        <v>0</v>
      </c>
      <c r="BS161" s="2">
        <f t="shared" si="153"/>
        <v>0</v>
      </c>
      <c r="BT161" s="2">
        <f t="shared" si="153"/>
        <v>0</v>
      </c>
      <c r="BU161" s="2">
        <f t="shared" si="153"/>
        <v>0</v>
      </c>
      <c r="BV161" s="2">
        <f t="shared" si="153"/>
        <v>0</v>
      </c>
      <c r="BW161" s="2">
        <f t="shared" si="153"/>
        <v>0</v>
      </c>
      <c r="BX161" s="2">
        <f t="shared" si="153"/>
        <v>0</v>
      </c>
      <c r="BY161" s="2">
        <f t="shared" si="153"/>
        <v>0</v>
      </c>
      <c r="BZ161" s="2">
        <f t="shared" si="153"/>
        <v>0</v>
      </c>
      <c r="CA161" s="2">
        <f t="shared" ref="CA161:DF161" si="154">CA174</f>
        <v>100597.2</v>
      </c>
      <c r="CB161" s="2">
        <f t="shared" si="154"/>
        <v>100597.2</v>
      </c>
      <c r="CC161" s="2">
        <f t="shared" si="154"/>
        <v>0</v>
      </c>
      <c r="CD161" s="2">
        <f t="shared" si="154"/>
        <v>0</v>
      </c>
      <c r="CE161" s="2">
        <f t="shared" si="154"/>
        <v>68506.789999999994</v>
      </c>
      <c r="CF161" s="2">
        <f t="shared" si="154"/>
        <v>68506.789999999994</v>
      </c>
      <c r="CG161" s="2">
        <f t="shared" si="154"/>
        <v>0</v>
      </c>
      <c r="CH161" s="2">
        <f t="shared" si="154"/>
        <v>68506.789999999994</v>
      </c>
      <c r="CI161" s="2">
        <f t="shared" si="154"/>
        <v>0</v>
      </c>
      <c r="CJ161" s="2">
        <f t="shared" si="154"/>
        <v>0</v>
      </c>
      <c r="CK161" s="2">
        <f t="shared" si="154"/>
        <v>0</v>
      </c>
      <c r="CL161" s="2">
        <f t="shared" si="154"/>
        <v>0</v>
      </c>
      <c r="CM161" s="2">
        <f t="shared" si="154"/>
        <v>0</v>
      </c>
      <c r="CN161" s="2">
        <f t="shared" si="154"/>
        <v>0</v>
      </c>
      <c r="CO161" s="2">
        <f t="shared" si="154"/>
        <v>0</v>
      </c>
      <c r="CP161" s="2">
        <f t="shared" si="154"/>
        <v>0</v>
      </c>
      <c r="CQ161" s="2">
        <f t="shared" si="154"/>
        <v>0</v>
      </c>
      <c r="CR161" s="2">
        <f t="shared" si="154"/>
        <v>0</v>
      </c>
      <c r="CS161" s="2">
        <f t="shared" si="154"/>
        <v>0</v>
      </c>
      <c r="CT161" s="2">
        <f t="shared" si="154"/>
        <v>0</v>
      </c>
      <c r="CU161" s="2">
        <f t="shared" si="154"/>
        <v>0</v>
      </c>
      <c r="CV161" s="2">
        <f t="shared" si="154"/>
        <v>0</v>
      </c>
      <c r="CW161" s="2">
        <f t="shared" si="154"/>
        <v>0</v>
      </c>
      <c r="CX161" s="2">
        <f t="shared" si="154"/>
        <v>0</v>
      </c>
      <c r="CY161" s="2">
        <f t="shared" si="154"/>
        <v>0</v>
      </c>
      <c r="CZ161" s="2">
        <f t="shared" si="154"/>
        <v>0</v>
      </c>
      <c r="DA161" s="2">
        <f t="shared" si="154"/>
        <v>0</v>
      </c>
      <c r="DB161" s="2">
        <f t="shared" si="154"/>
        <v>0</v>
      </c>
      <c r="DC161" s="2">
        <f t="shared" si="154"/>
        <v>0</v>
      </c>
      <c r="DD161" s="2">
        <f t="shared" si="154"/>
        <v>0</v>
      </c>
      <c r="DE161" s="2">
        <f t="shared" si="154"/>
        <v>0</v>
      </c>
      <c r="DF161" s="2">
        <f t="shared" si="154"/>
        <v>0</v>
      </c>
      <c r="DG161" s="3">
        <f t="shared" ref="DG161:EL161" si="155">DG174</f>
        <v>0</v>
      </c>
      <c r="DH161" s="3">
        <f t="shared" si="155"/>
        <v>0</v>
      </c>
      <c r="DI161" s="3">
        <f t="shared" si="155"/>
        <v>0</v>
      </c>
      <c r="DJ161" s="3">
        <f t="shared" si="155"/>
        <v>0</v>
      </c>
      <c r="DK161" s="3">
        <f t="shared" si="155"/>
        <v>0</v>
      </c>
      <c r="DL161" s="3">
        <f t="shared" si="155"/>
        <v>0</v>
      </c>
      <c r="DM161" s="3">
        <f t="shared" si="155"/>
        <v>0</v>
      </c>
      <c r="DN161" s="3">
        <f t="shared" si="155"/>
        <v>0</v>
      </c>
      <c r="DO161" s="3">
        <f t="shared" si="155"/>
        <v>0</v>
      </c>
      <c r="DP161" s="3">
        <f t="shared" si="155"/>
        <v>0</v>
      </c>
      <c r="DQ161" s="3">
        <f t="shared" si="155"/>
        <v>0</v>
      </c>
      <c r="DR161" s="3">
        <f t="shared" si="155"/>
        <v>0</v>
      </c>
      <c r="DS161" s="3">
        <f t="shared" si="155"/>
        <v>0</v>
      </c>
      <c r="DT161" s="3">
        <f t="shared" si="155"/>
        <v>0</v>
      </c>
      <c r="DU161" s="3">
        <f t="shared" si="155"/>
        <v>0</v>
      </c>
      <c r="DV161" s="3">
        <f t="shared" si="155"/>
        <v>0</v>
      </c>
      <c r="DW161" s="3">
        <f t="shared" si="155"/>
        <v>0</v>
      </c>
      <c r="DX161" s="3">
        <f t="shared" si="155"/>
        <v>0</v>
      </c>
      <c r="DY161" s="3">
        <f t="shared" si="155"/>
        <v>0</v>
      </c>
      <c r="DZ161" s="3">
        <f t="shared" si="155"/>
        <v>0</v>
      </c>
      <c r="EA161" s="3">
        <f t="shared" si="155"/>
        <v>0</v>
      </c>
      <c r="EB161" s="3">
        <f t="shared" si="155"/>
        <v>0</v>
      </c>
      <c r="EC161" s="3">
        <f t="shared" si="155"/>
        <v>0</v>
      </c>
      <c r="ED161" s="3">
        <f t="shared" si="155"/>
        <v>0</v>
      </c>
      <c r="EE161" s="3">
        <f t="shared" si="155"/>
        <v>0</v>
      </c>
      <c r="EF161" s="3">
        <f t="shared" si="155"/>
        <v>0</v>
      </c>
      <c r="EG161" s="3">
        <f t="shared" si="155"/>
        <v>0</v>
      </c>
      <c r="EH161" s="3">
        <f t="shared" si="155"/>
        <v>0</v>
      </c>
      <c r="EI161" s="3">
        <f t="shared" si="155"/>
        <v>0</v>
      </c>
      <c r="EJ161" s="3">
        <f t="shared" si="155"/>
        <v>0</v>
      </c>
      <c r="EK161" s="3">
        <f t="shared" si="155"/>
        <v>0</v>
      </c>
      <c r="EL161" s="3">
        <f t="shared" si="155"/>
        <v>0</v>
      </c>
      <c r="EM161" s="3">
        <f t="shared" ref="EM161:FR161" si="156">EM174</f>
        <v>0</v>
      </c>
      <c r="EN161" s="3">
        <f t="shared" si="156"/>
        <v>0</v>
      </c>
      <c r="EO161" s="3">
        <f t="shared" si="156"/>
        <v>0</v>
      </c>
      <c r="EP161" s="3">
        <f t="shared" si="156"/>
        <v>0</v>
      </c>
      <c r="EQ161" s="3">
        <f t="shared" si="156"/>
        <v>0</v>
      </c>
      <c r="ER161" s="3">
        <f t="shared" si="156"/>
        <v>0</v>
      </c>
      <c r="ES161" s="3">
        <f t="shared" si="156"/>
        <v>0</v>
      </c>
      <c r="ET161" s="3">
        <f t="shared" si="156"/>
        <v>0</v>
      </c>
      <c r="EU161" s="3">
        <f t="shared" si="156"/>
        <v>0</v>
      </c>
      <c r="EV161" s="3">
        <f t="shared" si="156"/>
        <v>0</v>
      </c>
      <c r="EW161" s="3">
        <f t="shared" si="156"/>
        <v>0</v>
      </c>
      <c r="EX161" s="3">
        <f t="shared" si="156"/>
        <v>0</v>
      </c>
      <c r="EY161" s="3">
        <f t="shared" si="156"/>
        <v>0</v>
      </c>
      <c r="EZ161" s="3">
        <f t="shared" si="156"/>
        <v>0</v>
      </c>
      <c r="FA161" s="3">
        <f t="shared" si="156"/>
        <v>0</v>
      </c>
      <c r="FB161" s="3">
        <f t="shared" si="156"/>
        <v>0</v>
      </c>
      <c r="FC161" s="3">
        <f t="shared" si="156"/>
        <v>0</v>
      </c>
      <c r="FD161" s="3">
        <f t="shared" si="156"/>
        <v>0</v>
      </c>
      <c r="FE161" s="3">
        <f t="shared" si="156"/>
        <v>0</v>
      </c>
      <c r="FF161" s="3">
        <f t="shared" si="156"/>
        <v>0</v>
      </c>
      <c r="FG161" s="3">
        <f t="shared" si="156"/>
        <v>0</v>
      </c>
      <c r="FH161" s="3">
        <f t="shared" si="156"/>
        <v>0</v>
      </c>
      <c r="FI161" s="3">
        <f t="shared" si="156"/>
        <v>0</v>
      </c>
      <c r="FJ161" s="3">
        <f t="shared" si="156"/>
        <v>0</v>
      </c>
      <c r="FK161" s="3">
        <f t="shared" si="156"/>
        <v>0</v>
      </c>
      <c r="FL161" s="3">
        <f t="shared" si="156"/>
        <v>0</v>
      </c>
      <c r="FM161" s="3">
        <f t="shared" si="156"/>
        <v>0</v>
      </c>
      <c r="FN161" s="3">
        <f t="shared" si="156"/>
        <v>0</v>
      </c>
      <c r="FO161" s="3">
        <f t="shared" si="156"/>
        <v>0</v>
      </c>
      <c r="FP161" s="3">
        <f t="shared" si="156"/>
        <v>0</v>
      </c>
      <c r="FQ161" s="3">
        <f t="shared" si="156"/>
        <v>0</v>
      </c>
      <c r="FR161" s="3">
        <f t="shared" si="156"/>
        <v>0</v>
      </c>
      <c r="FS161" s="3">
        <f t="shared" ref="FS161:GX161" si="157">FS174</f>
        <v>0</v>
      </c>
      <c r="FT161" s="3">
        <f t="shared" si="157"/>
        <v>0</v>
      </c>
      <c r="FU161" s="3">
        <f t="shared" si="157"/>
        <v>0</v>
      </c>
      <c r="FV161" s="3">
        <f t="shared" si="157"/>
        <v>0</v>
      </c>
      <c r="FW161" s="3">
        <f t="shared" si="157"/>
        <v>0</v>
      </c>
      <c r="FX161" s="3">
        <f t="shared" si="157"/>
        <v>0</v>
      </c>
      <c r="FY161" s="3">
        <f t="shared" si="157"/>
        <v>0</v>
      </c>
      <c r="FZ161" s="3">
        <f t="shared" si="157"/>
        <v>0</v>
      </c>
      <c r="GA161" s="3">
        <f t="shared" si="157"/>
        <v>0</v>
      </c>
      <c r="GB161" s="3">
        <f t="shared" si="157"/>
        <v>0</v>
      </c>
      <c r="GC161" s="3">
        <f t="shared" si="157"/>
        <v>0</v>
      </c>
      <c r="GD161" s="3">
        <f t="shared" si="157"/>
        <v>0</v>
      </c>
      <c r="GE161" s="3">
        <f t="shared" si="157"/>
        <v>0</v>
      </c>
      <c r="GF161" s="3">
        <f t="shared" si="157"/>
        <v>0</v>
      </c>
      <c r="GG161" s="3">
        <f t="shared" si="157"/>
        <v>0</v>
      </c>
      <c r="GH161" s="3">
        <f t="shared" si="157"/>
        <v>0</v>
      </c>
      <c r="GI161" s="3">
        <f t="shared" si="157"/>
        <v>0</v>
      </c>
      <c r="GJ161" s="3">
        <f t="shared" si="157"/>
        <v>0</v>
      </c>
      <c r="GK161" s="3">
        <f t="shared" si="157"/>
        <v>0</v>
      </c>
      <c r="GL161" s="3">
        <f t="shared" si="157"/>
        <v>0</v>
      </c>
      <c r="GM161" s="3">
        <f t="shared" si="157"/>
        <v>0</v>
      </c>
      <c r="GN161" s="3">
        <f t="shared" si="157"/>
        <v>0</v>
      </c>
      <c r="GO161" s="3">
        <f t="shared" si="157"/>
        <v>0</v>
      </c>
      <c r="GP161" s="3">
        <f t="shared" si="157"/>
        <v>0</v>
      </c>
      <c r="GQ161" s="3">
        <f t="shared" si="157"/>
        <v>0</v>
      </c>
      <c r="GR161" s="3">
        <f t="shared" si="157"/>
        <v>0</v>
      </c>
      <c r="GS161" s="3">
        <f t="shared" si="157"/>
        <v>0</v>
      </c>
      <c r="GT161" s="3">
        <f t="shared" si="157"/>
        <v>0</v>
      </c>
      <c r="GU161" s="3">
        <f t="shared" si="157"/>
        <v>0</v>
      </c>
      <c r="GV161" s="3">
        <f t="shared" si="157"/>
        <v>0</v>
      </c>
      <c r="GW161" s="3">
        <f t="shared" si="157"/>
        <v>0</v>
      </c>
      <c r="GX161" s="3">
        <f t="shared" si="157"/>
        <v>0</v>
      </c>
    </row>
    <row r="163" spans="1:245">
      <c r="A163">
        <v>17</v>
      </c>
      <c r="B163">
        <v>1</v>
      </c>
      <c r="C163">
        <f>ROW(SmtRes!A98)</f>
        <v>98</v>
      </c>
      <c r="D163">
        <f>ROW(EtalonRes!A94)</f>
        <v>94</v>
      </c>
      <c r="E163" t="s">
        <v>212</v>
      </c>
      <c r="F163" t="s">
        <v>213</v>
      </c>
      <c r="G163" t="s">
        <v>214</v>
      </c>
      <c r="H163" t="s">
        <v>53</v>
      </c>
      <c r="I163">
        <f>ROUND(12/100,9)</f>
        <v>0.12</v>
      </c>
      <c r="J163">
        <v>0</v>
      </c>
      <c r="O163">
        <f t="shared" ref="O163:O172" si="158">ROUND(CP163,2)</f>
        <v>3558.82</v>
      </c>
      <c r="P163">
        <f t="shared" ref="P163:P172" si="159">ROUND(CQ163*I163,2)</f>
        <v>0</v>
      </c>
      <c r="Q163">
        <f t="shared" ref="Q163:Q172" si="160">ROUND(CR163*I163,2)</f>
        <v>125.45</v>
      </c>
      <c r="R163">
        <f t="shared" ref="R163:R172" si="161">ROUND(CS163*I163,2)</f>
        <v>119.93</v>
      </c>
      <c r="S163">
        <f t="shared" ref="S163:S172" si="162">ROUND(CT163*I163,2)</f>
        <v>3433.37</v>
      </c>
      <c r="T163">
        <f t="shared" ref="T163:T172" si="163">ROUND(CU163*I163,2)</f>
        <v>0</v>
      </c>
      <c r="U163">
        <f t="shared" ref="U163:U172" si="164">CV163*I163</f>
        <v>13.2</v>
      </c>
      <c r="V163">
        <f t="shared" ref="V163:V172" si="165">CW163*I163</f>
        <v>0.26880000000000004</v>
      </c>
      <c r="W163">
        <f t="shared" ref="W163:W172" si="166">ROUND(CX163*I163,2)</f>
        <v>0</v>
      </c>
      <c r="X163">
        <f t="shared" ref="X163:X172" si="167">ROUND(CY163,2)</f>
        <v>2629.44</v>
      </c>
      <c r="Y163">
        <f t="shared" ref="Y163:Y172" si="168">ROUND(CZ163,2)</f>
        <v>1776.65</v>
      </c>
      <c r="AA163">
        <v>35841400</v>
      </c>
      <c r="AB163">
        <f t="shared" ref="AB163:AB172" si="169">ROUND((AC163+AD163+AF163),6)</f>
        <v>935.72</v>
      </c>
      <c r="AC163">
        <f t="shared" ref="AC163:AC172" si="170">ROUND((ES163),6)</f>
        <v>0</v>
      </c>
      <c r="AD163">
        <f>ROUND((((ET163)-(EU163))+AE163),6)</f>
        <v>70.02</v>
      </c>
      <c r="AE163">
        <f>ROUND((EU163),6)</f>
        <v>30.24</v>
      </c>
      <c r="AF163">
        <f>ROUND((EV163),6)</f>
        <v>865.7</v>
      </c>
      <c r="AG163">
        <f t="shared" ref="AG163:AG172" si="171">ROUND((AP163),6)</f>
        <v>0</v>
      </c>
      <c r="AH163">
        <f>(EW163)</f>
        <v>110</v>
      </c>
      <c r="AI163">
        <f>(EX163)</f>
        <v>2.2400000000000002</v>
      </c>
      <c r="AJ163">
        <f t="shared" ref="AJ163:AJ172" si="172">(AS163)</f>
        <v>0</v>
      </c>
      <c r="AK163">
        <v>935.72</v>
      </c>
      <c r="AL163">
        <v>0</v>
      </c>
      <c r="AM163">
        <v>70.02</v>
      </c>
      <c r="AN163">
        <v>30.24</v>
      </c>
      <c r="AO163">
        <v>865.7</v>
      </c>
      <c r="AP163">
        <v>0</v>
      </c>
      <c r="AQ163">
        <v>110</v>
      </c>
      <c r="AR163">
        <v>2.2400000000000002</v>
      </c>
      <c r="AS163">
        <v>0</v>
      </c>
      <c r="AT163">
        <v>74</v>
      </c>
      <c r="AU163">
        <v>50</v>
      </c>
      <c r="AV163">
        <v>1</v>
      </c>
      <c r="AW163">
        <v>1</v>
      </c>
      <c r="AZ163">
        <v>1</v>
      </c>
      <c r="BA163">
        <v>33.049999999999997</v>
      </c>
      <c r="BB163">
        <v>14.93</v>
      </c>
      <c r="BC163">
        <v>1</v>
      </c>
      <c r="BD163" t="s">
        <v>3</v>
      </c>
      <c r="BE163" t="s">
        <v>3</v>
      </c>
      <c r="BF163" t="s">
        <v>3</v>
      </c>
      <c r="BG163" t="s">
        <v>3</v>
      </c>
      <c r="BH163">
        <v>0</v>
      </c>
      <c r="BI163">
        <v>1</v>
      </c>
      <c r="BJ163" t="s">
        <v>215</v>
      </c>
      <c r="BM163">
        <v>65003</v>
      </c>
      <c r="BN163">
        <v>0</v>
      </c>
      <c r="BO163" t="s">
        <v>213</v>
      </c>
      <c r="BP163">
        <v>1</v>
      </c>
      <c r="BQ163">
        <v>6</v>
      </c>
      <c r="BR163">
        <v>0</v>
      </c>
      <c r="BS163">
        <v>33.049999999999997</v>
      </c>
      <c r="BT163">
        <v>1</v>
      </c>
      <c r="BU163">
        <v>1</v>
      </c>
      <c r="BV163">
        <v>1</v>
      </c>
      <c r="BW163">
        <v>1</v>
      </c>
      <c r="BX163">
        <v>1</v>
      </c>
      <c r="BY163" t="s">
        <v>3</v>
      </c>
      <c r="BZ163">
        <v>74</v>
      </c>
      <c r="CA163">
        <v>50</v>
      </c>
      <c r="CE163">
        <v>0</v>
      </c>
      <c r="CF163">
        <v>0</v>
      </c>
      <c r="CG163">
        <v>0</v>
      </c>
      <c r="CM163">
        <v>0</v>
      </c>
      <c r="CN163" t="s">
        <v>3</v>
      </c>
      <c r="CO163">
        <v>0</v>
      </c>
      <c r="CP163">
        <f t="shared" ref="CP163:CP172" si="173">(P163+Q163+S163)</f>
        <v>3558.8199999999997</v>
      </c>
      <c r="CQ163">
        <f t="shared" ref="CQ163:CQ172" si="174">AC163*BC163</f>
        <v>0</v>
      </c>
      <c r="CR163">
        <f t="shared" ref="CR163:CR172" si="175">AD163*BB163</f>
        <v>1045.3986</v>
      </c>
      <c r="CS163">
        <f t="shared" ref="CS163:CS172" si="176">AE163*BS163</f>
        <v>999.4319999999999</v>
      </c>
      <c r="CT163">
        <f t="shared" ref="CT163:CT172" si="177">AF163*BA163</f>
        <v>28611.384999999998</v>
      </c>
      <c r="CU163">
        <f t="shared" ref="CU163:CU172" si="178">AG163</f>
        <v>0</v>
      </c>
      <c r="CV163">
        <f t="shared" ref="CV163:CV172" si="179">AH163</f>
        <v>110</v>
      </c>
      <c r="CW163">
        <f t="shared" ref="CW163:CW172" si="180">AI163</f>
        <v>2.2400000000000002</v>
      </c>
      <c r="CX163">
        <f t="shared" ref="CX163:CX172" si="181">AJ163</f>
        <v>0</v>
      </c>
      <c r="CY163">
        <f t="shared" ref="CY163:CY172" si="182">(((S163+R163)*AT163)/100)</f>
        <v>2629.4419999999996</v>
      </c>
      <c r="CZ163">
        <f t="shared" ref="CZ163:CZ172" si="183">(((S163+R163)*AU163)/100)</f>
        <v>1776.65</v>
      </c>
      <c r="DC163" t="s">
        <v>3</v>
      </c>
      <c r="DD163" t="s">
        <v>3</v>
      </c>
      <c r="DE163" t="s">
        <v>3</v>
      </c>
      <c r="DF163" t="s">
        <v>3</v>
      </c>
      <c r="DG163" t="s">
        <v>3</v>
      </c>
      <c r="DH163" t="s">
        <v>3</v>
      </c>
      <c r="DI163" t="s">
        <v>3</v>
      </c>
      <c r="DJ163" t="s">
        <v>3</v>
      </c>
      <c r="DK163" t="s">
        <v>3</v>
      </c>
      <c r="DL163" t="s">
        <v>3</v>
      </c>
      <c r="DM163" t="s">
        <v>3</v>
      </c>
      <c r="DN163">
        <v>0</v>
      </c>
      <c r="DO163">
        <v>0</v>
      </c>
      <c r="DP163">
        <v>1</v>
      </c>
      <c r="DQ163">
        <v>1</v>
      </c>
      <c r="DU163">
        <v>1010</v>
      </c>
      <c r="DV163" t="s">
        <v>53</v>
      </c>
      <c r="DW163" t="s">
        <v>53</v>
      </c>
      <c r="DX163">
        <v>100</v>
      </c>
      <c r="DZ163" t="s">
        <v>3</v>
      </c>
      <c r="EA163" t="s">
        <v>3</v>
      </c>
      <c r="EB163" t="s">
        <v>3</v>
      </c>
      <c r="EC163" t="s">
        <v>3</v>
      </c>
      <c r="EE163">
        <v>35526170</v>
      </c>
      <c r="EF163">
        <v>6</v>
      </c>
      <c r="EG163" t="s">
        <v>21</v>
      </c>
      <c r="EH163">
        <v>0</v>
      </c>
      <c r="EI163" t="s">
        <v>3</v>
      </c>
      <c r="EJ163">
        <v>1</v>
      </c>
      <c r="EK163">
        <v>65003</v>
      </c>
      <c r="EL163" t="s">
        <v>216</v>
      </c>
      <c r="EM163" t="s">
        <v>217</v>
      </c>
      <c r="EO163" t="s">
        <v>3</v>
      </c>
      <c r="EQ163">
        <v>0</v>
      </c>
      <c r="ER163">
        <v>935.72</v>
      </c>
      <c r="ES163">
        <v>0</v>
      </c>
      <c r="ET163">
        <v>70.02</v>
      </c>
      <c r="EU163">
        <v>30.24</v>
      </c>
      <c r="EV163">
        <v>865.7</v>
      </c>
      <c r="EW163">
        <v>110</v>
      </c>
      <c r="EX163">
        <v>2.2400000000000002</v>
      </c>
      <c r="EY163">
        <v>0</v>
      </c>
      <c r="FQ163">
        <v>0</v>
      </c>
      <c r="FR163">
        <f t="shared" ref="FR163:FR172" si="184">ROUND(IF(AND(BH163=3,BI163=3),P163,0),2)</f>
        <v>0</v>
      </c>
      <c r="FS163">
        <v>0</v>
      </c>
      <c r="FX163">
        <v>74</v>
      </c>
      <c r="FY163">
        <v>50</v>
      </c>
      <c r="GA163" t="s">
        <v>3</v>
      </c>
      <c r="GD163">
        <v>1</v>
      </c>
      <c r="GF163">
        <v>8557568</v>
      </c>
      <c r="GG163">
        <v>2</v>
      </c>
      <c r="GH163">
        <v>1</v>
      </c>
      <c r="GI163">
        <v>2</v>
      </c>
      <c r="GJ163">
        <v>0</v>
      </c>
      <c r="GK163">
        <v>0</v>
      </c>
      <c r="GL163">
        <f t="shared" ref="GL163:GL172" si="185">ROUND(IF(AND(BH163=3,BI163=3,FS163&lt;&gt;0),P163,0),2)</f>
        <v>0</v>
      </c>
      <c r="GM163">
        <f t="shared" ref="GM163:GM172" si="186">ROUND(O163+X163+Y163,2)+GX163</f>
        <v>7964.91</v>
      </c>
      <c r="GN163">
        <f t="shared" ref="GN163:GN172" si="187">IF(OR(BI163=0,BI163=1),ROUND(O163+X163+Y163,2),0)</f>
        <v>7964.91</v>
      </c>
      <c r="GO163">
        <f t="shared" ref="GO163:GO172" si="188">IF(BI163=2,ROUND(O163+X163+Y163,2),0)</f>
        <v>0</v>
      </c>
      <c r="GP163">
        <f t="shared" ref="GP163:GP172" si="189">IF(BI163=4,ROUND(O163+X163+Y163,2)+GX163,0)</f>
        <v>0</v>
      </c>
      <c r="GR163">
        <v>0</v>
      </c>
      <c r="GS163">
        <v>3</v>
      </c>
      <c r="GT163">
        <v>0</v>
      </c>
      <c r="GU163" t="s">
        <v>3</v>
      </c>
      <c r="GV163">
        <f t="shared" ref="GV163:GV172" si="190">ROUND((GT163),6)</f>
        <v>0</v>
      </c>
      <c r="GW163">
        <v>1</v>
      </c>
      <c r="GX163">
        <f t="shared" ref="GX163:GX172" si="191">ROUND(HC163*I163,2)</f>
        <v>0</v>
      </c>
      <c r="HA163">
        <v>0</v>
      </c>
      <c r="HB163">
        <v>0</v>
      </c>
      <c r="HC163">
        <f t="shared" ref="HC163:HC172" si="192">GV163*GW163</f>
        <v>0</v>
      </c>
      <c r="HE163" t="s">
        <v>3</v>
      </c>
      <c r="HF163" t="s">
        <v>3</v>
      </c>
      <c r="IK163">
        <v>0</v>
      </c>
    </row>
    <row r="164" spans="1:245">
      <c r="A164">
        <v>17</v>
      </c>
      <c r="B164">
        <v>1</v>
      </c>
      <c r="C164">
        <f>ROW(SmtRes!A102)</f>
        <v>102</v>
      </c>
      <c r="D164">
        <f>ROW(EtalonRes!A98)</f>
        <v>98</v>
      </c>
      <c r="E164" t="s">
        <v>29</v>
      </c>
      <c r="F164" t="s">
        <v>218</v>
      </c>
      <c r="G164" t="s">
        <v>219</v>
      </c>
      <c r="H164" t="s">
        <v>220</v>
      </c>
      <c r="I164">
        <f>ROUND(20/100,9)</f>
        <v>0.2</v>
      </c>
      <c r="J164">
        <v>0</v>
      </c>
      <c r="O164">
        <f t="shared" si="158"/>
        <v>2496.0500000000002</v>
      </c>
      <c r="P164">
        <f t="shared" si="159"/>
        <v>28.41</v>
      </c>
      <c r="Q164">
        <f t="shared" si="160"/>
        <v>9.31</v>
      </c>
      <c r="R164">
        <f t="shared" si="161"/>
        <v>0</v>
      </c>
      <c r="S164">
        <f t="shared" si="162"/>
        <v>2458.33</v>
      </c>
      <c r="T164">
        <f t="shared" si="163"/>
        <v>0</v>
      </c>
      <c r="U164">
        <f t="shared" si="164"/>
        <v>8.7200000000000006</v>
      </c>
      <c r="V164">
        <f t="shared" si="165"/>
        <v>0</v>
      </c>
      <c r="W164">
        <f t="shared" si="166"/>
        <v>0</v>
      </c>
      <c r="X164">
        <f t="shared" si="167"/>
        <v>1819.16</v>
      </c>
      <c r="Y164">
        <f t="shared" si="168"/>
        <v>1229.17</v>
      </c>
      <c r="AA164">
        <v>35841400</v>
      </c>
      <c r="AB164">
        <f t="shared" si="169"/>
        <v>391.01</v>
      </c>
      <c r="AC164">
        <f t="shared" si="170"/>
        <v>12.56</v>
      </c>
      <c r="AD164">
        <f>ROUND((((ET164)-(EU164))+AE164),6)</f>
        <v>6.54</v>
      </c>
      <c r="AE164">
        <f>ROUND((EU164),6)</f>
        <v>0</v>
      </c>
      <c r="AF164">
        <f>ROUND((EV164),6)</f>
        <v>371.91</v>
      </c>
      <c r="AG164">
        <f t="shared" si="171"/>
        <v>0</v>
      </c>
      <c r="AH164">
        <f>(EW164)</f>
        <v>43.6</v>
      </c>
      <c r="AI164">
        <f>(EX164)</f>
        <v>0</v>
      </c>
      <c r="AJ164">
        <f t="shared" si="172"/>
        <v>0</v>
      </c>
      <c r="AK164">
        <v>391.01</v>
      </c>
      <c r="AL164">
        <v>12.56</v>
      </c>
      <c r="AM164">
        <v>6.54</v>
      </c>
      <c r="AN164">
        <v>0</v>
      </c>
      <c r="AO164">
        <v>371.91</v>
      </c>
      <c r="AP164">
        <v>0</v>
      </c>
      <c r="AQ164">
        <v>43.6</v>
      </c>
      <c r="AR164">
        <v>0</v>
      </c>
      <c r="AS164">
        <v>0</v>
      </c>
      <c r="AT164">
        <v>74</v>
      </c>
      <c r="AU164">
        <v>50</v>
      </c>
      <c r="AV164">
        <v>1</v>
      </c>
      <c r="AW164">
        <v>1</v>
      </c>
      <c r="AZ164">
        <v>1</v>
      </c>
      <c r="BA164">
        <v>33.049999999999997</v>
      </c>
      <c r="BB164">
        <v>7.12</v>
      </c>
      <c r="BC164">
        <v>11.31</v>
      </c>
      <c r="BD164" t="s">
        <v>3</v>
      </c>
      <c r="BE164" t="s">
        <v>3</v>
      </c>
      <c r="BF164" t="s">
        <v>3</v>
      </c>
      <c r="BG164" t="s">
        <v>3</v>
      </c>
      <c r="BH164">
        <v>0</v>
      </c>
      <c r="BI164">
        <v>1</v>
      </c>
      <c r="BJ164" t="s">
        <v>221</v>
      </c>
      <c r="BM164">
        <v>65002</v>
      </c>
      <c r="BN164">
        <v>0</v>
      </c>
      <c r="BO164" t="s">
        <v>218</v>
      </c>
      <c r="BP164">
        <v>1</v>
      </c>
      <c r="BQ164">
        <v>6</v>
      </c>
      <c r="BR164">
        <v>0</v>
      </c>
      <c r="BS164">
        <v>33.049999999999997</v>
      </c>
      <c r="BT164">
        <v>1</v>
      </c>
      <c r="BU164">
        <v>1</v>
      </c>
      <c r="BV164">
        <v>1</v>
      </c>
      <c r="BW164">
        <v>1</v>
      </c>
      <c r="BX164">
        <v>1</v>
      </c>
      <c r="BY164" t="s">
        <v>3</v>
      </c>
      <c r="BZ164">
        <v>74</v>
      </c>
      <c r="CA164">
        <v>50</v>
      </c>
      <c r="CE164">
        <v>0</v>
      </c>
      <c r="CF164">
        <v>0</v>
      </c>
      <c r="CG164">
        <v>0</v>
      </c>
      <c r="CM164">
        <v>0</v>
      </c>
      <c r="CN164" t="s">
        <v>3</v>
      </c>
      <c r="CO164">
        <v>0</v>
      </c>
      <c r="CP164">
        <f t="shared" si="173"/>
        <v>2496.0499999999997</v>
      </c>
      <c r="CQ164">
        <f t="shared" si="174"/>
        <v>142.05360000000002</v>
      </c>
      <c r="CR164">
        <f t="shared" si="175"/>
        <v>46.564799999999998</v>
      </c>
      <c r="CS164">
        <f t="shared" si="176"/>
        <v>0</v>
      </c>
      <c r="CT164">
        <f t="shared" si="177"/>
        <v>12291.6255</v>
      </c>
      <c r="CU164">
        <f t="shared" si="178"/>
        <v>0</v>
      </c>
      <c r="CV164">
        <f t="shared" si="179"/>
        <v>43.6</v>
      </c>
      <c r="CW164">
        <f t="shared" si="180"/>
        <v>0</v>
      </c>
      <c r="CX164">
        <f t="shared" si="181"/>
        <v>0</v>
      </c>
      <c r="CY164">
        <f t="shared" si="182"/>
        <v>1819.1641999999999</v>
      </c>
      <c r="CZ164">
        <f t="shared" si="183"/>
        <v>1229.165</v>
      </c>
      <c r="DC164" t="s">
        <v>3</v>
      </c>
      <c r="DD164" t="s">
        <v>3</v>
      </c>
      <c r="DE164" t="s">
        <v>3</v>
      </c>
      <c r="DF164" t="s">
        <v>3</v>
      </c>
      <c r="DG164" t="s">
        <v>3</v>
      </c>
      <c r="DH164" t="s">
        <v>3</v>
      </c>
      <c r="DI164" t="s">
        <v>3</v>
      </c>
      <c r="DJ164" t="s">
        <v>3</v>
      </c>
      <c r="DK164" t="s">
        <v>3</v>
      </c>
      <c r="DL164" t="s">
        <v>3</v>
      </c>
      <c r="DM164" t="s">
        <v>3</v>
      </c>
      <c r="DN164">
        <v>0</v>
      </c>
      <c r="DO164">
        <v>0</v>
      </c>
      <c r="DP164">
        <v>1</v>
      </c>
      <c r="DQ164">
        <v>1</v>
      </c>
      <c r="DU164">
        <v>1013</v>
      </c>
      <c r="DV164" t="s">
        <v>220</v>
      </c>
      <c r="DW164" t="s">
        <v>220</v>
      </c>
      <c r="DX164">
        <v>1</v>
      </c>
      <c r="DZ164" t="s">
        <v>3</v>
      </c>
      <c r="EA164" t="s">
        <v>3</v>
      </c>
      <c r="EB164" t="s">
        <v>3</v>
      </c>
      <c r="EC164" t="s">
        <v>3</v>
      </c>
      <c r="EE164">
        <v>35526169</v>
      </c>
      <c r="EF164">
        <v>6</v>
      </c>
      <c r="EG164" t="s">
        <v>21</v>
      </c>
      <c r="EH164">
        <v>0</v>
      </c>
      <c r="EI164" t="s">
        <v>3</v>
      </c>
      <c r="EJ164">
        <v>1</v>
      </c>
      <c r="EK164">
        <v>65002</v>
      </c>
      <c r="EL164" t="s">
        <v>216</v>
      </c>
      <c r="EM164" t="s">
        <v>217</v>
      </c>
      <c r="EO164" t="s">
        <v>3</v>
      </c>
      <c r="EQ164">
        <v>0</v>
      </c>
      <c r="ER164">
        <v>391.01</v>
      </c>
      <c r="ES164">
        <v>12.56</v>
      </c>
      <c r="ET164">
        <v>6.54</v>
      </c>
      <c r="EU164">
        <v>0</v>
      </c>
      <c r="EV164">
        <v>371.91</v>
      </c>
      <c r="EW164">
        <v>43.6</v>
      </c>
      <c r="EX164">
        <v>0</v>
      </c>
      <c r="EY164">
        <v>0</v>
      </c>
      <c r="FQ164">
        <v>0</v>
      </c>
      <c r="FR164">
        <f t="shared" si="184"/>
        <v>0</v>
      </c>
      <c r="FS164">
        <v>0</v>
      </c>
      <c r="FX164">
        <v>74</v>
      </c>
      <c r="FY164">
        <v>50</v>
      </c>
      <c r="GA164" t="s">
        <v>3</v>
      </c>
      <c r="GD164">
        <v>1</v>
      </c>
      <c r="GF164">
        <v>-1737616815</v>
      </c>
      <c r="GG164">
        <v>2</v>
      </c>
      <c r="GH164">
        <v>1</v>
      </c>
      <c r="GI164">
        <v>2</v>
      </c>
      <c r="GJ164">
        <v>0</v>
      </c>
      <c r="GK164">
        <v>0</v>
      </c>
      <c r="GL164">
        <f t="shared" si="185"/>
        <v>0</v>
      </c>
      <c r="GM164">
        <f t="shared" si="186"/>
        <v>5544.38</v>
      </c>
      <c r="GN164">
        <f t="shared" si="187"/>
        <v>5544.38</v>
      </c>
      <c r="GO164">
        <f t="shared" si="188"/>
        <v>0</v>
      </c>
      <c r="GP164">
        <f t="shared" si="189"/>
        <v>0</v>
      </c>
      <c r="GR164">
        <v>0</v>
      </c>
      <c r="GS164">
        <v>3</v>
      </c>
      <c r="GT164">
        <v>0</v>
      </c>
      <c r="GU164" t="s">
        <v>3</v>
      </c>
      <c r="GV164">
        <f t="shared" si="190"/>
        <v>0</v>
      </c>
      <c r="GW164">
        <v>1</v>
      </c>
      <c r="GX164">
        <f t="shared" si="191"/>
        <v>0</v>
      </c>
      <c r="HA164">
        <v>0</v>
      </c>
      <c r="HB164">
        <v>0</v>
      </c>
      <c r="HC164">
        <f t="shared" si="192"/>
        <v>0</v>
      </c>
      <c r="HE164" t="s">
        <v>3</v>
      </c>
      <c r="HF164" t="s">
        <v>3</v>
      </c>
      <c r="IK164">
        <v>0</v>
      </c>
    </row>
    <row r="165" spans="1:245">
      <c r="A165">
        <v>17</v>
      </c>
      <c r="B165">
        <v>1</v>
      </c>
      <c r="C165">
        <f>ROW(SmtRes!A116)</f>
        <v>116</v>
      </c>
      <c r="D165">
        <f>ROW(EtalonRes!A111)</f>
        <v>111</v>
      </c>
      <c r="E165" t="s">
        <v>44</v>
      </c>
      <c r="F165" t="s">
        <v>222</v>
      </c>
      <c r="G165" t="s">
        <v>223</v>
      </c>
      <c r="H165" t="s">
        <v>224</v>
      </c>
      <c r="I165">
        <f>ROUND(21.7/100,9)</f>
        <v>0.217</v>
      </c>
      <c r="J165">
        <v>0</v>
      </c>
      <c r="O165">
        <f t="shared" si="158"/>
        <v>22717.24</v>
      </c>
      <c r="P165">
        <f t="shared" si="159"/>
        <v>17184.32</v>
      </c>
      <c r="Q165">
        <f t="shared" si="160"/>
        <v>679.77</v>
      </c>
      <c r="R165">
        <f t="shared" si="161"/>
        <v>154.91</v>
      </c>
      <c r="S165">
        <f t="shared" si="162"/>
        <v>4853.1499999999996</v>
      </c>
      <c r="T165">
        <f t="shared" si="163"/>
        <v>0</v>
      </c>
      <c r="U165">
        <f t="shared" si="164"/>
        <v>16.370479999999997</v>
      </c>
      <c r="V165">
        <f t="shared" si="165"/>
        <v>0.34720000000000001</v>
      </c>
      <c r="W165">
        <f t="shared" si="166"/>
        <v>0</v>
      </c>
      <c r="X165">
        <f t="shared" si="167"/>
        <v>5759.27</v>
      </c>
      <c r="Y165">
        <f t="shared" si="168"/>
        <v>3555.72</v>
      </c>
      <c r="AA165">
        <v>35841400</v>
      </c>
      <c r="AB165">
        <f t="shared" si="169"/>
        <v>18883.937000000002</v>
      </c>
      <c r="AC165">
        <f t="shared" si="170"/>
        <v>17916.38</v>
      </c>
      <c r="AD165">
        <f>ROUND(((((ET165*1.25))-((EU165*1.25)))+AE165),6)</f>
        <v>290.86250000000001</v>
      </c>
      <c r="AE165">
        <f>ROUND(((EU165*1.25)),6)</f>
        <v>21.6</v>
      </c>
      <c r="AF165">
        <f>ROUND(((EV165*1.15)),6)</f>
        <v>676.69449999999995</v>
      </c>
      <c r="AG165">
        <f t="shared" si="171"/>
        <v>0</v>
      </c>
      <c r="AH165">
        <f>((EW165*1.15))</f>
        <v>75.439999999999984</v>
      </c>
      <c r="AI165">
        <f>((EX165*1.25))</f>
        <v>1.6</v>
      </c>
      <c r="AJ165">
        <f t="shared" si="172"/>
        <v>0</v>
      </c>
      <c r="AK165">
        <v>18737.5</v>
      </c>
      <c r="AL165">
        <v>17916.38</v>
      </c>
      <c r="AM165">
        <v>232.69</v>
      </c>
      <c r="AN165">
        <v>17.28</v>
      </c>
      <c r="AO165">
        <v>588.42999999999995</v>
      </c>
      <c r="AP165">
        <v>0</v>
      </c>
      <c r="AQ165">
        <v>65.599999999999994</v>
      </c>
      <c r="AR165">
        <v>1.28</v>
      </c>
      <c r="AS165">
        <v>0</v>
      </c>
      <c r="AT165">
        <v>115</v>
      </c>
      <c r="AU165">
        <v>71</v>
      </c>
      <c r="AV165">
        <v>1</v>
      </c>
      <c r="AW165">
        <v>1</v>
      </c>
      <c r="AZ165">
        <v>1</v>
      </c>
      <c r="BA165">
        <v>33.049999999999997</v>
      </c>
      <c r="BB165">
        <v>10.77</v>
      </c>
      <c r="BC165">
        <v>4.42</v>
      </c>
      <c r="BD165" t="s">
        <v>3</v>
      </c>
      <c r="BE165" t="s">
        <v>3</v>
      </c>
      <c r="BF165" t="s">
        <v>3</v>
      </c>
      <c r="BG165" t="s">
        <v>3</v>
      </c>
      <c r="BH165">
        <v>0</v>
      </c>
      <c r="BI165">
        <v>1</v>
      </c>
      <c r="BJ165" t="s">
        <v>225</v>
      </c>
      <c r="BM165">
        <v>18001</v>
      </c>
      <c r="BN165">
        <v>0</v>
      </c>
      <c r="BO165" t="s">
        <v>222</v>
      </c>
      <c r="BP165">
        <v>1</v>
      </c>
      <c r="BQ165">
        <v>2</v>
      </c>
      <c r="BR165">
        <v>0</v>
      </c>
      <c r="BS165">
        <v>33.049999999999997</v>
      </c>
      <c r="BT165">
        <v>1</v>
      </c>
      <c r="BU165">
        <v>1</v>
      </c>
      <c r="BV165">
        <v>1</v>
      </c>
      <c r="BW165">
        <v>1</v>
      </c>
      <c r="BX165">
        <v>1</v>
      </c>
      <c r="BY165" t="s">
        <v>3</v>
      </c>
      <c r="BZ165">
        <v>128</v>
      </c>
      <c r="CA165">
        <v>83</v>
      </c>
      <c r="CE165">
        <v>0</v>
      </c>
      <c r="CF165">
        <v>0</v>
      </c>
      <c r="CG165">
        <v>0</v>
      </c>
      <c r="CM165">
        <v>0</v>
      </c>
      <c r="CN165" t="s">
        <v>632</v>
      </c>
      <c r="CO165">
        <v>0</v>
      </c>
      <c r="CP165">
        <f t="shared" si="173"/>
        <v>22717.239999999998</v>
      </c>
      <c r="CQ165">
        <f t="shared" si="174"/>
        <v>79190.399600000004</v>
      </c>
      <c r="CR165">
        <f t="shared" si="175"/>
        <v>3132.589125</v>
      </c>
      <c r="CS165">
        <f t="shared" si="176"/>
        <v>713.88</v>
      </c>
      <c r="CT165">
        <f t="shared" si="177"/>
        <v>22364.753224999997</v>
      </c>
      <c r="CU165">
        <f t="shared" si="178"/>
        <v>0</v>
      </c>
      <c r="CV165">
        <f t="shared" si="179"/>
        <v>75.439999999999984</v>
      </c>
      <c r="CW165">
        <f t="shared" si="180"/>
        <v>1.6</v>
      </c>
      <c r="CX165">
        <f t="shared" si="181"/>
        <v>0</v>
      </c>
      <c r="CY165">
        <f t="shared" si="182"/>
        <v>5759.2689999999993</v>
      </c>
      <c r="CZ165">
        <f t="shared" si="183"/>
        <v>3555.7225999999996</v>
      </c>
      <c r="DC165" t="s">
        <v>3</v>
      </c>
      <c r="DD165" t="s">
        <v>3</v>
      </c>
      <c r="DE165" t="s">
        <v>146</v>
      </c>
      <c r="DF165" t="s">
        <v>146</v>
      </c>
      <c r="DG165" t="s">
        <v>147</v>
      </c>
      <c r="DH165" t="s">
        <v>3</v>
      </c>
      <c r="DI165" t="s">
        <v>147</v>
      </c>
      <c r="DJ165" t="s">
        <v>146</v>
      </c>
      <c r="DK165" t="s">
        <v>3</v>
      </c>
      <c r="DL165" t="s">
        <v>3</v>
      </c>
      <c r="DM165" t="s">
        <v>3</v>
      </c>
      <c r="DN165">
        <v>0</v>
      </c>
      <c r="DO165">
        <v>0</v>
      </c>
      <c r="DP165">
        <v>1</v>
      </c>
      <c r="DQ165">
        <v>1</v>
      </c>
      <c r="DU165">
        <v>1013</v>
      </c>
      <c r="DV165" t="s">
        <v>224</v>
      </c>
      <c r="DW165" t="s">
        <v>224</v>
      </c>
      <c r="DX165">
        <v>1</v>
      </c>
      <c r="DZ165" t="s">
        <v>3</v>
      </c>
      <c r="EA165" t="s">
        <v>3</v>
      </c>
      <c r="EB165" t="s">
        <v>3</v>
      </c>
      <c r="EC165" t="s">
        <v>3</v>
      </c>
      <c r="EE165">
        <v>35526108</v>
      </c>
      <c r="EF165">
        <v>2</v>
      </c>
      <c r="EG165" t="s">
        <v>34</v>
      </c>
      <c r="EH165">
        <v>0</v>
      </c>
      <c r="EI165" t="s">
        <v>3</v>
      </c>
      <c r="EJ165">
        <v>1</v>
      </c>
      <c r="EK165">
        <v>18001</v>
      </c>
      <c r="EL165" t="s">
        <v>226</v>
      </c>
      <c r="EM165" t="s">
        <v>227</v>
      </c>
      <c r="EO165" t="s">
        <v>150</v>
      </c>
      <c r="EQ165">
        <v>0</v>
      </c>
      <c r="ER165">
        <v>18737.5</v>
      </c>
      <c r="ES165">
        <v>17916.38</v>
      </c>
      <c r="ET165">
        <v>232.69</v>
      </c>
      <c r="EU165">
        <v>17.28</v>
      </c>
      <c r="EV165">
        <v>588.42999999999995</v>
      </c>
      <c r="EW165">
        <v>65.599999999999994</v>
      </c>
      <c r="EX165">
        <v>1.28</v>
      </c>
      <c r="EY165">
        <v>0</v>
      </c>
      <c r="FQ165">
        <v>0</v>
      </c>
      <c r="FR165">
        <f t="shared" si="184"/>
        <v>0</v>
      </c>
      <c r="FS165">
        <v>0</v>
      </c>
      <c r="FT165" t="s">
        <v>37</v>
      </c>
      <c r="FU165" t="s">
        <v>38</v>
      </c>
      <c r="FX165">
        <v>115.2</v>
      </c>
      <c r="FY165">
        <v>70.55</v>
      </c>
      <c r="GA165" t="s">
        <v>3</v>
      </c>
      <c r="GD165">
        <v>1</v>
      </c>
      <c r="GF165">
        <v>-512064095</v>
      </c>
      <c r="GG165">
        <v>2</v>
      </c>
      <c r="GH165">
        <v>1</v>
      </c>
      <c r="GI165">
        <v>2</v>
      </c>
      <c r="GJ165">
        <v>0</v>
      </c>
      <c r="GK165">
        <v>0</v>
      </c>
      <c r="GL165">
        <f t="shared" si="185"/>
        <v>0</v>
      </c>
      <c r="GM165">
        <f t="shared" si="186"/>
        <v>32032.23</v>
      </c>
      <c r="GN165">
        <f t="shared" si="187"/>
        <v>32032.23</v>
      </c>
      <c r="GO165">
        <f t="shared" si="188"/>
        <v>0</v>
      </c>
      <c r="GP165">
        <f t="shared" si="189"/>
        <v>0</v>
      </c>
      <c r="GR165">
        <v>0</v>
      </c>
      <c r="GS165">
        <v>3</v>
      </c>
      <c r="GT165">
        <v>0</v>
      </c>
      <c r="GU165" t="s">
        <v>3</v>
      </c>
      <c r="GV165">
        <f t="shared" si="190"/>
        <v>0</v>
      </c>
      <c r="GW165">
        <v>1</v>
      </c>
      <c r="GX165">
        <f t="shared" si="191"/>
        <v>0</v>
      </c>
      <c r="HA165">
        <v>0</v>
      </c>
      <c r="HB165">
        <v>0</v>
      </c>
      <c r="HC165">
        <f t="shared" si="192"/>
        <v>0</v>
      </c>
      <c r="HE165" t="s">
        <v>3</v>
      </c>
      <c r="HF165" t="s">
        <v>3</v>
      </c>
      <c r="IK165">
        <v>0</v>
      </c>
    </row>
    <row r="166" spans="1:245">
      <c r="A166">
        <v>18</v>
      </c>
      <c r="B166">
        <v>1</v>
      </c>
      <c r="C166">
        <v>113</v>
      </c>
      <c r="E166" t="s">
        <v>49</v>
      </c>
      <c r="F166" t="s">
        <v>228</v>
      </c>
      <c r="G166" t="s">
        <v>229</v>
      </c>
      <c r="H166" t="s">
        <v>209</v>
      </c>
      <c r="I166">
        <f>I165*J166</f>
        <v>12</v>
      </c>
      <c r="J166">
        <v>55.299539170506911</v>
      </c>
      <c r="O166">
        <f t="shared" si="158"/>
        <v>56176.46</v>
      </c>
      <c r="P166">
        <f t="shared" si="159"/>
        <v>56176.46</v>
      </c>
      <c r="Q166">
        <f t="shared" si="160"/>
        <v>0</v>
      </c>
      <c r="R166">
        <f t="shared" si="161"/>
        <v>0</v>
      </c>
      <c r="S166">
        <f t="shared" si="162"/>
        <v>0</v>
      </c>
      <c r="T166">
        <f t="shared" si="163"/>
        <v>0</v>
      </c>
      <c r="U166">
        <f t="shared" si="164"/>
        <v>0</v>
      </c>
      <c r="V166">
        <f t="shared" si="165"/>
        <v>0</v>
      </c>
      <c r="W166">
        <f t="shared" si="166"/>
        <v>863.28</v>
      </c>
      <c r="X166">
        <f t="shared" si="167"/>
        <v>0</v>
      </c>
      <c r="Y166">
        <f t="shared" si="168"/>
        <v>0</v>
      </c>
      <c r="AA166">
        <v>35841400</v>
      </c>
      <c r="AB166">
        <f t="shared" si="169"/>
        <v>1570.93</v>
      </c>
      <c r="AC166">
        <f t="shared" si="170"/>
        <v>1570.93</v>
      </c>
      <c r="AD166">
        <f>ROUND((((ET166)-(EU166))+AE166),6)</f>
        <v>0</v>
      </c>
      <c r="AE166">
        <f>ROUND((EU166),6)</f>
        <v>0</v>
      </c>
      <c r="AF166">
        <f>ROUND((EV166),6)</f>
        <v>0</v>
      </c>
      <c r="AG166">
        <f t="shared" si="171"/>
        <v>0</v>
      </c>
      <c r="AH166">
        <f>(EW166)</f>
        <v>0</v>
      </c>
      <c r="AI166">
        <f>(EX166)</f>
        <v>0</v>
      </c>
      <c r="AJ166">
        <f t="shared" si="172"/>
        <v>71.94</v>
      </c>
      <c r="AK166">
        <v>1570.93</v>
      </c>
      <c r="AL166">
        <v>1570.93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  <c r="AS166">
        <v>71.94</v>
      </c>
      <c r="AT166">
        <v>115</v>
      </c>
      <c r="AU166">
        <v>71</v>
      </c>
      <c r="AV166">
        <v>1</v>
      </c>
      <c r="AW166">
        <v>1</v>
      </c>
      <c r="AZ166">
        <v>1</v>
      </c>
      <c r="BA166">
        <v>1</v>
      </c>
      <c r="BB166">
        <v>1</v>
      </c>
      <c r="BC166">
        <v>2.98</v>
      </c>
      <c r="BD166" t="s">
        <v>3</v>
      </c>
      <c r="BE166" t="s">
        <v>3</v>
      </c>
      <c r="BF166" t="s">
        <v>3</v>
      </c>
      <c r="BG166" t="s">
        <v>3</v>
      </c>
      <c r="BH166">
        <v>3</v>
      </c>
      <c r="BI166">
        <v>1</v>
      </c>
      <c r="BJ166" t="s">
        <v>230</v>
      </c>
      <c r="BM166">
        <v>18001</v>
      </c>
      <c r="BN166">
        <v>0</v>
      </c>
      <c r="BO166" t="s">
        <v>228</v>
      </c>
      <c r="BP166">
        <v>1</v>
      </c>
      <c r="BQ166">
        <v>2</v>
      </c>
      <c r="BR166">
        <v>0</v>
      </c>
      <c r="BS166">
        <v>1</v>
      </c>
      <c r="BT166">
        <v>1</v>
      </c>
      <c r="BU166">
        <v>1</v>
      </c>
      <c r="BV166">
        <v>1</v>
      </c>
      <c r="BW166">
        <v>1</v>
      </c>
      <c r="BX166">
        <v>1</v>
      </c>
      <c r="BY166" t="s">
        <v>3</v>
      </c>
      <c r="BZ166">
        <v>128</v>
      </c>
      <c r="CA166">
        <v>83</v>
      </c>
      <c r="CE166">
        <v>0</v>
      </c>
      <c r="CF166">
        <v>0</v>
      </c>
      <c r="CG166">
        <v>0</v>
      </c>
      <c r="CM166">
        <v>0</v>
      </c>
      <c r="CN166" t="s">
        <v>3</v>
      </c>
      <c r="CO166">
        <v>0</v>
      </c>
      <c r="CP166">
        <f t="shared" si="173"/>
        <v>56176.46</v>
      </c>
      <c r="CQ166">
        <f t="shared" si="174"/>
        <v>4681.3714</v>
      </c>
      <c r="CR166">
        <f t="shared" si="175"/>
        <v>0</v>
      </c>
      <c r="CS166">
        <f t="shared" si="176"/>
        <v>0</v>
      </c>
      <c r="CT166">
        <f t="shared" si="177"/>
        <v>0</v>
      </c>
      <c r="CU166">
        <f t="shared" si="178"/>
        <v>0</v>
      </c>
      <c r="CV166">
        <f t="shared" si="179"/>
        <v>0</v>
      </c>
      <c r="CW166">
        <f t="shared" si="180"/>
        <v>0</v>
      </c>
      <c r="CX166">
        <f t="shared" si="181"/>
        <v>71.94</v>
      </c>
      <c r="CY166">
        <f t="shared" si="182"/>
        <v>0</v>
      </c>
      <c r="CZ166">
        <f t="shared" si="183"/>
        <v>0</v>
      </c>
      <c r="DC166" t="s">
        <v>3</v>
      </c>
      <c r="DD166" t="s">
        <v>3</v>
      </c>
      <c r="DE166" t="s">
        <v>3</v>
      </c>
      <c r="DF166" t="s">
        <v>3</v>
      </c>
      <c r="DG166" t="s">
        <v>3</v>
      </c>
      <c r="DH166" t="s">
        <v>3</v>
      </c>
      <c r="DI166" t="s">
        <v>3</v>
      </c>
      <c r="DJ166" t="s">
        <v>3</v>
      </c>
      <c r="DK166" t="s">
        <v>3</v>
      </c>
      <c r="DL166" t="s">
        <v>3</v>
      </c>
      <c r="DM166" t="s">
        <v>3</v>
      </c>
      <c r="DN166">
        <v>0</v>
      </c>
      <c r="DO166">
        <v>0</v>
      </c>
      <c r="DP166">
        <v>1</v>
      </c>
      <c r="DQ166">
        <v>1</v>
      </c>
      <c r="DU166">
        <v>1010</v>
      </c>
      <c r="DV166" t="s">
        <v>209</v>
      </c>
      <c r="DW166" t="s">
        <v>209</v>
      </c>
      <c r="DX166">
        <v>1</v>
      </c>
      <c r="DZ166" t="s">
        <v>3</v>
      </c>
      <c r="EA166" t="s">
        <v>3</v>
      </c>
      <c r="EB166" t="s">
        <v>3</v>
      </c>
      <c r="EC166" t="s">
        <v>3</v>
      </c>
      <c r="EE166">
        <v>35526108</v>
      </c>
      <c r="EF166">
        <v>2</v>
      </c>
      <c r="EG166" t="s">
        <v>34</v>
      </c>
      <c r="EH166">
        <v>0</v>
      </c>
      <c r="EI166" t="s">
        <v>3</v>
      </c>
      <c r="EJ166">
        <v>1</v>
      </c>
      <c r="EK166">
        <v>18001</v>
      </c>
      <c r="EL166" t="s">
        <v>226</v>
      </c>
      <c r="EM166" t="s">
        <v>227</v>
      </c>
      <c r="EO166" t="s">
        <v>3</v>
      </c>
      <c r="EQ166">
        <v>0</v>
      </c>
      <c r="ER166">
        <v>1570.93</v>
      </c>
      <c r="ES166">
        <v>1570.93</v>
      </c>
      <c r="ET166">
        <v>0</v>
      </c>
      <c r="EU166">
        <v>0</v>
      </c>
      <c r="EV166">
        <v>0</v>
      </c>
      <c r="EW166">
        <v>0</v>
      </c>
      <c r="EX166">
        <v>0</v>
      </c>
      <c r="FQ166">
        <v>0</v>
      </c>
      <c r="FR166">
        <f t="shared" si="184"/>
        <v>0</v>
      </c>
      <c r="FS166">
        <v>0</v>
      </c>
      <c r="FT166" t="s">
        <v>37</v>
      </c>
      <c r="FU166" t="s">
        <v>38</v>
      </c>
      <c r="FX166">
        <v>115.2</v>
      </c>
      <c r="FY166">
        <v>70.55</v>
      </c>
      <c r="GA166" t="s">
        <v>3</v>
      </c>
      <c r="GD166">
        <v>1</v>
      </c>
      <c r="GF166">
        <v>1544372410</v>
      </c>
      <c r="GG166">
        <v>2</v>
      </c>
      <c r="GH166">
        <v>1</v>
      </c>
      <c r="GI166">
        <v>2</v>
      </c>
      <c r="GJ166">
        <v>0</v>
      </c>
      <c r="GK166">
        <v>0</v>
      </c>
      <c r="GL166">
        <f t="shared" si="185"/>
        <v>0</v>
      </c>
      <c r="GM166">
        <f t="shared" si="186"/>
        <v>56176.46</v>
      </c>
      <c r="GN166">
        <f t="shared" si="187"/>
        <v>56176.46</v>
      </c>
      <c r="GO166">
        <f t="shared" si="188"/>
        <v>0</v>
      </c>
      <c r="GP166">
        <f t="shared" si="189"/>
        <v>0</v>
      </c>
      <c r="GR166">
        <v>0</v>
      </c>
      <c r="GS166">
        <v>3</v>
      </c>
      <c r="GT166">
        <v>0</v>
      </c>
      <c r="GU166" t="s">
        <v>3</v>
      </c>
      <c r="GV166">
        <f t="shared" si="190"/>
        <v>0</v>
      </c>
      <c r="GW166">
        <v>1</v>
      </c>
      <c r="GX166">
        <f t="shared" si="191"/>
        <v>0</v>
      </c>
      <c r="HA166">
        <v>0</v>
      </c>
      <c r="HB166">
        <v>0</v>
      </c>
      <c r="HC166">
        <f t="shared" si="192"/>
        <v>0</v>
      </c>
      <c r="HE166" t="s">
        <v>3</v>
      </c>
      <c r="HF166" t="s">
        <v>3</v>
      </c>
      <c r="IK166">
        <v>0</v>
      </c>
    </row>
    <row r="167" spans="1:245">
      <c r="A167">
        <v>18</v>
      </c>
      <c r="B167">
        <v>1</v>
      </c>
      <c r="C167">
        <v>112</v>
      </c>
      <c r="E167" t="s">
        <v>231</v>
      </c>
      <c r="F167" t="s">
        <v>232</v>
      </c>
      <c r="G167" t="s">
        <v>233</v>
      </c>
      <c r="H167" t="s">
        <v>234</v>
      </c>
      <c r="I167">
        <f>I165*J167</f>
        <v>-21.7</v>
      </c>
      <c r="J167">
        <v>-100</v>
      </c>
      <c r="O167">
        <f t="shared" si="158"/>
        <v>-13406.82</v>
      </c>
      <c r="P167">
        <f t="shared" si="159"/>
        <v>-13406.82</v>
      </c>
      <c r="Q167">
        <f t="shared" si="160"/>
        <v>0</v>
      </c>
      <c r="R167">
        <f t="shared" si="161"/>
        <v>0</v>
      </c>
      <c r="S167">
        <f t="shared" si="162"/>
        <v>0</v>
      </c>
      <c r="T167">
        <f t="shared" si="163"/>
        <v>0</v>
      </c>
      <c r="U167">
        <f t="shared" si="164"/>
        <v>0</v>
      </c>
      <c r="V167">
        <f t="shared" si="165"/>
        <v>0</v>
      </c>
      <c r="W167">
        <f t="shared" si="166"/>
        <v>0</v>
      </c>
      <c r="X167">
        <f t="shared" si="167"/>
        <v>0</v>
      </c>
      <c r="Y167">
        <f t="shared" si="168"/>
        <v>0</v>
      </c>
      <c r="AA167">
        <v>35841400</v>
      </c>
      <c r="AB167">
        <f t="shared" si="169"/>
        <v>166.98</v>
      </c>
      <c r="AC167">
        <f t="shared" si="170"/>
        <v>166.98</v>
      </c>
      <c r="AD167">
        <f>ROUND((((ET167)-(EU167))+AE167),6)</f>
        <v>0</v>
      </c>
      <c r="AE167">
        <f>ROUND((EU167),6)</f>
        <v>0</v>
      </c>
      <c r="AF167">
        <f>ROUND((EV167),6)</f>
        <v>0</v>
      </c>
      <c r="AG167">
        <f t="shared" si="171"/>
        <v>0</v>
      </c>
      <c r="AH167">
        <f>(EW167)</f>
        <v>0</v>
      </c>
      <c r="AI167">
        <f>(EX167)</f>
        <v>0</v>
      </c>
      <c r="AJ167">
        <f t="shared" si="172"/>
        <v>0</v>
      </c>
      <c r="AK167">
        <v>166.98</v>
      </c>
      <c r="AL167">
        <v>166.98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  <c r="AS167">
        <v>0</v>
      </c>
      <c r="AT167">
        <v>115</v>
      </c>
      <c r="AU167">
        <v>71</v>
      </c>
      <c r="AV167">
        <v>1</v>
      </c>
      <c r="AW167">
        <v>1</v>
      </c>
      <c r="AZ167">
        <v>1</v>
      </c>
      <c r="BA167">
        <v>1</v>
      </c>
      <c r="BB167">
        <v>1</v>
      </c>
      <c r="BC167">
        <v>3.7</v>
      </c>
      <c r="BD167" t="s">
        <v>3</v>
      </c>
      <c r="BE167" t="s">
        <v>3</v>
      </c>
      <c r="BF167" t="s">
        <v>3</v>
      </c>
      <c r="BG167" t="s">
        <v>3</v>
      </c>
      <c r="BH167">
        <v>3</v>
      </c>
      <c r="BI167">
        <v>1</v>
      </c>
      <c r="BJ167" t="s">
        <v>235</v>
      </c>
      <c r="BM167">
        <v>18001</v>
      </c>
      <c r="BN167">
        <v>0</v>
      </c>
      <c r="BO167" t="s">
        <v>232</v>
      </c>
      <c r="BP167">
        <v>1</v>
      </c>
      <c r="BQ167">
        <v>2</v>
      </c>
      <c r="BR167">
        <v>1</v>
      </c>
      <c r="BS167">
        <v>1</v>
      </c>
      <c r="BT167">
        <v>1</v>
      </c>
      <c r="BU167">
        <v>1</v>
      </c>
      <c r="BV167">
        <v>1</v>
      </c>
      <c r="BW167">
        <v>1</v>
      </c>
      <c r="BX167">
        <v>1</v>
      </c>
      <c r="BY167" t="s">
        <v>3</v>
      </c>
      <c r="BZ167">
        <v>128</v>
      </c>
      <c r="CA167">
        <v>83</v>
      </c>
      <c r="CE167">
        <v>0</v>
      </c>
      <c r="CF167">
        <v>0</v>
      </c>
      <c r="CG167">
        <v>0</v>
      </c>
      <c r="CM167">
        <v>0</v>
      </c>
      <c r="CN167" t="s">
        <v>3</v>
      </c>
      <c r="CO167">
        <v>0</v>
      </c>
      <c r="CP167">
        <f t="shared" si="173"/>
        <v>-13406.82</v>
      </c>
      <c r="CQ167">
        <f t="shared" si="174"/>
        <v>617.82600000000002</v>
      </c>
      <c r="CR167">
        <f t="shared" si="175"/>
        <v>0</v>
      </c>
      <c r="CS167">
        <f t="shared" si="176"/>
        <v>0</v>
      </c>
      <c r="CT167">
        <f t="shared" si="177"/>
        <v>0</v>
      </c>
      <c r="CU167">
        <f t="shared" si="178"/>
        <v>0</v>
      </c>
      <c r="CV167">
        <f t="shared" si="179"/>
        <v>0</v>
      </c>
      <c r="CW167">
        <f t="shared" si="180"/>
        <v>0</v>
      </c>
      <c r="CX167">
        <f t="shared" si="181"/>
        <v>0</v>
      </c>
      <c r="CY167">
        <f t="shared" si="182"/>
        <v>0</v>
      </c>
      <c r="CZ167">
        <f t="shared" si="183"/>
        <v>0</v>
      </c>
      <c r="DC167" t="s">
        <v>3</v>
      </c>
      <c r="DD167" t="s">
        <v>3</v>
      </c>
      <c r="DE167" t="s">
        <v>3</v>
      </c>
      <c r="DF167" t="s">
        <v>3</v>
      </c>
      <c r="DG167" t="s">
        <v>3</v>
      </c>
      <c r="DH167" t="s">
        <v>3</v>
      </c>
      <c r="DI167" t="s">
        <v>3</v>
      </c>
      <c r="DJ167" t="s">
        <v>3</v>
      </c>
      <c r="DK167" t="s">
        <v>3</v>
      </c>
      <c r="DL167" t="s">
        <v>3</v>
      </c>
      <c r="DM167" t="s">
        <v>3</v>
      </c>
      <c r="DN167">
        <v>0</v>
      </c>
      <c r="DO167">
        <v>0</v>
      </c>
      <c r="DP167">
        <v>1</v>
      </c>
      <c r="DQ167">
        <v>1</v>
      </c>
      <c r="DU167">
        <v>1013</v>
      </c>
      <c r="DV167" t="s">
        <v>234</v>
      </c>
      <c r="DW167" t="s">
        <v>234</v>
      </c>
      <c r="DX167">
        <v>1</v>
      </c>
      <c r="DZ167" t="s">
        <v>3</v>
      </c>
      <c r="EA167" t="s">
        <v>3</v>
      </c>
      <c r="EB167" t="s">
        <v>3</v>
      </c>
      <c r="EC167" t="s">
        <v>3</v>
      </c>
      <c r="EE167">
        <v>35526108</v>
      </c>
      <c r="EF167">
        <v>2</v>
      </c>
      <c r="EG167" t="s">
        <v>34</v>
      </c>
      <c r="EH167">
        <v>0</v>
      </c>
      <c r="EI167" t="s">
        <v>3</v>
      </c>
      <c r="EJ167">
        <v>1</v>
      </c>
      <c r="EK167">
        <v>18001</v>
      </c>
      <c r="EL167" t="s">
        <v>226</v>
      </c>
      <c r="EM167" t="s">
        <v>227</v>
      </c>
      <c r="EO167" t="s">
        <v>3</v>
      </c>
      <c r="EQ167">
        <v>0</v>
      </c>
      <c r="ER167">
        <v>166.98</v>
      </c>
      <c r="ES167">
        <v>166.98</v>
      </c>
      <c r="ET167">
        <v>0</v>
      </c>
      <c r="EU167">
        <v>0</v>
      </c>
      <c r="EV167">
        <v>0</v>
      </c>
      <c r="EW167">
        <v>0</v>
      </c>
      <c r="EX167">
        <v>0</v>
      </c>
      <c r="FQ167">
        <v>0</v>
      </c>
      <c r="FR167">
        <f t="shared" si="184"/>
        <v>0</v>
      </c>
      <c r="FS167">
        <v>0</v>
      </c>
      <c r="FT167" t="s">
        <v>37</v>
      </c>
      <c r="FU167" t="s">
        <v>38</v>
      </c>
      <c r="FX167">
        <v>115.2</v>
      </c>
      <c r="FY167">
        <v>70.55</v>
      </c>
      <c r="GA167" t="s">
        <v>3</v>
      </c>
      <c r="GD167">
        <v>1</v>
      </c>
      <c r="GF167">
        <v>-758357303</v>
      </c>
      <c r="GG167">
        <v>2</v>
      </c>
      <c r="GH167">
        <v>1</v>
      </c>
      <c r="GI167">
        <v>2</v>
      </c>
      <c r="GJ167">
        <v>0</v>
      </c>
      <c r="GK167">
        <v>0</v>
      </c>
      <c r="GL167">
        <f t="shared" si="185"/>
        <v>0</v>
      </c>
      <c r="GM167">
        <f t="shared" si="186"/>
        <v>-13406.82</v>
      </c>
      <c r="GN167">
        <f t="shared" si="187"/>
        <v>-13406.82</v>
      </c>
      <c r="GO167">
        <f t="shared" si="188"/>
        <v>0</v>
      </c>
      <c r="GP167">
        <f t="shared" si="189"/>
        <v>0</v>
      </c>
      <c r="GR167">
        <v>0</v>
      </c>
      <c r="GS167">
        <v>3</v>
      </c>
      <c r="GT167">
        <v>0</v>
      </c>
      <c r="GU167" t="s">
        <v>3</v>
      </c>
      <c r="GV167">
        <f t="shared" si="190"/>
        <v>0</v>
      </c>
      <c r="GW167">
        <v>1</v>
      </c>
      <c r="GX167">
        <f t="shared" si="191"/>
        <v>0</v>
      </c>
      <c r="HA167">
        <v>0</v>
      </c>
      <c r="HB167">
        <v>0</v>
      </c>
      <c r="HC167">
        <f t="shared" si="192"/>
        <v>0</v>
      </c>
      <c r="HE167" t="s">
        <v>3</v>
      </c>
      <c r="HF167" t="s">
        <v>3</v>
      </c>
      <c r="IK167">
        <v>0</v>
      </c>
    </row>
    <row r="168" spans="1:245">
      <c r="A168">
        <v>17</v>
      </c>
      <c r="B168">
        <v>1</v>
      </c>
      <c r="C168">
        <f>ROW(SmtRes!A123)</f>
        <v>123</v>
      </c>
      <c r="D168">
        <f>ROW(EtalonRes!A122)</f>
        <v>122</v>
      </c>
      <c r="E168" t="s">
        <v>50</v>
      </c>
      <c r="F168" t="s">
        <v>236</v>
      </c>
      <c r="G168" t="s">
        <v>237</v>
      </c>
      <c r="H168" t="s">
        <v>238</v>
      </c>
      <c r="I168">
        <f>ROUND(25/100,9)</f>
        <v>0.25</v>
      </c>
      <c r="J168">
        <v>0</v>
      </c>
      <c r="O168">
        <f t="shared" si="158"/>
        <v>1363.64</v>
      </c>
      <c r="P168">
        <f t="shared" si="159"/>
        <v>71.75</v>
      </c>
      <c r="Q168">
        <f t="shared" si="160"/>
        <v>67.38</v>
      </c>
      <c r="R168">
        <f t="shared" si="161"/>
        <v>0</v>
      </c>
      <c r="S168">
        <f t="shared" si="162"/>
        <v>1224.51</v>
      </c>
      <c r="T168">
        <f t="shared" si="163"/>
        <v>0</v>
      </c>
      <c r="U168">
        <f t="shared" si="164"/>
        <v>3.9416250000000002</v>
      </c>
      <c r="V168">
        <f t="shared" si="165"/>
        <v>0</v>
      </c>
      <c r="W168">
        <f t="shared" si="166"/>
        <v>0</v>
      </c>
      <c r="X168">
        <f t="shared" si="167"/>
        <v>1408.19</v>
      </c>
      <c r="Y168">
        <f t="shared" si="168"/>
        <v>869.4</v>
      </c>
      <c r="AA168">
        <v>35841400</v>
      </c>
      <c r="AB168">
        <f t="shared" si="169"/>
        <v>289.16550000000001</v>
      </c>
      <c r="AC168">
        <f t="shared" si="170"/>
        <v>91.69</v>
      </c>
      <c r="AD168">
        <f>ROUND(((((ET168*1.25))-((EU168*1.25)))+AE168),6)</f>
        <v>49.274999999999999</v>
      </c>
      <c r="AE168">
        <f>ROUND(((EU168*1.25)),6)</f>
        <v>0</v>
      </c>
      <c r="AF168">
        <f>ROUND(((EV168*1.15)),6)</f>
        <v>148.20050000000001</v>
      </c>
      <c r="AG168">
        <f t="shared" si="171"/>
        <v>0</v>
      </c>
      <c r="AH168">
        <f>((EW168*1.15))</f>
        <v>15.766500000000001</v>
      </c>
      <c r="AI168">
        <f>((EX168*1.25))</f>
        <v>0</v>
      </c>
      <c r="AJ168">
        <f t="shared" si="172"/>
        <v>0</v>
      </c>
      <c r="AK168">
        <v>259.98</v>
      </c>
      <c r="AL168">
        <v>91.69</v>
      </c>
      <c r="AM168">
        <v>39.42</v>
      </c>
      <c r="AN168">
        <v>0</v>
      </c>
      <c r="AO168">
        <v>128.87</v>
      </c>
      <c r="AP168">
        <v>0</v>
      </c>
      <c r="AQ168">
        <v>13.71</v>
      </c>
      <c r="AR168">
        <v>0</v>
      </c>
      <c r="AS168">
        <v>0</v>
      </c>
      <c r="AT168">
        <v>115</v>
      </c>
      <c r="AU168">
        <v>71</v>
      </c>
      <c r="AV168">
        <v>1</v>
      </c>
      <c r="AW168">
        <v>1</v>
      </c>
      <c r="AZ168">
        <v>1</v>
      </c>
      <c r="BA168">
        <v>33.049999999999997</v>
      </c>
      <c r="BB168">
        <v>5.47</v>
      </c>
      <c r="BC168">
        <v>3.13</v>
      </c>
      <c r="BD168" t="s">
        <v>3</v>
      </c>
      <c r="BE168" t="s">
        <v>3</v>
      </c>
      <c r="BF168" t="s">
        <v>3</v>
      </c>
      <c r="BG168" t="s">
        <v>3</v>
      </c>
      <c r="BH168">
        <v>0</v>
      </c>
      <c r="BI168">
        <v>1</v>
      </c>
      <c r="BJ168" t="s">
        <v>239</v>
      </c>
      <c r="BM168">
        <v>16001</v>
      </c>
      <c r="BN168">
        <v>0</v>
      </c>
      <c r="BO168" t="s">
        <v>236</v>
      </c>
      <c r="BP168">
        <v>1</v>
      </c>
      <c r="BQ168">
        <v>2</v>
      </c>
      <c r="BR168">
        <v>0</v>
      </c>
      <c r="BS168">
        <v>33.049999999999997</v>
      </c>
      <c r="BT168">
        <v>1</v>
      </c>
      <c r="BU168">
        <v>1</v>
      </c>
      <c r="BV168">
        <v>1</v>
      </c>
      <c r="BW168">
        <v>1</v>
      </c>
      <c r="BX168">
        <v>1</v>
      </c>
      <c r="BY168" t="s">
        <v>3</v>
      </c>
      <c r="BZ168">
        <v>128</v>
      </c>
      <c r="CA168">
        <v>83</v>
      </c>
      <c r="CE168">
        <v>0</v>
      </c>
      <c r="CF168">
        <v>0</v>
      </c>
      <c r="CG168">
        <v>0</v>
      </c>
      <c r="CM168">
        <v>0</v>
      </c>
      <c r="CN168" t="s">
        <v>632</v>
      </c>
      <c r="CO168">
        <v>0</v>
      </c>
      <c r="CP168">
        <f t="shared" si="173"/>
        <v>1363.6399999999999</v>
      </c>
      <c r="CQ168">
        <f t="shared" si="174"/>
        <v>286.98969999999997</v>
      </c>
      <c r="CR168">
        <f t="shared" si="175"/>
        <v>269.53424999999999</v>
      </c>
      <c r="CS168">
        <f t="shared" si="176"/>
        <v>0</v>
      </c>
      <c r="CT168">
        <f t="shared" si="177"/>
        <v>4898.0265249999993</v>
      </c>
      <c r="CU168">
        <f t="shared" si="178"/>
        <v>0</v>
      </c>
      <c r="CV168">
        <f t="shared" si="179"/>
        <v>15.766500000000001</v>
      </c>
      <c r="CW168">
        <f t="shared" si="180"/>
        <v>0</v>
      </c>
      <c r="CX168">
        <f t="shared" si="181"/>
        <v>0</v>
      </c>
      <c r="CY168">
        <f t="shared" si="182"/>
        <v>1408.1865</v>
      </c>
      <c r="CZ168">
        <f t="shared" si="183"/>
        <v>869.40210000000002</v>
      </c>
      <c r="DC168" t="s">
        <v>3</v>
      </c>
      <c r="DD168" t="s">
        <v>3</v>
      </c>
      <c r="DE168" t="s">
        <v>146</v>
      </c>
      <c r="DF168" t="s">
        <v>146</v>
      </c>
      <c r="DG168" t="s">
        <v>147</v>
      </c>
      <c r="DH168" t="s">
        <v>3</v>
      </c>
      <c r="DI168" t="s">
        <v>147</v>
      </c>
      <c r="DJ168" t="s">
        <v>146</v>
      </c>
      <c r="DK168" t="s">
        <v>3</v>
      </c>
      <c r="DL168" t="s">
        <v>3</v>
      </c>
      <c r="DM168" t="s">
        <v>3</v>
      </c>
      <c r="DN168">
        <v>0</v>
      </c>
      <c r="DO168">
        <v>0</v>
      </c>
      <c r="DP168">
        <v>1</v>
      </c>
      <c r="DQ168">
        <v>1</v>
      </c>
      <c r="DU168">
        <v>1003</v>
      </c>
      <c r="DV168" t="s">
        <v>238</v>
      </c>
      <c r="DW168" t="s">
        <v>238</v>
      </c>
      <c r="DX168">
        <v>100</v>
      </c>
      <c r="DZ168" t="s">
        <v>3</v>
      </c>
      <c r="EA168" t="s">
        <v>3</v>
      </c>
      <c r="EB168" t="s">
        <v>3</v>
      </c>
      <c r="EC168" t="s">
        <v>3</v>
      </c>
      <c r="EE168">
        <v>35526106</v>
      </c>
      <c r="EF168">
        <v>2</v>
      </c>
      <c r="EG168" t="s">
        <v>34</v>
      </c>
      <c r="EH168">
        <v>0</v>
      </c>
      <c r="EI168" t="s">
        <v>3</v>
      </c>
      <c r="EJ168">
        <v>1</v>
      </c>
      <c r="EK168">
        <v>16001</v>
      </c>
      <c r="EL168" t="s">
        <v>240</v>
      </c>
      <c r="EM168" t="s">
        <v>241</v>
      </c>
      <c r="EO168" t="s">
        <v>150</v>
      </c>
      <c r="EQ168">
        <v>0</v>
      </c>
      <c r="ER168">
        <v>259.98</v>
      </c>
      <c r="ES168">
        <v>91.69</v>
      </c>
      <c r="ET168">
        <v>39.42</v>
      </c>
      <c r="EU168">
        <v>0</v>
      </c>
      <c r="EV168">
        <v>128.87</v>
      </c>
      <c r="EW168">
        <v>13.71</v>
      </c>
      <c r="EX168">
        <v>0</v>
      </c>
      <c r="EY168">
        <v>0</v>
      </c>
      <c r="FQ168">
        <v>0</v>
      </c>
      <c r="FR168">
        <f t="shared" si="184"/>
        <v>0</v>
      </c>
      <c r="FS168">
        <v>0</v>
      </c>
      <c r="FT168" t="s">
        <v>37</v>
      </c>
      <c r="FU168" t="s">
        <v>38</v>
      </c>
      <c r="FX168">
        <v>115.2</v>
      </c>
      <c r="FY168">
        <v>70.55</v>
      </c>
      <c r="GA168" t="s">
        <v>3</v>
      </c>
      <c r="GD168">
        <v>1</v>
      </c>
      <c r="GF168">
        <v>152123668</v>
      </c>
      <c r="GG168">
        <v>2</v>
      </c>
      <c r="GH168">
        <v>1</v>
      </c>
      <c r="GI168">
        <v>2</v>
      </c>
      <c r="GJ168">
        <v>0</v>
      </c>
      <c r="GK168">
        <v>0</v>
      </c>
      <c r="GL168">
        <f t="shared" si="185"/>
        <v>0</v>
      </c>
      <c r="GM168">
        <f t="shared" si="186"/>
        <v>3641.23</v>
      </c>
      <c r="GN168">
        <f t="shared" si="187"/>
        <v>3641.23</v>
      </c>
      <c r="GO168">
        <f t="shared" si="188"/>
        <v>0</v>
      </c>
      <c r="GP168">
        <f t="shared" si="189"/>
        <v>0</v>
      </c>
      <c r="GR168">
        <v>0</v>
      </c>
      <c r="GS168">
        <v>3</v>
      </c>
      <c r="GT168">
        <v>0</v>
      </c>
      <c r="GU168" t="s">
        <v>3</v>
      </c>
      <c r="GV168">
        <f t="shared" si="190"/>
        <v>0</v>
      </c>
      <c r="GW168">
        <v>1</v>
      </c>
      <c r="GX168">
        <f t="shared" si="191"/>
        <v>0</v>
      </c>
      <c r="HA168">
        <v>0</v>
      </c>
      <c r="HB168">
        <v>0</v>
      </c>
      <c r="HC168">
        <f t="shared" si="192"/>
        <v>0</v>
      </c>
      <c r="HE168" t="s">
        <v>3</v>
      </c>
      <c r="HF168" t="s">
        <v>3</v>
      </c>
      <c r="IK168">
        <v>0</v>
      </c>
    </row>
    <row r="169" spans="1:245">
      <c r="A169">
        <v>18</v>
      </c>
      <c r="B169">
        <v>1</v>
      </c>
      <c r="C169">
        <v>123</v>
      </c>
      <c r="E169" t="s">
        <v>242</v>
      </c>
      <c r="F169" t="s">
        <v>243</v>
      </c>
      <c r="G169" t="s">
        <v>244</v>
      </c>
      <c r="H169" t="s">
        <v>245</v>
      </c>
      <c r="I169">
        <f>I168*J169</f>
        <v>25</v>
      </c>
      <c r="J169">
        <v>100</v>
      </c>
      <c r="O169">
        <f t="shared" si="158"/>
        <v>6476.48</v>
      </c>
      <c r="P169">
        <f t="shared" si="159"/>
        <v>6476.48</v>
      </c>
      <c r="Q169">
        <f t="shared" si="160"/>
        <v>0</v>
      </c>
      <c r="R169">
        <f t="shared" si="161"/>
        <v>0</v>
      </c>
      <c r="S169">
        <f t="shared" si="162"/>
        <v>0</v>
      </c>
      <c r="T169">
        <f t="shared" si="163"/>
        <v>0</v>
      </c>
      <c r="U169">
        <f t="shared" si="164"/>
        <v>0</v>
      </c>
      <c r="V169">
        <f t="shared" si="165"/>
        <v>0</v>
      </c>
      <c r="W169">
        <f t="shared" si="166"/>
        <v>30.75</v>
      </c>
      <c r="X169">
        <f t="shared" si="167"/>
        <v>0</v>
      </c>
      <c r="Y169">
        <f t="shared" si="168"/>
        <v>0</v>
      </c>
      <c r="AA169">
        <v>35841400</v>
      </c>
      <c r="AB169">
        <f t="shared" si="169"/>
        <v>26.79</v>
      </c>
      <c r="AC169">
        <f t="shared" si="170"/>
        <v>26.79</v>
      </c>
      <c r="AD169">
        <f>ROUND((((ET169)-(EU169))+AE169),6)</f>
        <v>0</v>
      </c>
      <c r="AE169">
        <f t="shared" ref="AE169:AF172" si="193">ROUND((EU169),6)</f>
        <v>0</v>
      </c>
      <c r="AF169">
        <f t="shared" si="193"/>
        <v>0</v>
      </c>
      <c r="AG169">
        <f t="shared" si="171"/>
        <v>0</v>
      </c>
      <c r="AH169">
        <f t="shared" ref="AH169:AI172" si="194">(EW169)</f>
        <v>0</v>
      </c>
      <c r="AI169">
        <f t="shared" si="194"/>
        <v>0</v>
      </c>
      <c r="AJ169">
        <f t="shared" si="172"/>
        <v>1.23</v>
      </c>
      <c r="AK169">
        <v>26.79</v>
      </c>
      <c r="AL169">
        <v>26.79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  <c r="AS169">
        <v>1.23</v>
      </c>
      <c r="AT169">
        <v>115</v>
      </c>
      <c r="AU169">
        <v>71</v>
      </c>
      <c r="AV169">
        <v>1</v>
      </c>
      <c r="AW169">
        <v>1</v>
      </c>
      <c r="AZ169">
        <v>1</v>
      </c>
      <c r="BA169">
        <v>1</v>
      </c>
      <c r="BB169">
        <v>1</v>
      </c>
      <c r="BC169">
        <v>9.67</v>
      </c>
      <c r="BD169" t="s">
        <v>3</v>
      </c>
      <c r="BE169" t="s">
        <v>3</v>
      </c>
      <c r="BF169" t="s">
        <v>3</v>
      </c>
      <c r="BG169" t="s">
        <v>3</v>
      </c>
      <c r="BH169">
        <v>3</v>
      </c>
      <c r="BI169">
        <v>1</v>
      </c>
      <c r="BJ169" t="s">
        <v>246</v>
      </c>
      <c r="BM169">
        <v>16001</v>
      </c>
      <c r="BN169">
        <v>0</v>
      </c>
      <c r="BO169" t="s">
        <v>243</v>
      </c>
      <c r="BP169">
        <v>1</v>
      </c>
      <c r="BQ169">
        <v>2</v>
      </c>
      <c r="BR169">
        <v>0</v>
      </c>
      <c r="BS169">
        <v>1</v>
      </c>
      <c r="BT169">
        <v>1</v>
      </c>
      <c r="BU169">
        <v>1</v>
      </c>
      <c r="BV169">
        <v>1</v>
      </c>
      <c r="BW169">
        <v>1</v>
      </c>
      <c r="BX169">
        <v>1</v>
      </c>
      <c r="BY169" t="s">
        <v>3</v>
      </c>
      <c r="BZ169">
        <v>128</v>
      </c>
      <c r="CA169">
        <v>83</v>
      </c>
      <c r="CE169">
        <v>0</v>
      </c>
      <c r="CF169">
        <v>0</v>
      </c>
      <c r="CG169">
        <v>0</v>
      </c>
      <c r="CM169">
        <v>0</v>
      </c>
      <c r="CN169" t="s">
        <v>3</v>
      </c>
      <c r="CO169">
        <v>0</v>
      </c>
      <c r="CP169">
        <f t="shared" si="173"/>
        <v>6476.48</v>
      </c>
      <c r="CQ169">
        <f t="shared" si="174"/>
        <v>259.05930000000001</v>
      </c>
      <c r="CR169">
        <f t="shared" si="175"/>
        <v>0</v>
      </c>
      <c r="CS169">
        <f t="shared" si="176"/>
        <v>0</v>
      </c>
      <c r="CT169">
        <f t="shared" si="177"/>
        <v>0</v>
      </c>
      <c r="CU169">
        <f t="shared" si="178"/>
        <v>0</v>
      </c>
      <c r="CV169">
        <f t="shared" si="179"/>
        <v>0</v>
      </c>
      <c r="CW169">
        <f t="shared" si="180"/>
        <v>0</v>
      </c>
      <c r="CX169">
        <f t="shared" si="181"/>
        <v>1.23</v>
      </c>
      <c r="CY169">
        <f t="shared" si="182"/>
        <v>0</v>
      </c>
      <c r="CZ169">
        <f t="shared" si="183"/>
        <v>0</v>
      </c>
      <c r="DC169" t="s">
        <v>3</v>
      </c>
      <c r="DD169" t="s">
        <v>3</v>
      </c>
      <c r="DE169" t="s">
        <v>3</v>
      </c>
      <c r="DF169" t="s">
        <v>3</v>
      </c>
      <c r="DG169" t="s">
        <v>3</v>
      </c>
      <c r="DH169" t="s">
        <v>3</v>
      </c>
      <c r="DI169" t="s">
        <v>3</v>
      </c>
      <c r="DJ169" t="s">
        <v>3</v>
      </c>
      <c r="DK169" t="s">
        <v>3</v>
      </c>
      <c r="DL169" t="s">
        <v>3</v>
      </c>
      <c r="DM169" t="s">
        <v>3</v>
      </c>
      <c r="DN169">
        <v>0</v>
      </c>
      <c r="DO169">
        <v>0</v>
      </c>
      <c r="DP169">
        <v>1</v>
      </c>
      <c r="DQ169">
        <v>1</v>
      </c>
      <c r="DU169">
        <v>1003</v>
      </c>
      <c r="DV169" t="s">
        <v>245</v>
      </c>
      <c r="DW169" t="s">
        <v>245</v>
      </c>
      <c r="DX169">
        <v>1</v>
      </c>
      <c r="DZ169" t="s">
        <v>3</v>
      </c>
      <c r="EA169" t="s">
        <v>3</v>
      </c>
      <c r="EB169" t="s">
        <v>3</v>
      </c>
      <c r="EC169" t="s">
        <v>3</v>
      </c>
      <c r="EE169">
        <v>35526106</v>
      </c>
      <c r="EF169">
        <v>2</v>
      </c>
      <c r="EG169" t="s">
        <v>34</v>
      </c>
      <c r="EH169">
        <v>0</v>
      </c>
      <c r="EI169" t="s">
        <v>3</v>
      </c>
      <c r="EJ169">
        <v>1</v>
      </c>
      <c r="EK169">
        <v>16001</v>
      </c>
      <c r="EL169" t="s">
        <v>240</v>
      </c>
      <c r="EM169" t="s">
        <v>241</v>
      </c>
      <c r="EO169" t="s">
        <v>3</v>
      </c>
      <c r="EQ169">
        <v>0</v>
      </c>
      <c r="ER169">
        <v>26.79</v>
      </c>
      <c r="ES169">
        <v>26.79</v>
      </c>
      <c r="ET169">
        <v>0</v>
      </c>
      <c r="EU169">
        <v>0</v>
      </c>
      <c r="EV169">
        <v>0</v>
      </c>
      <c r="EW169">
        <v>0</v>
      </c>
      <c r="EX169">
        <v>0</v>
      </c>
      <c r="FQ169">
        <v>0</v>
      </c>
      <c r="FR169">
        <f t="shared" si="184"/>
        <v>0</v>
      </c>
      <c r="FS169">
        <v>0</v>
      </c>
      <c r="FT169" t="s">
        <v>37</v>
      </c>
      <c r="FU169" t="s">
        <v>38</v>
      </c>
      <c r="FX169">
        <v>115.2</v>
      </c>
      <c r="FY169">
        <v>70.55</v>
      </c>
      <c r="GA169" t="s">
        <v>3</v>
      </c>
      <c r="GD169">
        <v>1</v>
      </c>
      <c r="GF169">
        <v>-1931204490</v>
      </c>
      <c r="GG169">
        <v>2</v>
      </c>
      <c r="GH169">
        <v>1</v>
      </c>
      <c r="GI169">
        <v>2</v>
      </c>
      <c r="GJ169">
        <v>0</v>
      </c>
      <c r="GK169">
        <v>0</v>
      </c>
      <c r="GL169">
        <f t="shared" si="185"/>
        <v>0</v>
      </c>
      <c r="GM169">
        <f t="shared" si="186"/>
        <v>6476.48</v>
      </c>
      <c r="GN169">
        <f t="shared" si="187"/>
        <v>6476.48</v>
      </c>
      <c r="GO169">
        <f t="shared" si="188"/>
        <v>0</v>
      </c>
      <c r="GP169">
        <f t="shared" si="189"/>
        <v>0</v>
      </c>
      <c r="GR169">
        <v>0</v>
      </c>
      <c r="GS169">
        <v>3</v>
      </c>
      <c r="GT169">
        <v>0</v>
      </c>
      <c r="GU169" t="s">
        <v>3</v>
      </c>
      <c r="GV169">
        <f t="shared" si="190"/>
        <v>0</v>
      </c>
      <c r="GW169">
        <v>1</v>
      </c>
      <c r="GX169">
        <f t="shared" si="191"/>
        <v>0</v>
      </c>
      <c r="HA169">
        <v>0</v>
      </c>
      <c r="HB169">
        <v>0</v>
      </c>
      <c r="HC169">
        <f t="shared" si="192"/>
        <v>0</v>
      </c>
      <c r="HE169" t="s">
        <v>3</v>
      </c>
      <c r="HF169" t="s">
        <v>3</v>
      </c>
      <c r="IK169">
        <v>0</v>
      </c>
    </row>
    <row r="170" spans="1:245">
      <c r="A170">
        <v>17</v>
      </c>
      <c r="B170">
        <v>1</v>
      </c>
      <c r="E170" t="s">
        <v>166</v>
      </c>
      <c r="F170" t="s">
        <v>247</v>
      </c>
      <c r="G170" t="s">
        <v>248</v>
      </c>
      <c r="H170" t="s">
        <v>153</v>
      </c>
      <c r="I170">
        <v>7</v>
      </c>
      <c r="J170">
        <v>0</v>
      </c>
      <c r="O170">
        <f t="shared" si="158"/>
        <v>360.06</v>
      </c>
      <c r="P170">
        <f t="shared" si="159"/>
        <v>360.06</v>
      </c>
      <c r="Q170">
        <f t="shared" si="160"/>
        <v>0</v>
      </c>
      <c r="R170">
        <f t="shared" si="161"/>
        <v>0</v>
      </c>
      <c r="S170">
        <f t="shared" si="162"/>
        <v>0</v>
      </c>
      <c r="T170">
        <f t="shared" si="163"/>
        <v>0</v>
      </c>
      <c r="U170">
        <f t="shared" si="164"/>
        <v>0</v>
      </c>
      <c r="V170">
        <f t="shared" si="165"/>
        <v>0</v>
      </c>
      <c r="W170">
        <f t="shared" si="166"/>
        <v>3.85</v>
      </c>
      <c r="X170">
        <f t="shared" si="167"/>
        <v>0</v>
      </c>
      <c r="Y170">
        <f t="shared" si="168"/>
        <v>0</v>
      </c>
      <c r="AA170">
        <v>35841400</v>
      </c>
      <c r="AB170">
        <f t="shared" si="169"/>
        <v>11.99</v>
      </c>
      <c r="AC170">
        <f t="shared" si="170"/>
        <v>11.99</v>
      </c>
      <c r="AD170">
        <f>ROUND((((ET170)-(EU170))+AE170),6)</f>
        <v>0</v>
      </c>
      <c r="AE170">
        <f t="shared" si="193"/>
        <v>0</v>
      </c>
      <c r="AF170">
        <f t="shared" si="193"/>
        <v>0</v>
      </c>
      <c r="AG170">
        <f t="shared" si="171"/>
        <v>0</v>
      </c>
      <c r="AH170">
        <f t="shared" si="194"/>
        <v>0</v>
      </c>
      <c r="AI170">
        <f t="shared" si="194"/>
        <v>0</v>
      </c>
      <c r="AJ170">
        <f t="shared" si="172"/>
        <v>0.55000000000000004</v>
      </c>
      <c r="AK170">
        <v>11.99</v>
      </c>
      <c r="AL170">
        <v>11.99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  <c r="AS170">
        <v>0.55000000000000004</v>
      </c>
      <c r="AT170">
        <v>0</v>
      </c>
      <c r="AU170">
        <v>0</v>
      </c>
      <c r="AV170">
        <v>1</v>
      </c>
      <c r="AW170">
        <v>1</v>
      </c>
      <c r="AZ170">
        <v>1</v>
      </c>
      <c r="BA170">
        <v>1</v>
      </c>
      <c r="BB170">
        <v>1</v>
      </c>
      <c r="BC170">
        <v>4.29</v>
      </c>
      <c r="BD170" t="s">
        <v>3</v>
      </c>
      <c r="BE170" t="s">
        <v>3</v>
      </c>
      <c r="BF170" t="s">
        <v>3</v>
      </c>
      <c r="BG170" t="s">
        <v>3</v>
      </c>
      <c r="BH170">
        <v>3</v>
      </c>
      <c r="BI170">
        <v>1</v>
      </c>
      <c r="BJ170" t="s">
        <v>249</v>
      </c>
      <c r="BM170">
        <v>500001</v>
      </c>
      <c r="BN170">
        <v>0</v>
      </c>
      <c r="BO170" t="s">
        <v>247</v>
      </c>
      <c r="BP170">
        <v>1</v>
      </c>
      <c r="BQ170">
        <v>8</v>
      </c>
      <c r="BR170">
        <v>0</v>
      </c>
      <c r="BS170">
        <v>1</v>
      </c>
      <c r="BT170">
        <v>1</v>
      </c>
      <c r="BU170">
        <v>1</v>
      </c>
      <c r="BV170">
        <v>1</v>
      </c>
      <c r="BW170">
        <v>1</v>
      </c>
      <c r="BX170">
        <v>1</v>
      </c>
      <c r="BY170" t="s">
        <v>3</v>
      </c>
      <c r="BZ170">
        <v>0</v>
      </c>
      <c r="CA170">
        <v>0</v>
      </c>
      <c r="CE170">
        <v>0</v>
      </c>
      <c r="CF170">
        <v>0</v>
      </c>
      <c r="CG170">
        <v>0</v>
      </c>
      <c r="CM170">
        <v>0</v>
      </c>
      <c r="CN170" t="s">
        <v>3</v>
      </c>
      <c r="CO170">
        <v>0</v>
      </c>
      <c r="CP170">
        <f t="shared" si="173"/>
        <v>360.06</v>
      </c>
      <c r="CQ170">
        <f t="shared" si="174"/>
        <v>51.437100000000001</v>
      </c>
      <c r="CR170">
        <f t="shared" si="175"/>
        <v>0</v>
      </c>
      <c r="CS170">
        <f t="shared" si="176"/>
        <v>0</v>
      </c>
      <c r="CT170">
        <f t="shared" si="177"/>
        <v>0</v>
      </c>
      <c r="CU170">
        <f t="shared" si="178"/>
        <v>0</v>
      </c>
      <c r="CV170">
        <f t="shared" si="179"/>
        <v>0</v>
      </c>
      <c r="CW170">
        <f t="shared" si="180"/>
        <v>0</v>
      </c>
      <c r="CX170">
        <f t="shared" si="181"/>
        <v>0.55000000000000004</v>
      </c>
      <c r="CY170">
        <f t="shared" si="182"/>
        <v>0</v>
      </c>
      <c r="CZ170">
        <f t="shared" si="183"/>
        <v>0</v>
      </c>
      <c r="DC170" t="s">
        <v>3</v>
      </c>
      <c r="DD170" t="s">
        <v>3</v>
      </c>
      <c r="DE170" t="s">
        <v>3</v>
      </c>
      <c r="DF170" t="s">
        <v>3</v>
      </c>
      <c r="DG170" t="s">
        <v>3</v>
      </c>
      <c r="DH170" t="s">
        <v>3</v>
      </c>
      <c r="DI170" t="s">
        <v>3</v>
      </c>
      <c r="DJ170" t="s">
        <v>3</v>
      </c>
      <c r="DK170" t="s">
        <v>3</v>
      </c>
      <c r="DL170" t="s">
        <v>3</v>
      </c>
      <c r="DM170" t="s">
        <v>3</v>
      </c>
      <c r="DN170">
        <v>0</v>
      </c>
      <c r="DO170">
        <v>0</v>
      </c>
      <c r="DP170">
        <v>1</v>
      </c>
      <c r="DQ170">
        <v>1</v>
      </c>
      <c r="DU170">
        <v>1009</v>
      </c>
      <c r="DV170" t="s">
        <v>153</v>
      </c>
      <c r="DW170" t="s">
        <v>153</v>
      </c>
      <c r="DX170">
        <v>1</v>
      </c>
      <c r="DZ170" t="s">
        <v>3</v>
      </c>
      <c r="EA170" t="s">
        <v>3</v>
      </c>
      <c r="EB170" t="s">
        <v>3</v>
      </c>
      <c r="EC170" t="s">
        <v>3</v>
      </c>
      <c r="EE170">
        <v>35526012</v>
      </c>
      <c r="EF170">
        <v>8</v>
      </c>
      <c r="EG170" t="s">
        <v>139</v>
      </c>
      <c r="EH170">
        <v>0</v>
      </c>
      <c r="EI170" t="s">
        <v>3</v>
      </c>
      <c r="EJ170">
        <v>1</v>
      </c>
      <c r="EK170">
        <v>500001</v>
      </c>
      <c r="EL170" t="s">
        <v>140</v>
      </c>
      <c r="EM170" t="s">
        <v>141</v>
      </c>
      <c r="EO170" t="s">
        <v>3</v>
      </c>
      <c r="EQ170">
        <v>0</v>
      </c>
      <c r="ER170">
        <v>11.99</v>
      </c>
      <c r="ES170">
        <v>11.99</v>
      </c>
      <c r="ET170">
        <v>0</v>
      </c>
      <c r="EU170">
        <v>0</v>
      </c>
      <c r="EV170">
        <v>0</v>
      </c>
      <c r="EW170">
        <v>0</v>
      </c>
      <c r="EX170">
        <v>0</v>
      </c>
      <c r="EY170">
        <v>0</v>
      </c>
      <c r="FQ170">
        <v>0</v>
      </c>
      <c r="FR170">
        <f t="shared" si="184"/>
        <v>0</v>
      </c>
      <c r="FS170">
        <v>0</v>
      </c>
      <c r="FX170">
        <v>0</v>
      </c>
      <c r="FY170">
        <v>0</v>
      </c>
      <c r="GA170" t="s">
        <v>3</v>
      </c>
      <c r="GD170">
        <v>1</v>
      </c>
      <c r="GF170">
        <v>1290291559</v>
      </c>
      <c r="GG170">
        <v>2</v>
      </c>
      <c r="GH170">
        <v>1</v>
      </c>
      <c r="GI170">
        <v>2</v>
      </c>
      <c r="GJ170">
        <v>0</v>
      </c>
      <c r="GK170">
        <v>0</v>
      </c>
      <c r="GL170">
        <f t="shared" si="185"/>
        <v>0</v>
      </c>
      <c r="GM170">
        <f t="shared" si="186"/>
        <v>360.06</v>
      </c>
      <c r="GN170">
        <f t="shared" si="187"/>
        <v>360.06</v>
      </c>
      <c r="GO170">
        <f t="shared" si="188"/>
        <v>0</v>
      </c>
      <c r="GP170">
        <f t="shared" si="189"/>
        <v>0</v>
      </c>
      <c r="GR170">
        <v>0</v>
      </c>
      <c r="GS170">
        <v>3</v>
      </c>
      <c r="GT170">
        <v>0</v>
      </c>
      <c r="GU170" t="s">
        <v>3</v>
      </c>
      <c r="GV170">
        <f t="shared" si="190"/>
        <v>0</v>
      </c>
      <c r="GW170">
        <v>1</v>
      </c>
      <c r="GX170">
        <f t="shared" si="191"/>
        <v>0</v>
      </c>
      <c r="HA170">
        <v>0</v>
      </c>
      <c r="HB170">
        <v>0</v>
      </c>
      <c r="HC170">
        <f t="shared" si="192"/>
        <v>0</v>
      </c>
      <c r="HE170" t="s">
        <v>3</v>
      </c>
      <c r="HF170" t="s">
        <v>3</v>
      </c>
      <c r="IK170">
        <v>0</v>
      </c>
    </row>
    <row r="171" spans="1:245">
      <c r="A171">
        <v>17</v>
      </c>
      <c r="B171">
        <v>1</v>
      </c>
      <c r="E171" t="s">
        <v>62</v>
      </c>
      <c r="F171" t="s">
        <v>250</v>
      </c>
      <c r="G171" t="s">
        <v>251</v>
      </c>
      <c r="H171" t="s">
        <v>209</v>
      </c>
      <c r="I171">
        <v>6</v>
      </c>
      <c r="J171">
        <v>0</v>
      </c>
      <c r="O171">
        <f t="shared" si="158"/>
        <v>1571.43</v>
      </c>
      <c r="P171">
        <f t="shared" si="159"/>
        <v>1571.43</v>
      </c>
      <c r="Q171">
        <f t="shared" si="160"/>
        <v>0</v>
      </c>
      <c r="R171">
        <f t="shared" si="161"/>
        <v>0</v>
      </c>
      <c r="S171">
        <f t="shared" si="162"/>
        <v>0</v>
      </c>
      <c r="T171">
        <f t="shared" si="163"/>
        <v>0</v>
      </c>
      <c r="U171">
        <f t="shared" si="164"/>
        <v>0</v>
      </c>
      <c r="V171">
        <f t="shared" si="165"/>
        <v>0</v>
      </c>
      <c r="W171">
        <f t="shared" si="166"/>
        <v>7.86</v>
      </c>
      <c r="X171">
        <f t="shared" si="167"/>
        <v>0</v>
      </c>
      <c r="Y171">
        <f t="shared" si="168"/>
        <v>0</v>
      </c>
      <c r="AA171">
        <v>35841400</v>
      </c>
      <c r="AB171">
        <f t="shared" si="169"/>
        <v>28.53</v>
      </c>
      <c r="AC171">
        <f t="shared" si="170"/>
        <v>28.53</v>
      </c>
      <c r="AD171">
        <f>ROUND((((ET171)-(EU171))+AE171),6)</f>
        <v>0</v>
      </c>
      <c r="AE171">
        <f t="shared" si="193"/>
        <v>0</v>
      </c>
      <c r="AF171">
        <f t="shared" si="193"/>
        <v>0</v>
      </c>
      <c r="AG171">
        <f t="shared" si="171"/>
        <v>0</v>
      </c>
      <c r="AH171">
        <f t="shared" si="194"/>
        <v>0</v>
      </c>
      <c r="AI171">
        <f t="shared" si="194"/>
        <v>0</v>
      </c>
      <c r="AJ171">
        <f t="shared" si="172"/>
        <v>1.31</v>
      </c>
      <c r="AK171">
        <v>28.53</v>
      </c>
      <c r="AL171">
        <v>28.53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  <c r="AS171">
        <v>1.31</v>
      </c>
      <c r="AT171">
        <v>0</v>
      </c>
      <c r="AU171">
        <v>0</v>
      </c>
      <c r="AV171">
        <v>1</v>
      </c>
      <c r="AW171">
        <v>1</v>
      </c>
      <c r="AZ171">
        <v>1</v>
      </c>
      <c r="BA171">
        <v>1</v>
      </c>
      <c r="BB171">
        <v>1</v>
      </c>
      <c r="BC171">
        <v>9.18</v>
      </c>
      <c r="BD171" t="s">
        <v>3</v>
      </c>
      <c r="BE171" t="s">
        <v>3</v>
      </c>
      <c r="BF171" t="s">
        <v>3</v>
      </c>
      <c r="BG171" t="s">
        <v>3</v>
      </c>
      <c r="BH171">
        <v>3</v>
      </c>
      <c r="BI171">
        <v>1</v>
      </c>
      <c r="BJ171" t="s">
        <v>252</v>
      </c>
      <c r="BM171">
        <v>500001</v>
      </c>
      <c r="BN171">
        <v>0</v>
      </c>
      <c r="BO171" t="s">
        <v>250</v>
      </c>
      <c r="BP171">
        <v>1</v>
      </c>
      <c r="BQ171">
        <v>8</v>
      </c>
      <c r="BR171">
        <v>0</v>
      </c>
      <c r="BS171">
        <v>1</v>
      </c>
      <c r="BT171">
        <v>1</v>
      </c>
      <c r="BU171">
        <v>1</v>
      </c>
      <c r="BV171">
        <v>1</v>
      </c>
      <c r="BW171">
        <v>1</v>
      </c>
      <c r="BX171">
        <v>1</v>
      </c>
      <c r="BY171" t="s">
        <v>3</v>
      </c>
      <c r="BZ171">
        <v>0</v>
      </c>
      <c r="CA171">
        <v>0</v>
      </c>
      <c r="CE171">
        <v>0</v>
      </c>
      <c r="CF171">
        <v>0</v>
      </c>
      <c r="CG171">
        <v>0</v>
      </c>
      <c r="CM171">
        <v>0</v>
      </c>
      <c r="CN171" t="s">
        <v>3</v>
      </c>
      <c r="CO171">
        <v>0</v>
      </c>
      <c r="CP171">
        <f t="shared" si="173"/>
        <v>1571.43</v>
      </c>
      <c r="CQ171">
        <f t="shared" si="174"/>
        <v>261.90539999999999</v>
      </c>
      <c r="CR171">
        <f t="shared" si="175"/>
        <v>0</v>
      </c>
      <c r="CS171">
        <f t="shared" si="176"/>
        <v>0</v>
      </c>
      <c r="CT171">
        <f t="shared" si="177"/>
        <v>0</v>
      </c>
      <c r="CU171">
        <f t="shared" si="178"/>
        <v>0</v>
      </c>
      <c r="CV171">
        <f t="shared" si="179"/>
        <v>0</v>
      </c>
      <c r="CW171">
        <f t="shared" si="180"/>
        <v>0</v>
      </c>
      <c r="CX171">
        <f t="shared" si="181"/>
        <v>1.31</v>
      </c>
      <c r="CY171">
        <f t="shared" si="182"/>
        <v>0</v>
      </c>
      <c r="CZ171">
        <f t="shared" si="183"/>
        <v>0</v>
      </c>
      <c r="DC171" t="s">
        <v>3</v>
      </c>
      <c r="DD171" t="s">
        <v>3</v>
      </c>
      <c r="DE171" t="s">
        <v>3</v>
      </c>
      <c r="DF171" t="s">
        <v>3</v>
      </c>
      <c r="DG171" t="s">
        <v>3</v>
      </c>
      <c r="DH171" t="s">
        <v>3</v>
      </c>
      <c r="DI171" t="s">
        <v>3</v>
      </c>
      <c r="DJ171" t="s">
        <v>3</v>
      </c>
      <c r="DK171" t="s">
        <v>3</v>
      </c>
      <c r="DL171" t="s">
        <v>3</v>
      </c>
      <c r="DM171" t="s">
        <v>3</v>
      </c>
      <c r="DN171">
        <v>0</v>
      </c>
      <c r="DO171">
        <v>0</v>
      </c>
      <c r="DP171">
        <v>1</v>
      </c>
      <c r="DQ171">
        <v>1</v>
      </c>
      <c r="DU171">
        <v>1010</v>
      </c>
      <c r="DV171" t="s">
        <v>209</v>
      </c>
      <c r="DW171" t="s">
        <v>209</v>
      </c>
      <c r="DX171">
        <v>1</v>
      </c>
      <c r="DZ171" t="s">
        <v>3</v>
      </c>
      <c r="EA171" t="s">
        <v>3</v>
      </c>
      <c r="EB171" t="s">
        <v>3</v>
      </c>
      <c r="EC171" t="s">
        <v>3</v>
      </c>
      <c r="EE171">
        <v>35526012</v>
      </c>
      <c r="EF171">
        <v>8</v>
      </c>
      <c r="EG171" t="s">
        <v>139</v>
      </c>
      <c r="EH171">
        <v>0</v>
      </c>
      <c r="EI171" t="s">
        <v>3</v>
      </c>
      <c r="EJ171">
        <v>1</v>
      </c>
      <c r="EK171">
        <v>500001</v>
      </c>
      <c r="EL171" t="s">
        <v>140</v>
      </c>
      <c r="EM171" t="s">
        <v>141</v>
      </c>
      <c r="EO171" t="s">
        <v>3</v>
      </c>
      <c r="EQ171">
        <v>0</v>
      </c>
      <c r="ER171">
        <v>28.53</v>
      </c>
      <c r="ES171">
        <v>28.53</v>
      </c>
      <c r="ET171">
        <v>0</v>
      </c>
      <c r="EU171">
        <v>0</v>
      </c>
      <c r="EV171">
        <v>0</v>
      </c>
      <c r="EW171">
        <v>0</v>
      </c>
      <c r="EX171">
        <v>0</v>
      </c>
      <c r="EY171">
        <v>0</v>
      </c>
      <c r="FQ171">
        <v>0</v>
      </c>
      <c r="FR171">
        <f t="shared" si="184"/>
        <v>0</v>
      </c>
      <c r="FS171">
        <v>0</v>
      </c>
      <c r="FX171">
        <v>0</v>
      </c>
      <c r="FY171">
        <v>0</v>
      </c>
      <c r="GA171" t="s">
        <v>3</v>
      </c>
      <c r="GD171">
        <v>1</v>
      </c>
      <c r="GF171">
        <v>18691173</v>
      </c>
      <c r="GG171">
        <v>2</v>
      </c>
      <c r="GH171">
        <v>1</v>
      </c>
      <c r="GI171">
        <v>2</v>
      </c>
      <c r="GJ171">
        <v>0</v>
      </c>
      <c r="GK171">
        <v>0</v>
      </c>
      <c r="GL171">
        <f t="shared" si="185"/>
        <v>0</v>
      </c>
      <c r="GM171">
        <f t="shared" si="186"/>
        <v>1571.43</v>
      </c>
      <c r="GN171">
        <f t="shared" si="187"/>
        <v>1571.43</v>
      </c>
      <c r="GO171">
        <f t="shared" si="188"/>
        <v>0</v>
      </c>
      <c r="GP171">
        <f t="shared" si="189"/>
        <v>0</v>
      </c>
      <c r="GR171">
        <v>0</v>
      </c>
      <c r="GS171">
        <v>3</v>
      </c>
      <c r="GT171">
        <v>0</v>
      </c>
      <c r="GU171" t="s">
        <v>3</v>
      </c>
      <c r="GV171">
        <f t="shared" si="190"/>
        <v>0</v>
      </c>
      <c r="GW171">
        <v>1</v>
      </c>
      <c r="GX171">
        <f t="shared" si="191"/>
        <v>0</v>
      </c>
      <c r="HA171">
        <v>0</v>
      </c>
      <c r="HB171">
        <v>0</v>
      </c>
      <c r="HC171">
        <f t="shared" si="192"/>
        <v>0</v>
      </c>
      <c r="HE171" t="s">
        <v>3</v>
      </c>
      <c r="HF171" t="s">
        <v>3</v>
      </c>
      <c r="IK171">
        <v>0</v>
      </c>
    </row>
    <row r="172" spans="1:245">
      <c r="A172">
        <v>17</v>
      </c>
      <c r="B172">
        <v>1</v>
      </c>
      <c r="C172">
        <f>ROW(SmtRes!A134)</f>
        <v>134</v>
      </c>
      <c r="D172">
        <f>ROW(EtalonRes!A133)</f>
        <v>133</v>
      </c>
      <c r="E172" t="s">
        <v>253</v>
      </c>
      <c r="F172" t="s">
        <v>254</v>
      </c>
      <c r="G172" t="s">
        <v>255</v>
      </c>
      <c r="H172" t="s">
        <v>256</v>
      </c>
      <c r="I172">
        <v>5.0000000000000001E-3</v>
      </c>
      <c r="J172">
        <v>0</v>
      </c>
      <c r="O172">
        <f t="shared" si="158"/>
        <v>119.6</v>
      </c>
      <c r="P172">
        <f t="shared" si="159"/>
        <v>44.7</v>
      </c>
      <c r="Q172">
        <f t="shared" si="160"/>
        <v>1.1599999999999999</v>
      </c>
      <c r="R172">
        <f t="shared" si="161"/>
        <v>0</v>
      </c>
      <c r="S172">
        <f t="shared" si="162"/>
        <v>73.739999999999995</v>
      </c>
      <c r="T172">
        <f t="shared" si="163"/>
        <v>0</v>
      </c>
      <c r="U172">
        <f t="shared" si="164"/>
        <v>0.27579999999999999</v>
      </c>
      <c r="V172">
        <f t="shared" si="165"/>
        <v>0</v>
      </c>
      <c r="W172">
        <f t="shared" si="166"/>
        <v>0</v>
      </c>
      <c r="X172">
        <f t="shared" si="167"/>
        <v>73</v>
      </c>
      <c r="Y172">
        <f t="shared" si="168"/>
        <v>44.24</v>
      </c>
      <c r="AA172">
        <v>35841400</v>
      </c>
      <c r="AB172">
        <f t="shared" si="169"/>
        <v>1743.13</v>
      </c>
      <c r="AC172">
        <f t="shared" si="170"/>
        <v>1275.22</v>
      </c>
      <c r="AD172">
        <f>ROUND((((ET172)-(EU172))+AE172),6)</f>
        <v>21.67</v>
      </c>
      <c r="AE172">
        <f t="shared" si="193"/>
        <v>0</v>
      </c>
      <c r="AF172">
        <f t="shared" si="193"/>
        <v>446.24</v>
      </c>
      <c r="AG172">
        <f t="shared" si="171"/>
        <v>0</v>
      </c>
      <c r="AH172">
        <f t="shared" si="194"/>
        <v>55.16</v>
      </c>
      <c r="AI172">
        <f t="shared" si="194"/>
        <v>0</v>
      </c>
      <c r="AJ172">
        <f t="shared" si="172"/>
        <v>0</v>
      </c>
      <c r="AK172">
        <v>1743.13</v>
      </c>
      <c r="AL172">
        <v>1275.22</v>
      </c>
      <c r="AM172">
        <v>21.67</v>
      </c>
      <c r="AN172">
        <v>0</v>
      </c>
      <c r="AO172">
        <v>446.24</v>
      </c>
      <c r="AP172">
        <v>0</v>
      </c>
      <c r="AQ172">
        <v>55.16</v>
      </c>
      <c r="AR172">
        <v>0</v>
      </c>
      <c r="AS172">
        <v>0</v>
      </c>
      <c r="AT172">
        <v>99</v>
      </c>
      <c r="AU172">
        <v>60</v>
      </c>
      <c r="AV172">
        <v>1</v>
      </c>
      <c r="AW172">
        <v>1</v>
      </c>
      <c r="AZ172">
        <v>1</v>
      </c>
      <c r="BA172">
        <v>33.049999999999997</v>
      </c>
      <c r="BB172">
        <v>10.69</v>
      </c>
      <c r="BC172">
        <v>7.01</v>
      </c>
      <c r="BD172" t="s">
        <v>3</v>
      </c>
      <c r="BE172" t="s">
        <v>3</v>
      </c>
      <c r="BF172" t="s">
        <v>3</v>
      </c>
      <c r="BG172" t="s">
        <v>3</v>
      </c>
      <c r="BH172">
        <v>0</v>
      </c>
      <c r="BI172">
        <v>1</v>
      </c>
      <c r="BJ172" t="s">
        <v>257</v>
      </c>
      <c r="BM172">
        <v>46001</v>
      </c>
      <c r="BN172">
        <v>0</v>
      </c>
      <c r="BO172" t="s">
        <v>254</v>
      </c>
      <c r="BP172">
        <v>1</v>
      </c>
      <c r="BQ172">
        <v>2</v>
      </c>
      <c r="BR172">
        <v>0</v>
      </c>
      <c r="BS172">
        <v>33.049999999999997</v>
      </c>
      <c r="BT172">
        <v>1</v>
      </c>
      <c r="BU172">
        <v>1</v>
      </c>
      <c r="BV172">
        <v>1</v>
      </c>
      <c r="BW172">
        <v>1</v>
      </c>
      <c r="BX172">
        <v>1</v>
      </c>
      <c r="BY172" t="s">
        <v>3</v>
      </c>
      <c r="BZ172">
        <v>110</v>
      </c>
      <c r="CA172">
        <v>70</v>
      </c>
      <c r="CE172">
        <v>0</v>
      </c>
      <c r="CF172">
        <v>0</v>
      </c>
      <c r="CG172">
        <v>0</v>
      </c>
      <c r="CM172">
        <v>0</v>
      </c>
      <c r="CN172" t="s">
        <v>3</v>
      </c>
      <c r="CO172">
        <v>0</v>
      </c>
      <c r="CP172">
        <f t="shared" si="173"/>
        <v>119.6</v>
      </c>
      <c r="CQ172">
        <f t="shared" si="174"/>
        <v>8939.2921999999999</v>
      </c>
      <c r="CR172">
        <f t="shared" si="175"/>
        <v>231.6523</v>
      </c>
      <c r="CS172">
        <f t="shared" si="176"/>
        <v>0</v>
      </c>
      <c r="CT172">
        <f t="shared" si="177"/>
        <v>14748.231999999998</v>
      </c>
      <c r="CU172">
        <f t="shared" si="178"/>
        <v>0</v>
      </c>
      <c r="CV172">
        <f t="shared" si="179"/>
        <v>55.16</v>
      </c>
      <c r="CW172">
        <f t="shared" si="180"/>
        <v>0</v>
      </c>
      <c r="CX172">
        <f t="shared" si="181"/>
        <v>0</v>
      </c>
      <c r="CY172">
        <f t="shared" si="182"/>
        <v>73.002599999999987</v>
      </c>
      <c r="CZ172">
        <f t="shared" si="183"/>
        <v>44.244</v>
      </c>
      <c r="DC172" t="s">
        <v>3</v>
      </c>
      <c r="DD172" t="s">
        <v>3</v>
      </c>
      <c r="DE172" t="s">
        <v>3</v>
      </c>
      <c r="DF172" t="s">
        <v>3</v>
      </c>
      <c r="DG172" t="s">
        <v>3</v>
      </c>
      <c r="DH172" t="s">
        <v>3</v>
      </c>
      <c r="DI172" t="s">
        <v>3</v>
      </c>
      <c r="DJ172" t="s">
        <v>3</v>
      </c>
      <c r="DK172" t="s">
        <v>3</v>
      </c>
      <c r="DL172" t="s">
        <v>3</v>
      </c>
      <c r="DM172" t="s">
        <v>3</v>
      </c>
      <c r="DN172">
        <v>0</v>
      </c>
      <c r="DO172">
        <v>0</v>
      </c>
      <c r="DP172">
        <v>1</v>
      </c>
      <c r="DQ172">
        <v>1</v>
      </c>
      <c r="DU172">
        <v>1013</v>
      </c>
      <c r="DV172" t="s">
        <v>256</v>
      </c>
      <c r="DW172" t="s">
        <v>256</v>
      </c>
      <c r="DX172">
        <v>1</v>
      </c>
      <c r="DZ172" t="s">
        <v>3</v>
      </c>
      <c r="EA172" t="s">
        <v>3</v>
      </c>
      <c r="EB172" t="s">
        <v>3</v>
      </c>
      <c r="EC172" t="s">
        <v>3</v>
      </c>
      <c r="EE172">
        <v>35526147</v>
      </c>
      <c r="EF172">
        <v>2</v>
      </c>
      <c r="EG172" t="s">
        <v>34</v>
      </c>
      <c r="EH172">
        <v>0</v>
      </c>
      <c r="EI172" t="s">
        <v>3</v>
      </c>
      <c r="EJ172">
        <v>1</v>
      </c>
      <c r="EK172">
        <v>46001</v>
      </c>
      <c r="EL172" t="s">
        <v>35</v>
      </c>
      <c r="EM172" t="s">
        <v>36</v>
      </c>
      <c r="EO172" t="s">
        <v>3</v>
      </c>
      <c r="EQ172">
        <v>0</v>
      </c>
      <c r="ER172">
        <v>1743.13</v>
      </c>
      <c r="ES172">
        <v>1275.22</v>
      </c>
      <c r="ET172">
        <v>21.67</v>
      </c>
      <c r="EU172">
        <v>0</v>
      </c>
      <c r="EV172">
        <v>446.24</v>
      </c>
      <c r="EW172">
        <v>55.16</v>
      </c>
      <c r="EX172">
        <v>0</v>
      </c>
      <c r="EY172">
        <v>0</v>
      </c>
      <c r="FQ172">
        <v>0</v>
      </c>
      <c r="FR172">
        <f t="shared" si="184"/>
        <v>0</v>
      </c>
      <c r="FS172">
        <v>0</v>
      </c>
      <c r="FT172" t="s">
        <v>37</v>
      </c>
      <c r="FU172" t="s">
        <v>38</v>
      </c>
      <c r="FX172">
        <v>99</v>
      </c>
      <c r="FY172">
        <v>59.5</v>
      </c>
      <c r="GA172" t="s">
        <v>3</v>
      </c>
      <c r="GD172">
        <v>1</v>
      </c>
      <c r="GF172">
        <v>602447898</v>
      </c>
      <c r="GG172">
        <v>2</v>
      </c>
      <c r="GH172">
        <v>1</v>
      </c>
      <c r="GI172">
        <v>2</v>
      </c>
      <c r="GJ172">
        <v>0</v>
      </c>
      <c r="GK172">
        <v>0</v>
      </c>
      <c r="GL172">
        <f t="shared" si="185"/>
        <v>0</v>
      </c>
      <c r="GM172">
        <f t="shared" si="186"/>
        <v>236.84</v>
      </c>
      <c r="GN172">
        <f t="shared" si="187"/>
        <v>236.84</v>
      </c>
      <c r="GO172">
        <f t="shared" si="188"/>
        <v>0</v>
      </c>
      <c r="GP172">
        <f t="shared" si="189"/>
        <v>0</v>
      </c>
      <c r="GR172">
        <v>0</v>
      </c>
      <c r="GS172">
        <v>3</v>
      </c>
      <c r="GT172">
        <v>0</v>
      </c>
      <c r="GU172" t="s">
        <v>3</v>
      </c>
      <c r="GV172">
        <f t="shared" si="190"/>
        <v>0</v>
      </c>
      <c r="GW172">
        <v>1</v>
      </c>
      <c r="GX172">
        <f t="shared" si="191"/>
        <v>0</v>
      </c>
      <c r="HA172">
        <v>0</v>
      </c>
      <c r="HB172">
        <v>0</v>
      </c>
      <c r="HC172">
        <f t="shared" si="192"/>
        <v>0</v>
      </c>
      <c r="HE172" t="s">
        <v>3</v>
      </c>
      <c r="HF172" t="s">
        <v>3</v>
      </c>
      <c r="IK172">
        <v>0</v>
      </c>
    </row>
    <row r="174" spans="1:245">
      <c r="A174" s="2">
        <v>51</v>
      </c>
      <c r="B174" s="2">
        <f>B159</f>
        <v>1</v>
      </c>
      <c r="C174" s="2">
        <f>A159</f>
        <v>4</v>
      </c>
      <c r="D174" s="2">
        <f>ROW(A159)</f>
        <v>159</v>
      </c>
      <c r="E174" s="2"/>
      <c r="F174" s="2" t="str">
        <f>IF(F159&lt;&gt;"",F159,"")</f>
        <v>Новый раздел</v>
      </c>
      <c r="G174" s="2" t="str">
        <f>IF(G159&lt;&gt;"",G159,"")</f>
        <v>сантехнические работы</v>
      </c>
      <c r="H174" s="2">
        <v>0</v>
      </c>
      <c r="I174" s="2"/>
      <c r="J174" s="2"/>
      <c r="K174" s="2"/>
      <c r="L174" s="2"/>
      <c r="M174" s="2"/>
      <c r="N174" s="2"/>
      <c r="O174" s="2">
        <f t="shared" ref="O174:T174" si="195">ROUND(AB174,2)</f>
        <v>81432.960000000006</v>
      </c>
      <c r="P174" s="2">
        <f t="shared" si="195"/>
        <v>68506.789999999994</v>
      </c>
      <c r="Q174" s="2">
        <f t="shared" si="195"/>
        <v>883.07</v>
      </c>
      <c r="R174" s="2">
        <f t="shared" si="195"/>
        <v>274.83999999999997</v>
      </c>
      <c r="S174" s="2">
        <f t="shared" si="195"/>
        <v>12043.1</v>
      </c>
      <c r="T174" s="2">
        <f t="shared" si="195"/>
        <v>0</v>
      </c>
      <c r="U174" s="2">
        <f>AH174</f>
        <v>42.507905000000001</v>
      </c>
      <c r="V174" s="2">
        <f>AI174</f>
        <v>0.6160000000000001</v>
      </c>
      <c r="W174" s="2">
        <f>ROUND(AJ174,2)</f>
        <v>905.74</v>
      </c>
      <c r="X174" s="2">
        <f>ROUND(AK174,2)</f>
        <v>11689.06</v>
      </c>
      <c r="Y174" s="2">
        <f>ROUND(AL174,2)</f>
        <v>7475.18</v>
      </c>
      <c r="Z174" s="2"/>
      <c r="AA174" s="2"/>
      <c r="AB174" s="2">
        <f>ROUND(SUMIF(AA163:AA172,"=35841400",O163:O172),2)</f>
        <v>81432.960000000006</v>
      </c>
      <c r="AC174" s="2">
        <f>ROUND(SUMIF(AA163:AA172,"=35841400",P163:P172),2)</f>
        <v>68506.789999999994</v>
      </c>
      <c r="AD174" s="2">
        <f>ROUND(SUMIF(AA163:AA172,"=35841400",Q163:Q172),2)</f>
        <v>883.07</v>
      </c>
      <c r="AE174" s="2">
        <f>ROUND(SUMIF(AA163:AA172,"=35841400",R163:R172),2)</f>
        <v>274.83999999999997</v>
      </c>
      <c r="AF174" s="2">
        <f>ROUND(SUMIF(AA163:AA172,"=35841400",S163:S172),2)</f>
        <v>12043.1</v>
      </c>
      <c r="AG174" s="2">
        <f>ROUND(SUMIF(AA163:AA172,"=35841400",T163:T172),2)</f>
        <v>0</v>
      </c>
      <c r="AH174" s="2">
        <f>SUMIF(AA163:AA172,"=35841400",U163:U172)</f>
        <v>42.507905000000001</v>
      </c>
      <c r="AI174" s="2">
        <f>SUMIF(AA163:AA172,"=35841400",V163:V172)</f>
        <v>0.6160000000000001</v>
      </c>
      <c r="AJ174" s="2">
        <f>ROUND(SUMIF(AA163:AA172,"=35841400",W163:W172),2)</f>
        <v>905.74</v>
      </c>
      <c r="AK174" s="2">
        <f>ROUND(SUMIF(AA163:AA172,"=35841400",X163:X172),2)</f>
        <v>11689.06</v>
      </c>
      <c r="AL174" s="2">
        <f>ROUND(SUMIF(AA163:AA172,"=35841400",Y163:Y172),2)</f>
        <v>7475.18</v>
      </c>
      <c r="AM174" s="2"/>
      <c r="AN174" s="2"/>
      <c r="AO174" s="2">
        <f t="shared" ref="AO174:BD174" si="196">ROUND(BX174,2)</f>
        <v>0</v>
      </c>
      <c r="AP174" s="2">
        <f t="shared" si="196"/>
        <v>0</v>
      </c>
      <c r="AQ174" s="2">
        <f t="shared" si="196"/>
        <v>0</v>
      </c>
      <c r="AR174" s="2">
        <f t="shared" si="196"/>
        <v>100597.2</v>
      </c>
      <c r="AS174" s="2">
        <f t="shared" si="196"/>
        <v>100597.2</v>
      </c>
      <c r="AT174" s="2">
        <f t="shared" si="196"/>
        <v>0</v>
      </c>
      <c r="AU174" s="2">
        <f t="shared" si="196"/>
        <v>0</v>
      </c>
      <c r="AV174" s="2">
        <f t="shared" si="196"/>
        <v>68506.789999999994</v>
      </c>
      <c r="AW174" s="2">
        <f t="shared" si="196"/>
        <v>68506.789999999994</v>
      </c>
      <c r="AX174" s="2">
        <f t="shared" si="196"/>
        <v>0</v>
      </c>
      <c r="AY174" s="2">
        <f t="shared" si="196"/>
        <v>68506.789999999994</v>
      </c>
      <c r="AZ174" s="2">
        <f t="shared" si="196"/>
        <v>0</v>
      </c>
      <c r="BA174" s="2">
        <f t="shared" si="196"/>
        <v>0</v>
      </c>
      <c r="BB174" s="2">
        <f t="shared" si="196"/>
        <v>0</v>
      </c>
      <c r="BC174" s="2">
        <f t="shared" si="196"/>
        <v>0</v>
      </c>
      <c r="BD174" s="2">
        <f t="shared" si="196"/>
        <v>0</v>
      </c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>
        <f>ROUND(SUMIF(AA163:AA172,"=35841400",FQ163:FQ172),2)</f>
        <v>0</v>
      </c>
      <c r="BY174" s="2">
        <f>ROUND(SUMIF(AA163:AA172,"=35841400",FR163:FR172),2)</f>
        <v>0</v>
      </c>
      <c r="BZ174" s="2">
        <f>ROUND(SUMIF(AA163:AA172,"=35841400",GL163:GL172),2)</f>
        <v>0</v>
      </c>
      <c r="CA174" s="2">
        <f>ROUND(SUMIF(AA163:AA172,"=35841400",GM163:GM172),2)</f>
        <v>100597.2</v>
      </c>
      <c r="CB174" s="2">
        <f>ROUND(SUMIF(AA163:AA172,"=35841400",GN163:GN172),2)</f>
        <v>100597.2</v>
      </c>
      <c r="CC174" s="2">
        <f>ROUND(SUMIF(AA163:AA172,"=35841400",GO163:GO172),2)</f>
        <v>0</v>
      </c>
      <c r="CD174" s="2">
        <f>ROUND(SUMIF(AA163:AA172,"=35841400",GP163:GP172),2)</f>
        <v>0</v>
      </c>
      <c r="CE174" s="2">
        <f>AC174-BX174</f>
        <v>68506.789999999994</v>
      </c>
      <c r="CF174" s="2">
        <f>AC174-BY174</f>
        <v>68506.789999999994</v>
      </c>
      <c r="CG174" s="2">
        <f>BX174-BZ174</f>
        <v>0</v>
      </c>
      <c r="CH174" s="2">
        <f>AC174-BX174-BY174+BZ174</f>
        <v>68506.789999999994</v>
      </c>
      <c r="CI174" s="2">
        <f>BY174-BZ174</f>
        <v>0</v>
      </c>
      <c r="CJ174" s="2">
        <f>ROUND(SUMIF(AA163:AA172,"=35841400",GX163:GX172),2)</f>
        <v>0</v>
      </c>
      <c r="CK174" s="2">
        <f>ROUND(SUMIF(AA163:AA172,"=35841400",GY163:GY172),2)</f>
        <v>0</v>
      </c>
      <c r="CL174" s="2">
        <f>ROUND(SUMIF(AA163:AA172,"=35841400",GZ163:GZ172),2)</f>
        <v>0</v>
      </c>
      <c r="CM174" s="2">
        <f>ROUND(SUMIF(AA163:AA172,"=35841400",HD163:HD172),2)</f>
        <v>0</v>
      </c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  <c r="EJ174" s="3"/>
      <c r="EK174" s="3"/>
      <c r="EL174" s="3"/>
      <c r="EM174" s="3"/>
      <c r="EN174" s="3"/>
      <c r="EO174" s="3"/>
      <c r="EP174" s="3"/>
      <c r="EQ174" s="3"/>
      <c r="ER174" s="3"/>
      <c r="ES174" s="3"/>
      <c r="ET174" s="3"/>
      <c r="EU174" s="3"/>
      <c r="EV174" s="3"/>
      <c r="EW174" s="3"/>
      <c r="EX174" s="3"/>
      <c r="EY174" s="3"/>
      <c r="EZ174" s="3"/>
      <c r="FA174" s="3"/>
      <c r="FB174" s="3"/>
      <c r="FC174" s="3"/>
      <c r="FD174" s="3"/>
      <c r="FE174" s="3"/>
      <c r="FF174" s="3"/>
      <c r="FG174" s="3"/>
      <c r="FH174" s="3"/>
      <c r="FI174" s="3"/>
      <c r="FJ174" s="3"/>
      <c r="FK174" s="3"/>
      <c r="FL174" s="3"/>
      <c r="FM174" s="3"/>
      <c r="FN174" s="3"/>
      <c r="FO174" s="3"/>
      <c r="FP174" s="3"/>
      <c r="FQ174" s="3"/>
      <c r="FR174" s="3"/>
      <c r="FS174" s="3"/>
      <c r="FT174" s="3"/>
      <c r="FU174" s="3"/>
      <c r="FV174" s="3"/>
      <c r="FW174" s="3"/>
      <c r="FX174" s="3"/>
      <c r="FY174" s="3"/>
      <c r="FZ174" s="3"/>
      <c r="GA174" s="3"/>
      <c r="GB174" s="3"/>
      <c r="GC174" s="3"/>
      <c r="GD174" s="3"/>
      <c r="GE174" s="3"/>
      <c r="GF174" s="3"/>
      <c r="GG174" s="3"/>
      <c r="GH174" s="3"/>
      <c r="GI174" s="3"/>
      <c r="GJ174" s="3"/>
      <c r="GK174" s="3"/>
      <c r="GL174" s="3"/>
      <c r="GM174" s="3"/>
      <c r="GN174" s="3"/>
      <c r="GO174" s="3"/>
      <c r="GP174" s="3"/>
      <c r="GQ174" s="3"/>
      <c r="GR174" s="3"/>
      <c r="GS174" s="3"/>
      <c r="GT174" s="3"/>
      <c r="GU174" s="3"/>
      <c r="GV174" s="3"/>
      <c r="GW174" s="3"/>
      <c r="GX174" s="3">
        <v>0</v>
      </c>
    </row>
    <row r="176" spans="1:245">
      <c r="A176" s="4">
        <v>50</v>
      </c>
      <c r="B176" s="4">
        <v>0</v>
      </c>
      <c r="C176" s="4">
        <v>0</v>
      </c>
      <c r="D176" s="4">
        <v>1</v>
      </c>
      <c r="E176" s="4">
        <v>201</v>
      </c>
      <c r="F176" s="4">
        <f>ROUND(Source!O174,O176)</f>
        <v>81432.960000000006</v>
      </c>
      <c r="G176" s="4" t="s">
        <v>66</v>
      </c>
      <c r="H176" s="4" t="s">
        <v>67</v>
      </c>
      <c r="I176" s="4"/>
      <c r="J176" s="4"/>
      <c r="K176" s="4">
        <v>201</v>
      </c>
      <c r="L176" s="4">
        <v>1</v>
      </c>
      <c r="M176" s="4">
        <v>3</v>
      </c>
      <c r="N176" s="4" t="s">
        <v>3</v>
      </c>
      <c r="O176" s="4">
        <v>2</v>
      </c>
      <c r="P176" s="4"/>
      <c r="Q176" s="4"/>
      <c r="R176" s="4"/>
      <c r="S176" s="4"/>
      <c r="T176" s="4"/>
      <c r="U176" s="4"/>
      <c r="V176" s="4"/>
      <c r="W176" s="4"/>
    </row>
    <row r="177" spans="1:23">
      <c r="A177" s="4">
        <v>50</v>
      </c>
      <c r="B177" s="4">
        <v>0</v>
      </c>
      <c r="C177" s="4">
        <v>0</v>
      </c>
      <c r="D177" s="4">
        <v>1</v>
      </c>
      <c r="E177" s="4">
        <v>202</v>
      </c>
      <c r="F177" s="4">
        <f>ROUND(Source!P174,O177)</f>
        <v>68506.789999999994</v>
      </c>
      <c r="G177" s="4" t="s">
        <v>68</v>
      </c>
      <c r="H177" s="4" t="s">
        <v>69</v>
      </c>
      <c r="I177" s="4"/>
      <c r="J177" s="4"/>
      <c r="K177" s="4">
        <v>202</v>
      </c>
      <c r="L177" s="4">
        <v>2</v>
      </c>
      <c r="M177" s="4">
        <v>3</v>
      </c>
      <c r="N177" s="4" t="s">
        <v>3</v>
      </c>
      <c r="O177" s="4">
        <v>2</v>
      </c>
      <c r="P177" s="4"/>
      <c r="Q177" s="4"/>
      <c r="R177" s="4"/>
      <c r="S177" s="4"/>
      <c r="T177" s="4"/>
      <c r="U177" s="4"/>
      <c r="V177" s="4"/>
      <c r="W177" s="4"/>
    </row>
    <row r="178" spans="1:23">
      <c r="A178" s="4">
        <v>50</v>
      </c>
      <c r="B178" s="4">
        <v>0</v>
      </c>
      <c r="C178" s="4">
        <v>0</v>
      </c>
      <c r="D178" s="4">
        <v>1</v>
      </c>
      <c r="E178" s="4">
        <v>222</v>
      </c>
      <c r="F178" s="4">
        <f>ROUND(Source!AO174,O178)</f>
        <v>0</v>
      </c>
      <c r="G178" s="4" t="s">
        <v>70</v>
      </c>
      <c r="H178" s="4" t="s">
        <v>71</v>
      </c>
      <c r="I178" s="4"/>
      <c r="J178" s="4"/>
      <c r="K178" s="4">
        <v>222</v>
      </c>
      <c r="L178" s="4">
        <v>3</v>
      </c>
      <c r="M178" s="4">
        <v>3</v>
      </c>
      <c r="N178" s="4" t="s">
        <v>3</v>
      </c>
      <c r="O178" s="4">
        <v>2</v>
      </c>
      <c r="P178" s="4"/>
      <c r="Q178" s="4"/>
      <c r="R178" s="4"/>
      <c r="S178" s="4"/>
      <c r="T178" s="4"/>
      <c r="U178" s="4"/>
      <c r="V178" s="4"/>
      <c r="W178" s="4"/>
    </row>
    <row r="179" spans="1:23">
      <c r="A179" s="4">
        <v>50</v>
      </c>
      <c r="B179" s="4">
        <v>0</v>
      </c>
      <c r="C179" s="4">
        <v>0</v>
      </c>
      <c r="D179" s="4">
        <v>1</v>
      </c>
      <c r="E179" s="4">
        <v>225</v>
      </c>
      <c r="F179" s="4">
        <f>ROUND(Source!AV174,O179)</f>
        <v>68506.789999999994</v>
      </c>
      <c r="G179" s="4" t="s">
        <v>72</v>
      </c>
      <c r="H179" s="4" t="s">
        <v>73</v>
      </c>
      <c r="I179" s="4"/>
      <c r="J179" s="4"/>
      <c r="K179" s="4">
        <v>225</v>
      </c>
      <c r="L179" s="4">
        <v>4</v>
      </c>
      <c r="M179" s="4">
        <v>3</v>
      </c>
      <c r="N179" s="4" t="s">
        <v>3</v>
      </c>
      <c r="O179" s="4">
        <v>2</v>
      </c>
      <c r="P179" s="4"/>
      <c r="Q179" s="4"/>
      <c r="R179" s="4"/>
      <c r="S179" s="4"/>
      <c r="T179" s="4"/>
      <c r="U179" s="4"/>
      <c r="V179" s="4"/>
      <c r="W179" s="4"/>
    </row>
    <row r="180" spans="1:23">
      <c r="A180" s="4">
        <v>50</v>
      </c>
      <c r="B180" s="4">
        <v>0</v>
      </c>
      <c r="C180" s="4">
        <v>0</v>
      </c>
      <c r="D180" s="4">
        <v>1</v>
      </c>
      <c r="E180" s="4">
        <v>226</v>
      </c>
      <c r="F180" s="4">
        <f>ROUND(Source!AW174,O180)</f>
        <v>68506.789999999994</v>
      </c>
      <c r="G180" s="4" t="s">
        <v>74</v>
      </c>
      <c r="H180" s="4" t="s">
        <v>75</v>
      </c>
      <c r="I180" s="4"/>
      <c r="J180" s="4"/>
      <c r="K180" s="4">
        <v>226</v>
      </c>
      <c r="L180" s="4">
        <v>5</v>
      </c>
      <c r="M180" s="4">
        <v>3</v>
      </c>
      <c r="N180" s="4" t="s">
        <v>3</v>
      </c>
      <c r="O180" s="4">
        <v>2</v>
      </c>
      <c r="P180" s="4"/>
      <c r="Q180" s="4"/>
      <c r="R180" s="4"/>
      <c r="S180" s="4"/>
      <c r="T180" s="4"/>
      <c r="U180" s="4"/>
      <c r="V180" s="4"/>
      <c r="W180" s="4"/>
    </row>
    <row r="181" spans="1:23">
      <c r="A181" s="4">
        <v>50</v>
      </c>
      <c r="B181" s="4">
        <v>0</v>
      </c>
      <c r="C181" s="4">
        <v>0</v>
      </c>
      <c r="D181" s="4">
        <v>1</v>
      </c>
      <c r="E181" s="4">
        <v>227</v>
      </c>
      <c r="F181" s="4">
        <f>ROUND(Source!AX174,O181)</f>
        <v>0</v>
      </c>
      <c r="G181" s="4" t="s">
        <v>76</v>
      </c>
      <c r="H181" s="4" t="s">
        <v>77</v>
      </c>
      <c r="I181" s="4"/>
      <c r="J181" s="4"/>
      <c r="K181" s="4">
        <v>227</v>
      </c>
      <c r="L181" s="4">
        <v>6</v>
      </c>
      <c r="M181" s="4">
        <v>3</v>
      </c>
      <c r="N181" s="4" t="s">
        <v>3</v>
      </c>
      <c r="O181" s="4">
        <v>2</v>
      </c>
      <c r="P181" s="4"/>
      <c r="Q181" s="4"/>
      <c r="R181" s="4"/>
      <c r="S181" s="4"/>
      <c r="T181" s="4"/>
      <c r="U181" s="4"/>
      <c r="V181" s="4"/>
      <c r="W181" s="4"/>
    </row>
    <row r="182" spans="1:23">
      <c r="A182" s="4">
        <v>50</v>
      </c>
      <c r="B182" s="4">
        <v>0</v>
      </c>
      <c r="C182" s="4">
        <v>0</v>
      </c>
      <c r="D182" s="4">
        <v>1</v>
      </c>
      <c r="E182" s="4">
        <v>228</v>
      </c>
      <c r="F182" s="4">
        <f>ROUND(Source!AY174,O182)</f>
        <v>68506.789999999994</v>
      </c>
      <c r="G182" s="4" t="s">
        <v>78</v>
      </c>
      <c r="H182" s="4" t="s">
        <v>79</v>
      </c>
      <c r="I182" s="4"/>
      <c r="J182" s="4"/>
      <c r="K182" s="4">
        <v>228</v>
      </c>
      <c r="L182" s="4">
        <v>7</v>
      </c>
      <c r="M182" s="4">
        <v>3</v>
      </c>
      <c r="N182" s="4" t="s">
        <v>3</v>
      </c>
      <c r="O182" s="4">
        <v>2</v>
      </c>
      <c r="P182" s="4"/>
      <c r="Q182" s="4"/>
      <c r="R182" s="4"/>
      <c r="S182" s="4"/>
      <c r="T182" s="4"/>
      <c r="U182" s="4"/>
      <c r="V182" s="4"/>
      <c r="W182" s="4"/>
    </row>
    <row r="183" spans="1:23">
      <c r="A183" s="4">
        <v>50</v>
      </c>
      <c r="B183" s="4">
        <v>0</v>
      </c>
      <c r="C183" s="4">
        <v>0</v>
      </c>
      <c r="D183" s="4">
        <v>1</v>
      </c>
      <c r="E183" s="4">
        <v>216</v>
      </c>
      <c r="F183" s="4">
        <f>ROUND(Source!AP174,O183)</f>
        <v>0</v>
      </c>
      <c r="G183" s="4" t="s">
        <v>80</v>
      </c>
      <c r="H183" s="4" t="s">
        <v>81</v>
      </c>
      <c r="I183" s="4"/>
      <c r="J183" s="4"/>
      <c r="K183" s="4">
        <v>216</v>
      </c>
      <c r="L183" s="4">
        <v>8</v>
      </c>
      <c r="M183" s="4">
        <v>3</v>
      </c>
      <c r="N183" s="4" t="s">
        <v>3</v>
      </c>
      <c r="O183" s="4">
        <v>2</v>
      </c>
      <c r="P183" s="4"/>
      <c r="Q183" s="4"/>
      <c r="R183" s="4"/>
      <c r="S183" s="4"/>
      <c r="T183" s="4"/>
      <c r="U183" s="4"/>
      <c r="V183" s="4"/>
      <c r="W183" s="4"/>
    </row>
    <row r="184" spans="1:23">
      <c r="A184" s="4">
        <v>50</v>
      </c>
      <c r="B184" s="4">
        <v>0</v>
      </c>
      <c r="C184" s="4">
        <v>0</v>
      </c>
      <c r="D184" s="4">
        <v>1</v>
      </c>
      <c r="E184" s="4">
        <v>223</v>
      </c>
      <c r="F184" s="4">
        <f>ROUND(Source!AQ174,O184)</f>
        <v>0</v>
      </c>
      <c r="G184" s="4" t="s">
        <v>82</v>
      </c>
      <c r="H184" s="4" t="s">
        <v>83</v>
      </c>
      <c r="I184" s="4"/>
      <c r="J184" s="4"/>
      <c r="K184" s="4">
        <v>223</v>
      </c>
      <c r="L184" s="4">
        <v>9</v>
      </c>
      <c r="M184" s="4">
        <v>3</v>
      </c>
      <c r="N184" s="4" t="s">
        <v>3</v>
      </c>
      <c r="O184" s="4">
        <v>2</v>
      </c>
      <c r="P184" s="4"/>
      <c r="Q184" s="4"/>
      <c r="R184" s="4"/>
      <c r="S184" s="4"/>
      <c r="T184" s="4"/>
      <c r="U184" s="4"/>
      <c r="V184" s="4"/>
      <c r="W184" s="4"/>
    </row>
    <row r="185" spans="1:23">
      <c r="A185" s="4">
        <v>50</v>
      </c>
      <c r="B185" s="4">
        <v>0</v>
      </c>
      <c r="C185" s="4">
        <v>0</v>
      </c>
      <c r="D185" s="4">
        <v>1</v>
      </c>
      <c r="E185" s="4">
        <v>229</v>
      </c>
      <c r="F185" s="4">
        <f>ROUND(Source!AZ174,O185)</f>
        <v>0</v>
      </c>
      <c r="G185" s="4" t="s">
        <v>84</v>
      </c>
      <c r="H185" s="4" t="s">
        <v>85</v>
      </c>
      <c r="I185" s="4"/>
      <c r="J185" s="4"/>
      <c r="K185" s="4">
        <v>229</v>
      </c>
      <c r="L185" s="4">
        <v>10</v>
      </c>
      <c r="M185" s="4">
        <v>3</v>
      </c>
      <c r="N185" s="4" t="s">
        <v>3</v>
      </c>
      <c r="O185" s="4">
        <v>2</v>
      </c>
      <c r="P185" s="4"/>
      <c r="Q185" s="4"/>
      <c r="R185" s="4"/>
      <c r="S185" s="4"/>
      <c r="T185" s="4"/>
      <c r="U185" s="4"/>
      <c r="V185" s="4"/>
      <c r="W185" s="4"/>
    </row>
    <row r="186" spans="1:23">
      <c r="A186" s="4">
        <v>50</v>
      </c>
      <c r="B186" s="4">
        <v>0</v>
      </c>
      <c r="C186" s="4">
        <v>0</v>
      </c>
      <c r="D186" s="4">
        <v>1</v>
      </c>
      <c r="E186" s="4">
        <v>203</v>
      </c>
      <c r="F186" s="4">
        <f>ROUND(Source!Q174,O186)</f>
        <v>883.07</v>
      </c>
      <c r="G186" s="4" t="s">
        <v>86</v>
      </c>
      <c r="H186" s="4" t="s">
        <v>87</v>
      </c>
      <c r="I186" s="4"/>
      <c r="J186" s="4"/>
      <c r="K186" s="4">
        <v>203</v>
      </c>
      <c r="L186" s="4">
        <v>11</v>
      </c>
      <c r="M186" s="4">
        <v>3</v>
      </c>
      <c r="N186" s="4" t="s">
        <v>3</v>
      </c>
      <c r="O186" s="4">
        <v>2</v>
      </c>
      <c r="P186" s="4"/>
      <c r="Q186" s="4"/>
      <c r="R186" s="4"/>
      <c r="S186" s="4"/>
      <c r="T186" s="4"/>
      <c r="U186" s="4"/>
      <c r="V186" s="4"/>
      <c r="W186" s="4"/>
    </row>
    <row r="187" spans="1:23">
      <c r="A187" s="4">
        <v>50</v>
      </c>
      <c r="B187" s="4">
        <v>0</v>
      </c>
      <c r="C187" s="4">
        <v>0</v>
      </c>
      <c r="D187" s="4">
        <v>1</v>
      </c>
      <c r="E187" s="4">
        <v>231</v>
      </c>
      <c r="F187" s="4">
        <f>ROUND(Source!BB174,O187)</f>
        <v>0</v>
      </c>
      <c r="G187" s="4" t="s">
        <v>88</v>
      </c>
      <c r="H187" s="4" t="s">
        <v>89</v>
      </c>
      <c r="I187" s="4"/>
      <c r="J187" s="4"/>
      <c r="K187" s="4">
        <v>231</v>
      </c>
      <c r="L187" s="4">
        <v>12</v>
      </c>
      <c r="M187" s="4">
        <v>3</v>
      </c>
      <c r="N187" s="4" t="s">
        <v>3</v>
      </c>
      <c r="O187" s="4">
        <v>2</v>
      </c>
      <c r="P187" s="4"/>
      <c r="Q187" s="4"/>
      <c r="R187" s="4"/>
      <c r="S187" s="4"/>
      <c r="T187" s="4"/>
      <c r="U187" s="4"/>
      <c r="V187" s="4"/>
      <c r="W187" s="4"/>
    </row>
    <row r="188" spans="1:23">
      <c r="A188" s="4">
        <v>50</v>
      </c>
      <c r="B188" s="4">
        <v>0</v>
      </c>
      <c r="C188" s="4">
        <v>0</v>
      </c>
      <c r="D188" s="4">
        <v>1</v>
      </c>
      <c r="E188" s="4">
        <v>204</v>
      </c>
      <c r="F188" s="4">
        <f>ROUND(Source!R174,O188)</f>
        <v>274.83999999999997</v>
      </c>
      <c r="G188" s="4" t="s">
        <v>90</v>
      </c>
      <c r="H188" s="4" t="s">
        <v>91</v>
      </c>
      <c r="I188" s="4"/>
      <c r="J188" s="4"/>
      <c r="K188" s="4">
        <v>204</v>
      </c>
      <c r="L188" s="4">
        <v>13</v>
      </c>
      <c r="M188" s="4">
        <v>3</v>
      </c>
      <c r="N188" s="4" t="s">
        <v>3</v>
      </c>
      <c r="O188" s="4">
        <v>2</v>
      </c>
      <c r="P188" s="4"/>
      <c r="Q188" s="4"/>
      <c r="R188" s="4"/>
      <c r="S188" s="4"/>
      <c r="T188" s="4"/>
      <c r="U188" s="4"/>
      <c r="V188" s="4"/>
      <c r="W188" s="4"/>
    </row>
    <row r="189" spans="1:23">
      <c r="A189" s="4">
        <v>50</v>
      </c>
      <c r="B189" s="4">
        <v>0</v>
      </c>
      <c r="C189" s="4">
        <v>0</v>
      </c>
      <c r="D189" s="4">
        <v>1</v>
      </c>
      <c r="E189" s="4">
        <v>205</v>
      </c>
      <c r="F189" s="4">
        <f>ROUND(Source!S174,O189)</f>
        <v>12043.1</v>
      </c>
      <c r="G189" s="4" t="s">
        <v>92</v>
      </c>
      <c r="H189" s="4" t="s">
        <v>93</v>
      </c>
      <c r="I189" s="4"/>
      <c r="J189" s="4"/>
      <c r="K189" s="4">
        <v>205</v>
      </c>
      <c r="L189" s="4">
        <v>14</v>
      </c>
      <c r="M189" s="4">
        <v>3</v>
      </c>
      <c r="N189" s="4" t="s">
        <v>3</v>
      </c>
      <c r="O189" s="4">
        <v>2</v>
      </c>
      <c r="P189" s="4"/>
      <c r="Q189" s="4"/>
      <c r="R189" s="4"/>
      <c r="S189" s="4"/>
      <c r="T189" s="4"/>
      <c r="U189" s="4"/>
      <c r="V189" s="4"/>
      <c r="W189" s="4"/>
    </row>
    <row r="190" spans="1:23">
      <c r="A190" s="4">
        <v>50</v>
      </c>
      <c r="B190" s="4">
        <v>0</v>
      </c>
      <c r="C190" s="4">
        <v>0</v>
      </c>
      <c r="D190" s="4">
        <v>1</v>
      </c>
      <c r="E190" s="4">
        <v>232</v>
      </c>
      <c r="F190" s="4">
        <f>ROUND(Source!BC174,O190)</f>
        <v>0</v>
      </c>
      <c r="G190" s="4" t="s">
        <v>94</v>
      </c>
      <c r="H190" s="4" t="s">
        <v>95</v>
      </c>
      <c r="I190" s="4"/>
      <c r="J190" s="4"/>
      <c r="K190" s="4">
        <v>232</v>
      </c>
      <c r="L190" s="4">
        <v>15</v>
      </c>
      <c r="M190" s="4">
        <v>3</v>
      </c>
      <c r="N190" s="4" t="s">
        <v>3</v>
      </c>
      <c r="O190" s="4">
        <v>2</v>
      </c>
      <c r="P190" s="4"/>
      <c r="Q190" s="4"/>
      <c r="R190" s="4"/>
      <c r="S190" s="4"/>
      <c r="T190" s="4"/>
      <c r="U190" s="4"/>
      <c r="V190" s="4"/>
      <c r="W190" s="4"/>
    </row>
    <row r="191" spans="1:23">
      <c r="A191" s="4">
        <v>50</v>
      </c>
      <c r="B191" s="4">
        <v>0</v>
      </c>
      <c r="C191" s="4">
        <v>0</v>
      </c>
      <c r="D191" s="4">
        <v>1</v>
      </c>
      <c r="E191" s="4">
        <v>214</v>
      </c>
      <c r="F191" s="4">
        <f>ROUND(Source!AS174,O191)</f>
        <v>100597.2</v>
      </c>
      <c r="G191" s="4" t="s">
        <v>96</v>
      </c>
      <c r="H191" s="4" t="s">
        <v>97</v>
      </c>
      <c r="I191" s="4"/>
      <c r="J191" s="4"/>
      <c r="K191" s="4">
        <v>214</v>
      </c>
      <c r="L191" s="4">
        <v>16</v>
      </c>
      <c r="M191" s="4">
        <v>3</v>
      </c>
      <c r="N191" s="4" t="s">
        <v>3</v>
      </c>
      <c r="O191" s="4">
        <v>2</v>
      </c>
      <c r="P191" s="4"/>
      <c r="Q191" s="4"/>
      <c r="R191" s="4"/>
      <c r="S191" s="4"/>
      <c r="T191" s="4"/>
      <c r="U191" s="4"/>
      <c r="V191" s="4"/>
      <c r="W191" s="4"/>
    </row>
    <row r="192" spans="1:23">
      <c r="A192" s="4">
        <v>50</v>
      </c>
      <c r="B192" s="4">
        <v>0</v>
      </c>
      <c r="C192" s="4">
        <v>0</v>
      </c>
      <c r="D192" s="4">
        <v>1</v>
      </c>
      <c r="E192" s="4">
        <v>215</v>
      </c>
      <c r="F192" s="4">
        <f>ROUND(Source!AT174,O192)</f>
        <v>0</v>
      </c>
      <c r="G192" s="4" t="s">
        <v>98</v>
      </c>
      <c r="H192" s="4" t="s">
        <v>99</v>
      </c>
      <c r="I192" s="4"/>
      <c r="J192" s="4"/>
      <c r="K192" s="4">
        <v>215</v>
      </c>
      <c r="L192" s="4">
        <v>17</v>
      </c>
      <c r="M192" s="4">
        <v>3</v>
      </c>
      <c r="N192" s="4" t="s">
        <v>3</v>
      </c>
      <c r="O192" s="4">
        <v>2</v>
      </c>
      <c r="P192" s="4"/>
      <c r="Q192" s="4"/>
      <c r="R192" s="4"/>
      <c r="S192" s="4"/>
      <c r="T192" s="4"/>
      <c r="U192" s="4"/>
      <c r="V192" s="4"/>
      <c r="W192" s="4"/>
    </row>
    <row r="193" spans="1:245">
      <c r="A193" s="4">
        <v>50</v>
      </c>
      <c r="B193" s="4">
        <v>0</v>
      </c>
      <c r="C193" s="4">
        <v>0</v>
      </c>
      <c r="D193" s="4">
        <v>1</v>
      </c>
      <c r="E193" s="4">
        <v>217</v>
      </c>
      <c r="F193" s="4">
        <f>ROUND(Source!AU174,O193)</f>
        <v>0</v>
      </c>
      <c r="G193" s="4" t="s">
        <v>100</v>
      </c>
      <c r="H193" s="4" t="s">
        <v>101</v>
      </c>
      <c r="I193" s="4"/>
      <c r="J193" s="4"/>
      <c r="K193" s="4">
        <v>217</v>
      </c>
      <c r="L193" s="4">
        <v>18</v>
      </c>
      <c r="M193" s="4">
        <v>3</v>
      </c>
      <c r="N193" s="4" t="s">
        <v>3</v>
      </c>
      <c r="O193" s="4">
        <v>2</v>
      </c>
      <c r="P193" s="4"/>
      <c r="Q193" s="4"/>
      <c r="R193" s="4"/>
      <c r="S193" s="4"/>
      <c r="T193" s="4"/>
      <c r="U193" s="4"/>
      <c r="V193" s="4"/>
      <c r="W193" s="4"/>
    </row>
    <row r="194" spans="1:245">
      <c r="A194" s="4">
        <v>50</v>
      </c>
      <c r="B194" s="4">
        <v>0</v>
      </c>
      <c r="C194" s="4">
        <v>0</v>
      </c>
      <c r="D194" s="4">
        <v>1</v>
      </c>
      <c r="E194" s="4">
        <v>230</v>
      </c>
      <c r="F194" s="4">
        <f>ROUND(Source!BA174,O194)</f>
        <v>0</v>
      </c>
      <c r="G194" s="4" t="s">
        <v>102</v>
      </c>
      <c r="H194" s="4" t="s">
        <v>103</v>
      </c>
      <c r="I194" s="4"/>
      <c r="J194" s="4"/>
      <c r="K194" s="4">
        <v>230</v>
      </c>
      <c r="L194" s="4">
        <v>19</v>
      </c>
      <c r="M194" s="4">
        <v>3</v>
      </c>
      <c r="N194" s="4" t="s">
        <v>3</v>
      </c>
      <c r="O194" s="4">
        <v>2</v>
      </c>
      <c r="P194" s="4"/>
      <c r="Q194" s="4"/>
      <c r="R194" s="4"/>
      <c r="S194" s="4"/>
      <c r="T194" s="4"/>
      <c r="U194" s="4"/>
      <c r="V194" s="4"/>
      <c r="W194" s="4"/>
    </row>
    <row r="195" spans="1:245">
      <c r="A195" s="4">
        <v>50</v>
      </c>
      <c r="B195" s="4">
        <v>0</v>
      </c>
      <c r="C195" s="4">
        <v>0</v>
      </c>
      <c r="D195" s="4">
        <v>1</v>
      </c>
      <c r="E195" s="4">
        <v>206</v>
      </c>
      <c r="F195" s="4">
        <f>ROUND(Source!T174,O195)</f>
        <v>0</v>
      </c>
      <c r="G195" s="4" t="s">
        <v>104</v>
      </c>
      <c r="H195" s="4" t="s">
        <v>105</v>
      </c>
      <c r="I195" s="4"/>
      <c r="J195" s="4"/>
      <c r="K195" s="4">
        <v>206</v>
      </c>
      <c r="L195" s="4">
        <v>20</v>
      </c>
      <c r="M195" s="4">
        <v>3</v>
      </c>
      <c r="N195" s="4" t="s">
        <v>3</v>
      </c>
      <c r="O195" s="4">
        <v>2</v>
      </c>
      <c r="P195" s="4"/>
      <c r="Q195" s="4"/>
      <c r="R195" s="4"/>
      <c r="S195" s="4"/>
      <c r="T195" s="4"/>
      <c r="U195" s="4"/>
      <c r="V195" s="4"/>
      <c r="W195" s="4"/>
    </row>
    <row r="196" spans="1:245">
      <c r="A196" s="4">
        <v>50</v>
      </c>
      <c r="B196" s="4">
        <v>0</v>
      </c>
      <c r="C196" s="4">
        <v>0</v>
      </c>
      <c r="D196" s="4">
        <v>1</v>
      </c>
      <c r="E196" s="4">
        <v>207</v>
      </c>
      <c r="F196" s="4">
        <f>Source!U174</f>
        <v>42.507905000000001</v>
      </c>
      <c r="G196" s="4" t="s">
        <v>106</v>
      </c>
      <c r="H196" s="4" t="s">
        <v>107</v>
      </c>
      <c r="I196" s="4"/>
      <c r="J196" s="4"/>
      <c r="K196" s="4">
        <v>207</v>
      </c>
      <c r="L196" s="4">
        <v>21</v>
      </c>
      <c r="M196" s="4">
        <v>3</v>
      </c>
      <c r="N196" s="4" t="s">
        <v>3</v>
      </c>
      <c r="O196" s="4">
        <v>-1</v>
      </c>
      <c r="P196" s="4"/>
      <c r="Q196" s="4"/>
      <c r="R196" s="4"/>
      <c r="S196" s="4"/>
      <c r="T196" s="4"/>
      <c r="U196" s="4"/>
      <c r="V196" s="4"/>
      <c r="W196" s="4"/>
    </row>
    <row r="197" spans="1:245">
      <c r="A197" s="4">
        <v>50</v>
      </c>
      <c r="B197" s="4">
        <v>0</v>
      </c>
      <c r="C197" s="4">
        <v>0</v>
      </c>
      <c r="D197" s="4">
        <v>1</v>
      </c>
      <c r="E197" s="4">
        <v>208</v>
      </c>
      <c r="F197" s="4">
        <f>Source!V174</f>
        <v>0.6160000000000001</v>
      </c>
      <c r="G197" s="4" t="s">
        <v>108</v>
      </c>
      <c r="H197" s="4" t="s">
        <v>109</v>
      </c>
      <c r="I197" s="4"/>
      <c r="J197" s="4"/>
      <c r="K197" s="4">
        <v>208</v>
      </c>
      <c r="L197" s="4">
        <v>22</v>
      </c>
      <c r="M197" s="4">
        <v>3</v>
      </c>
      <c r="N197" s="4" t="s">
        <v>3</v>
      </c>
      <c r="O197" s="4">
        <v>-1</v>
      </c>
      <c r="P197" s="4"/>
      <c r="Q197" s="4"/>
      <c r="R197" s="4"/>
      <c r="S197" s="4"/>
      <c r="T197" s="4"/>
      <c r="U197" s="4"/>
      <c r="V197" s="4"/>
      <c r="W197" s="4"/>
    </row>
    <row r="198" spans="1:245">
      <c r="A198" s="4">
        <v>50</v>
      </c>
      <c r="B198" s="4">
        <v>0</v>
      </c>
      <c r="C198" s="4">
        <v>0</v>
      </c>
      <c r="D198" s="4">
        <v>1</v>
      </c>
      <c r="E198" s="4">
        <v>209</v>
      </c>
      <c r="F198" s="4">
        <f>ROUND(Source!W174,O198)</f>
        <v>905.74</v>
      </c>
      <c r="G198" s="4" t="s">
        <v>110</v>
      </c>
      <c r="H198" s="4" t="s">
        <v>111</v>
      </c>
      <c r="I198" s="4"/>
      <c r="J198" s="4"/>
      <c r="K198" s="4">
        <v>209</v>
      </c>
      <c r="L198" s="4">
        <v>23</v>
      </c>
      <c r="M198" s="4">
        <v>3</v>
      </c>
      <c r="N198" s="4" t="s">
        <v>3</v>
      </c>
      <c r="O198" s="4">
        <v>2</v>
      </c>
      <c r="P198" s="4"/>
      <c r="Q198" s="4"/>
      <c r="R198" s="4"/>
      <c r="S198" s="4"/>
      <c r="T198" s="4"/>
      <c r="U198" s="4"/>
      <c r="V198" s="4"/>
      <c r="W198" s="4"/>
    </row>
    <row r="199" spans="1:245">
      <c r="A199" s="4">
        <v>50</v>
      </c>
      <c r="B199" s="4">
        <v>0</v>
      </c>
      <c r="C199" s="4">
        <v>0</v>
      </c>
      <c r="D199" s="4">
        <v>1</v>
      </c>
      <c r="E199" s="4">
        <v>233</v>
      </c>
      <c r="F199" s="4">
        <f>ROUND(Source!BD174,O199)</f>
        <v>0</v>
      </c>
      <c r="G199" s="4" t="s">
        <v>112</v>
      </c>
      <c r="H199" s="4" t="s">
        <v>113</v>
      </c>
      <c r="I199" s="4"/>
      <c r="J199" s="4"/>
      <c r="K199" s="4">
        <v>233</v>
      </c>
      <c r="L199" s="4">
        <v>24</v>
      </c>
      <c r="M199" s="4">
        <v>3</v>
      </c>
      <c r="N199" s="4" t="s">
        <v>3</v>
      </c>
      <c r="O199" s="4">
        <v>2</v>
      </c>
      <c r="P199" s="4"/>
      <c r="Q199" s="4"/>
      <c r="R199" s="4"/>
      <c r="S199" s="4"/>
      <c r="T199" s="4"/>
      <c r="U199" s="4"/>
      <c r="V199" s="4"/>
      <c r="W199" s="4"/>
    </row>
    <row r="200" spans="1:245">
      <c r="A200" s="4">
        <v>50</v>
      </c>
      <c r="B200" s="4">
        <v>0</v>
      </c>
      <c r="C200" s="4">
        <v>0</v>
      </c>
      <c r="D200" s="4">
        <v>1</v>
      </c>
      <c r="E200" s="4">
        <v>210</v>
      </c>
      <c r="F200" s="4">
        <f>ROUND(Source!X174,O200)</f>
        <v>11689.06</v>
      </c>
      <c r="G200" s="4" t="s">
        <v>114</v>
      </c>
      <c r="H200" s="4" t="s">
        <v>115</v>
      </c>
      <c r="I200" s="4"/>
      <c r="J200" s="4"/>
      <c r="K200" s="4">
        <v>210</v>
      </c>
      <c r="L200" s="4">
        <v>25</v>
      </c>
      <c r="M200" s="4">
        <v>3</v>
      </c>
      <c r="N200" s="4" t="s">
        <v>3</v>
      </c>
      <c r="O200" s="4">
        <v>2</v>
      </c>
      <c r="P200" s="4"/>
      <c r="Q200" s="4"/>
      <c r="R200" s="4"/>
      <c r="S200" s="4"/>
      <c r="T200" s="4"/>
      <c r="U200" s="4"/>
      <c r="V200" s="4"/>
      <c r="W200" s="4"/>
    </row>
    <row r="201" spans="1:245">
      <c r="A201" s="4">
        <v>50</v>
      </c>
      <c r="B201" s="4">
        <v>0</v>
      </c>
      <c r="C201" s="4">
        <v>0</v>
      </c>
      <c r="D201" s="4">
        <v>1</v>
      </c>
      <c r="E201" s="4">
        <v>211</v>
      </c>
      <c r="F201" s="4">
        <f>ROUND(Source!Y174,O201)</f>
        <v>7475.18</v>
      </c>
      <c r="G201" s="4" t="s">
        <v>116</v>
      </c>
      <c r="H201" s="4" t="s">
        <v>117</v>
      </c>
      <c r="I201" s="4"/>
      <c r="J201" s="4"/>
      <c r="K201" s="4">
        <v>211</v>
      </c>
      <c r="L201" s="4">
        <v>26</v>
      </c>
      <c r="M201" s="4">
        <v>3</v>
      </c>
      <c r="N201" s="4" t="s">
        <v>3</v>
      </c>
      <c r="O201" s="4">
        <v>2</v>
      </c>
      <c r="P201" s="4"/>
      <c r="Q201" s="4"/>
      <c r="R201" s="4"/>
      <c r="S201" s="4"/>
      <c r="T201" s="4"/>
      <c r="U201" s="4"/>
      <c r="V201" s="4"/>
      <c r="W201" s="4"/>
    </row>
    <row r="202" spans="1:245">
      <c r="A202" s="4">
        <v>50</v>
      </c>
      <c r="B202" s="4">
        <v>0</v>
      </c>
      <c r="C202" s="4">
        <v>0</v>
      </c>
      <c r="D202" s="4">
        <v>1</v>
      </c>
      <c r="E202" s="4">
        <v>224</v>
      </c>
      <c r="F202" s="4">
        <f>ROUND(Source!AR174,O202)</f>
        <v>100597.2</v>
      </c>
      <c r="G202" s="4" t="s">
        <v>118</v>
      </c>
      <c r="H202" s="4" t="s">
        <v>119</v>
      </c>
      <c r="I202" s="4"/>
      <c r="J202" s="4"/>
      <c r="K202" s="4">
        <v>224</v>
      </c>
      <c r="L202" s="4">
        <v>27</v>
      </c>
      <c r="M202" s="4">
        <v>3</v>
      </c>
      <c r="N202" s="4" t="s">
        <v>3</v>
      </c>
      <c r="O202" s="4">
        <v>2</v>
      </c>
      <c r="P202" s="4"/>
      <c r="Q202" s="4"/>
      <c r="R202" s="4"/>
      <c r="S202" s="4"/>
      <c r="T202" s="4"/>
      <c r="U202" s="4"/>
      <c r="V202" s="4"/>
      <c r="W202" s="4"/>
    </row>
    <row r="204" spans="1:245">
      <c r="A204" s="1">
        <v>4</v>
      </c>
      <c r="B204" s="1">
        <v>1</v>
      </c>
      <c r="C204" s="1"/>
      <c r="D204" s="1">
        <f>ROW(A216)</f>
        <v>216</v>
      </c>
      <c r="E204" s="1"/>
      <c r="F204" s="1" t="s">
        <v>14</v>
      </c>
      <c r="G204" s="1" t="s">
        <v>258</v>
      </c>
      <c r="H204" s="1" t="s">
        <v>3</v>
      </c>
      <c r="I204" s="1">
        <v>0</v>
      </c>
      <c r="J204" s="1"/>
      <c r="K204" s="1">
        <v>0</v>
      </c>
      <c r="L204" s="1"/>
      <c r="M204" s="1" t="s">
        <v>3</v>
      </c>
      <c r="N204" s="1"/>
      <c r="O204" s="1"/>
      <c r="P204" s="1"/>
      <c r="Q204" s="1"/>
      <c r="R204" s="1"/>
      <c r="S204" s="1">
        <v>0</v>
      </c>
      <c r="T204" s="1"/>
      <c r="U204" s="1" t="s">
        <v>3</v>
      </c>
      <c r="V204" s="1">
        <v>0</v>
      </c>
      <c r="W204" s="1"/>
      <c r="X204" s="1"/>
      <c r="Y204" s="1"/>
      <c r="Z204" s="1"/>
      <c r="AA204" s="1"/>
      <c r="AB204" s="1" t="s">
        <v>3</v>
      </c>
      <c r="AC204" s="1" t="s">
        <v>3</v>
      </c>
      <c r="AD204" s="1" t="s">
        <v>3</v>
      </c>
      <c r="AE204" s="1" t="s">
        <v>3</v>
      </c>
      <c r="AF204" s="1" t="s">
        <v>3</v>
      </c>
      <c r="AG204" s="1" t="s">
        <v>3</v>
      </c>
      <c r="AH204" s="1"/>
      <c r="AI204" s="1"/>
      <c r="AJ204" s="1"/>
      <c r="AK204" s="1"/>
      <c r="AL204" s="1"/>
      <c r="AM204" s="1"/>
      <c r="AN204" s="1"/>
      <c r="AO204" s="1"/>
      <c r="AP204" s="1" t="s">
        <v>3</v>
      </c>
      <c r="AQ204" s="1" t="s">
        <v>3</v>
      </c>
      <c r="AR204" s="1" t="s">
        <v>3</v>
      </c>
      <c r="AS204" s="1"/>
      <c r="AT204" s="1"/>
      <c r="AU204" s="1"/>
      <c r="AV204" s="1"/>
      <c r="AW204" s="1"/>
      <c r="AX204" s="1"/>
      <c r="AY204" s="1"/>
      <c r="AZ204" s="1" t="s">
        <v>3</v>
      </c>
      <c r="BA204" s="1"/>
      <c r="BB204" s="1" t="s">
        <v>3</v>
      </c>
      <c r="BC204" s="1" t="s">
        <v>3</v>
      </c>
      <c r="BD204" s="1" t="s">
        <v>3</v>
      </c>
      <c r="BE204" s="1" t="s">
        <v>3</v>
      </c>
      <c r="BF204" s="1" t="s">
        <v>3</v>
      </c>
      <c r="BG204" s="1" t="s">
        <v>3</v>
      </c>
      <c r="BH204" s="1" t="s">
        <v>3</v>
      </c>
      <c r="BI204" s="1" t="s">
        <v>3</v>
      </c>
      <c r="BJ204" s="1" t="s">
        <v>3</v>
      </c>
      <c r="BK204" s="1" t="s">
        <v>3</v>
      </c>
      <c r="BL204" s="1" t="s">
        <v>3</v>
      </c>
      <c r="BM204" s="1" t="s">
        <v>3</v>
      </c>
      <c r="BN204" s="1" t="s">
        <v>3</v>
      </c>
      <c r="BO204" s="1" t="s">
        <v>3</v>
      </c>
      <c r="BP204" s="1" t="s">
        <v>3</v>
      </c>
      <c r="BQ204" s="1"/>
      <c r="BR204" s="1"/>
      <c r="BS204" s="1"/>
      <c r="BT204" s="1"/>
      <c r="BU204" s="1"/>
      <c r="BV204" s="1"/>
      <c r="BW204" s="1"/>
      <c r="BX204" s="1">
        <v>0</v>
      </c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>
        <v>0</v>
      </c>
    </row>
    <row r="206" spans="1:245">
      <c r="A206" s="2">
        <v>52</v>
      </c>
      <c r="B206" s="2">
        <f t="shared" ref="B206:G206" si="197">B216</f>
        <v>1</v>
      </c>
      <c r="C206" s="2">
        <f t="shared" si="197"/>
        <v>4</v>
      </c>
      <c r="D206" s="2">
        <f t="shared" si="197"/>
        <v>204</v>
      </c>
      <c r="E206" s="2">
        <f t="shared" si="197"/>
        <v>0</v>
      </c>
      <c r="F206" s="2" t="str">
        <f t="shared" si="197"/>
        <v>Новый раздел</v>
      </c>
      <c r="G206" s="2" t="str">
        <f t="shared" si="197"/>
        <v>электромонтажные работы</v>
      </c>
      <c r="H206" s="2"/>
      <c r="I206" s="2"/>
      <c r="J206" s="2"/>
      <c r="K206" s="2"/>
      <c r="L206" s="2"/>
      <c r="M206" s="2"/>
      <c r="N206" s="2"/>
      <c r="O206" s="2">
        <f t="shared" ref="O206:AT206" si="198">O216</f>
        <v>11826</v>
      </c>
      <c r="P206" s="2">
        <f t="shared" si="198"/>
        <v>3639.95</v>
      </c>
      <c r="Q206" s="2">
        <f t="shared" si="198"/>
        <v>1489.95</v>
      </c>
      <c r="R206" s="2">
        <f t="shared" si="198"/>
        <v>9.94</v>
      </c>
      <c r="S206" s="2">
        <f t="shared" si="198"/>
        <v>6696.1</v>
      </c>
      <c r="T206" s="2">
        <f t="shared" si="198"/>
        <v>0</v>
      </c>
      <c r="U206" s="2">
        <f t="shared" si="198"/>
        <v>21.266699999999997</v>
      </c>
      <c r="V206" s="2">
        <f t="shared" si="198"/>
        <v>2.1499999999999998E-2</v>
      </c>
      <c r="W206" s="2">
        <f t="shared" si="198"/>
        <v>8.32</v>
      </c>
      <c r="X206" s="2">
        <f t="shared" si="198"/>
        <v>6370.73</v>
      </c>
      <c r="Y206" s="2">
        <f t="shared" si="198"/>
        <v>4358.93</v>
      </c>
      <c r="Z206" s="2">
        <f t="shared" si="198"/>
        <v>0</v>
      </c>
      <c r="AA206" s="2">
        <f t="shared" si="198"/>
        <v>0</v>
      </c>
      <c r="AB206" s="2">
        <f t="shared" si="198"/>
        <v>11826</v>
      </c>
      <c r="AC206" s="2">
        <f t="shared" si="198"/>
        <v>3639.95</v>
      </c>
      <c r="AD206" s="2">
        <f t="shared" si="198"/>
        <v>1489.95</v>
      </c>
      <c r="AE206" s="2">
        <f t="shared" si="198"/>
        <v>9.94</v>
      </c>
      <c r="AF206" s="2">
        <f t="shared" si="198"/>
        <v>6696.1</v>
      </c>
      <c r="AG206" s="2">
        <f t="shared" si="198"/>
        <v>0</v>
      </c>
      <c r="AH206" s="2">
        <f t="shared" si="198"/>
        <v>21.266699999999997</v>
      </c>
      <c r="AI206" s="2">
        <f t="shared" si="198"/>
        <v>2.1499999999999998E-2</v>
      </c>
      <c r="AJ206" s="2">
        <f t="shared" si="198"/>
        <v>8.32</v>
      </c>
      <c r="AK206" s="2">
        <f t="shared" si="198"/>
        <v>6370.73</v>
      </c>
      <c r="AL206" s="2">
        <f t="shared" si="198"/>
        <v>4358.93</v>
      </c>
      <c r="AM206" s="2">
        <f t="shared" si="198"/>
        <v>0</v>
      </c>
      <c r="AN206" s="2">
        <f t="shared" si="198"/>
        <v>0</v>
      </c>
      <c r="AO206" s="2">
        <f t="shared" si="198"/>
        <v>0</v>
      </c>
      <c r="AP206" s="2">
        <f t="shared" si="198"/>
        <v>0</v>
      </c>
      <c r="AQ206" s="2">
        <f t="shared" si="198"/>
        <v>0</v>
      </c>
      <c r="AR206" s="2">
        <f t="shared" si="198"/>
        <v>22555.66</v>
      </c>
      <c r="AS206" s="2">
        <f t="shared" si="198"/>
        <v>1189.56</v>
      </c>
      <c r="AT206" s="2">
        <f t="shared" si="198"/>
        <v>21366.1</v>
      </c>
      <c r="AU206" s="2">
        <f t="shared" ref="AU206:BZ206" si="199">AU216</f>
        <v>0</v>
      </c>
      <c r="AV206" s="2">
        <f t="shared" si="199"/>
        <v>3639.95</v>
      </c>
      <c r="AW206" s="2">
        <f t="shared" si="199"/>
        <v>3639.95</v>
      </c>
      <c r="AX206" s="2">
        <f t="shared" si="199"/>
        <v>0</v>
      </c>
      <c r="AY206" s="2">
        <f t="shared" si="199"/>
        <v>3639.95</v>
      </c>
      <c r="AZ206" s="2">
        <f t="shared" si="199"/>
        <v>0</v>
      </c>
      <c r="BA206" s="2">
        <f t="shared" si="199"/>
        <v>0</v>
      </c>
      <c r="BB206" s="2">
        <f t="shared" si="199"/>
        <v>0</v>
      </c>
      <c r="BC206" s="2">
        <f t="shared" si="199"/>
        <v>0</v>
      </c>
      <c r="BD206" s="2">
        <f t="shared" si="199"/>
        <v>1189.56</v>
      </c>
      <c r="BE206" s="2">
        <f t="shared" si="199"/>
        <v>0</v>
      </c>
      <c r="BF206" s="2">
        <f t="shared" si="199"/>
        <v>0</v>
      </c>
      <c r="BG206" s="2">
        <f t="shared" si="199"/>
        <v>0</v>
      </c>
      <c r="BH206" s="2">
        <f t="shared" si="199"/>
        <v>0</v>
      </c>
      <c r="BI206" s="2">
        <f t="shared" si="199"/>
        <v>0</v>
      </c>
      <c r="BJ206" s="2">
        <f t="shared" si="199"/>
        <v>0</v>
      </c>
      <c r="BK206" s="2">
        <f t="shared" si="199"/>
        <v>0</v>
      </c>
      <c r="BL206" s="2">
        <f t="shared" si="199"/>
        <v>0</v>
      </c>
      <c r="BM206" s="2">
        <f t="shared" si="199"/>
        <v>0</v>
      </c>
      <c r="BN206" s="2">
        <f t="shared" si="199"/>
        <v>0</v>
      </c>
      <c r="BO206" s="2">
        <f t="shared" si="199"/>
        <v>0</v>
      </c>
      <c r="BP206" s="2">
        <f t="shared" si="199"/>
        <v>0</v>
      </c>
      <c r="BQ206" s="2">
        <f t="shared" si="199"/>
        <v>0</v>
      </c>
      <c r="BR206" s="2">
        <f t="shared" si="199"/>
        <v>0</v>
      </c>
      <c r="BS206" s="2">
        <f t="shared" si="199"/>
        <v>0</v>
      </c>
      <c r="BT206" s="2">
        <f t="shared" si="199"/>
        <v>0</v>
      </c>
      <c r="BU206" s="2">
        <f t="shared" si="199"/>
        <v>0</v>
      </c>
      <c r="BV206" s="2">
        <f t="shared" si="199"/>
        <v>0</v>
      </c>
      <c r="BW206" s="2">
        <f t="shared" si="199"/>
        <v>0</v>
      </c>
      <c r="BX206" s="2">
        <f t="shared" si="199"/>
        <v>0</v>
      </c>
      <c r="BY206" s="2">
        <f t="shared" si="199"/>
        <v>0</v>
      </c>
      <c r="BZ206" s="2">
        <f t="shared" si="199"/>
        <v>0</v>
      </c>
      <c r="CA206" s="2">
        <f t="shared" ref="CA206:DF206" si="200">CA216</f>
        <v>22555.66</v>
      </c>
      <c r="CB206" s="2">
        <f t="shared" si="200"/>
        <v>1189.56</v>
      </c>
      <c r="CC206" s="2">
        <f t="shared" si="200"/>
        <v>21366.1</v>
      </c>
      <c r="CD206" s="2">
        <f t="shared" si="200"/>
        <v>0</v>
      </c>
      <c r="CE206" s="2">
        <f t="shared" si="200"/>
        <v>3639.95</v>
      </c>
      <c r="CF206" s="2">
        <f t="shared" si="200"/>
        <v>3639.95</v>
      </c>
      <c r="CG206" s="2">
        <f t="shared" si="200"/>
        <v>0</v>
      </c>
      <c r="CH206" s="2">
        <f t="shared" si="200"/>
        <v>3639.95</v>
      </c>
      <c r="CI206" s="2">
        <f t="shared" si="200"/>
        <v>0</v>
      </c>
      <c r="CJ206" s="2">
        <f t="shared" si="200"/>
        <v>0</v>
      </c>
      <c r="CK206" s="2">
        <f t="shared" si="200"/>
        <v>0</v>
      </c>
      <c r="CL206" s="2">
        <f t="shared" si="200"/>
        <v>0</v>
      </c>
      <c r="CM206" s="2">
        <f t="shared" si="200"/>
        <v>1189.56</v>
      </c>
      <c r="CN206" s="2">
        <f t="shared" si="200"/>
        <v>0</v>
      </c>
      <c r="CO206" s="2">
        <f t="shared" si="200"/>
        <v>0</v>
      </c>
      <c r="CP206" s="2">
        <f t="shared" si="200"/>
        <v>0</v>
      </c>
      <c r="CQ206" s="2">
        <f t="shared" si="200"/>
        <v>0</v>
      </c>
      <c r="CR206" s="2">
        <f t="shared" si="200"/>
        <v>0</v>
      </c>
      <c r="CS206" s="2">
        <f t="shared" si="200"/>
        <v>0</v>
      </c>
      <c r="CT206" s="2">
        <f t="shared" si="200"/>
        <v>0</v>
      </c>
      <c r="CU206" s="2">
        <f t="shared" si="200"/>
        <v>0</v>
      </c>
      <c r="CV206" s="2">
        <f t="shared" si="200"/>
        <v>0</v>
      </c>
      <c r="CW206" s="2">
        <f t="shared" si="200"/>
        <v>0</v>
      </c>
      <c r="CX206" s="2">
        <f t="shared" si="200"/>
        <v>0</v>
      </c>
      <c r="CY206" s="2">
        <f t="shared" si="200"/>
        <v>0</v>
      </c>
      <c r="CZ206" s="2">
        <f t="shared" si="200"/>
        <v>0</v>
      </c>
      <c r="DA206" s="2">
        <f t="shared" si="200"/>
        <v>0</v>
      </c>
      <c r="DB206" s="2">
        <f t="shared" si="200"/>
        <v>0</v>
      </c>
      <c r="DC206" s="2">
        <f t="shared" si="200"/>
        <v>0</v>
      </c>
      <c r="DD206" s="2">
        <f t="shared" si="200"/>
        <v>0</v>
      </c>
      <c r="DE206" s="2">
        <f t="shared" si="200"/>
        <v>0</v>
      </c>
      <c r="DF206" s="2">
        <f t="shared" si="200"/>
        <v>0</v>
      </c>
      <c r="DG206" s="3">
        <f t="shared" ref="DG206:EL206" si="201">DG216</f>
        <v>0</v>
      </c>
      <c r="DH206" s="3">
        <f t="shared" si="201"/>
        <v>0</v>
      </c>
      <c r="DI206" s="3">
        <f t="shared" si="201"/>
        <v>0</v>
      </c>
      <c r="DJ206" s="3">
        <f t="shared" si="201"/>
        <v>0</v>
      </c>
      <c r="DK206" s="3">
        <f t="shared" si="201"/>
        <v>0</v>
      </c>
      <c r="DL206" s="3">
        <f t="shared" si="201"/>
        <v>0</v>
      </c>
      <c r="DM206" s="3">
        <f t="shared" si="201"/>
        <v>0</v>
      </c>
      <c r="DN206" s="3">
        <f t="shared" si="201"/>
        <v>0</v>
      </c>
      <c r="DO206" s="3">
        <f t="shared" si="201"/>
        <v>0</v>
      </c>
      <c r="DP206" s="3">
        <f t="shared" si="201"/>
        <v>0</v>
      </c>
      <c r="DQ206" s="3">
        <f t="shared" si="201"/>
        <v>0</v>
      </c>
      <c r="DR206" s="3">
        <f t="shared" si="201"/>
        <v>0</v>
      </c>
      <c r="DS206" s="3">
        <f t="shared" si="201"/>
        <v>0</v>
      </c>
      <c r="DT206" s="3">
        <f t="shared" si="201"/>
        <v>0</v>
      </c>
      <c r="DU206" s="3">
        <f t="shared" si="201"/>
        <v>0</v>
      </c>
      <c r="DV206" s="3">
        <f t="shared" si="201"/>
        <v>0</v>
      </c>
      <c r="DW206" s="3">
        <f t="shared" si="201"/>
        <v>0</v>
      </c>
      <c r="DX206" s="3">
        <f t="shared" si="201"/>
        <v>0</v>
      </c>
      <c r="DY206" s="3">
        <f t="shared" si="201"/>
        <v>0</v>
      </c>
      <c r="DZ206" s="3">
        <f t="shared" si="201"/>
        <v>0</v>
      </c>
      <c r="EA206" s="3">
        <f t="shared" si="201"/>
        <v>0</v>
      </c>
      <c r="EB206" s="3">
        <f t="shared" si="201"/>
        <v>0</v>
      </c>
      <c r="EC206" s="3">
        <f t="shared" si="201"/>
        <v>0</v>
      </c>
      <c r="ED206" s="3">
        <f t="shared" si="201"/>
        <v>0</v>
      </c>
      <c r="EE206" s="3">
        <f t="shared" si="201"/>
        <v>0</v>
      </c>
      <c r="EF206" s="3">
        <f t="shared" si="201"/>
        <v>0</v>
      </c>
      <c r="EG206" s="3">
        <f t="shared" si="201"/>
        <v>0</v>
      </c>
      <c r="EH206" s="3">
        <f t="shared" si="201"/>
        <v>0</v>
      </c>
      <c r="EI206" s="3">
        <f t="shared" si="201"/>
        <v>0</v>
      </c>
      <c r="EJ206" s="3">
        <f t="shared" si="201"/>
        <v>0</v>
      </c>
      <c r="EK206" s="3">
        <f t="shared" si="201"/>
        <v>0</v>
      </c>
      <c r="EL206" s="3">
        <f t="shared" si="201"/>
        <v>0</v>
      </c>
      <c r="EM206" s="3">
        <f t="shared" ref="EM206:FR206" si="202">EM216</f>
        <v>0</v>
      </c>
      <c r="EN206" s="3">
        <f t="shared" si="202"/>
        <v>0</v>
      </c>
      <c r="EO206" s="3">
        <f t="shared" si="202"/>
        <v>0</v>
      </c>
      <c r="EP206" s="3">
        <f t="shared" si="202"/>
        <v>0</v>
      </c>
      <c r="EQ206" s="3">
        <f t="shared" si="202"/>
        <v>0</v>
      </c>
      <c r="ER206" s="3">
        <f t="shared" si="202"/>
        <v>0</v>
      </c>
      <c r="ES206" s="3">
        <f t="shared" si="202"/>
        <v>0</v>
      </c>
      <c r="ET206" s="3">
        <f t="shared" si="202"/>
        <v>0</v>
      </c>
      <c r="EU206" s="3">
        <f t="shared" si="202"/>
        <v>0</v>
      </c>
      <c r="EV206" s="3">
        <f t="shared" si="202"/>
        <v>0</v>
      </c>
      <c r="EW206" s="3">
        <f t="shared" si="202"/>
        <v>0</v>
      </c>
      <c r="EX206" s="3">
        <f t="shared" si="202"/>
        <v>0</v>
      </c>
      <c r="EY206" s="3">
        <f t="shared" si="202"/>
        <v>0</v>
      </c>
      <c r="EZ206" s="3">
        <f t="shared" si="202"/>
        <v>0</v>
      </c>
      <c r="FA206" s="3">
        <f t="shared" si="202"/>
        <v>0</v>
      </c>
      <c r="FB206" s="3">
        <f t="shared" si="202"/>
        <v>0</v>
      </c>
      <c r="FC206" s="3">
        <f t="shared" si="202"/>
        <v>0</v>
      </c>
      <c r="FD206" s="3">
        <f t="shared" si="202"/>
        <v>0</v>
      </c>
      <c r="FE206" s="3">
        <f t="shared" si="202"/>
        <v>0</v>
      </c>
      <c r="FF206" s="3">
        <f t="shared" si="202"/>
        <v>0</v>
      </c>
      <c r="FG206" s="3">
        <f t="shared" si="202"/>
        <v>0</v>
      </c>
      <c r="FH206" s="3">
        <f t="shared" si="202"/>
        <v>0</v>
      </c>
      <c r="FI206" s="3">
        <f t="shared" si="202"/>
        <v>0</v>
      </c>
      <c r="FJ206" s="3">
        <f t="shared" si="202"/>
        <v>0</v>
      </c>
      <c r="FK206" s="3">
        <f t="shared" si="202"/>
        <v>0</v>
      </c>
      <c r="FL206" s="3">
        <f t="shared" si="202"/>
        <v>0</v>
      </c>
      <c r="FM206" s="3">
        <f t="shared" si="202"/>
        <v>0</v>
      </c>
      <c r="FN206" s="3">
        <f t="shared" si="202"/>
        <v>0</v>
      </c>
      <c r="FO206" s="3">
        <f t="shared" si="202"/>
        <v>0</v>
      </c>
      <c r="FP206" s="3">
        <f t="shared" si="202"/>
        <v>0</v>
      </c>
      <c r="FQ206" s="3">
        <f t="shared" si="202"/>
        <v>0</v>
      </c>
      <c r="FR206" s="3">
        <f t="shared" si="202"/>
        <v>0</v>
      </c>
      <c r="FS206" s="3">
        <f t="shared" ref="FS206:GX206" si="203">FS216</f>
        <v>0</v>
      </c>
      <c r="FT206" s="3">
        <f t="shared" si="203"/>
        <v>0</v>
      </c>
      <c r="FU206" s="3">
        <f t="shared" si="203"/>
        <v>0</v>
      </c>
      <c r="FV206" s="3">
        <f t="shared" si="203"/>
        <v>0</v>
      </c>
      <c r="FW206" s="3">
        <f t="shared" si="203"/>
        <v>0</v>
      </c>
      <c r="FX206" s="3">
        <f t="shared" si="203"/>
        <v>0</v>
      </c>
      <c r="FY206" s="3">
        <f t="shared" si="203"/>
        <v>0</v>
      </c>
      <c r="FZ206" s="3">
        <f t="shared" si="203"/>
        <v>0</v>
      </c>
      <c r="GA206" s="3">
        <f t="shared" si="203"/>
        <v>0</v>
      </c>
      <c r="GB206" s="3">
        <f t="shared" si="203"/>
        <v>0</v>
      </c>
      <c r="GC206" s="3">
        <f t="shared" si="203"/>
        <v>0</v>
      </c>
      <c r="GD206" s="3">
        <f t="shared" si="203"/>
        <v>0</v>
      </c>
      <c r="GE206" s="3">
        <f t="shared" si="203"/>
        <v>0</v>
      </c>
      <c r="GF206" s="3">
        <f t="shared" si="203"/>
        <v>0</v>
      </c>
      <c r="GG206" s="3">
        <f t="shared" si="203"/>
        <v>0</v>
      </c>
      <c r="GH206" s="3">
        <f t="shared" si="203"/>
        <v>0</v>
      </c>
      <c r="GI206" s="3">
        <f t="shared" si="203"/>
        <v>0</v>
      </c>
      <c r="GJ206" s="3">
        <f t="shared" si="203"/>
        <v>0</v>
      </c>
      <c r="GK206" s="3">
        <f t="shared" si="203"/>
        <v>0</v>
      </c>
      <c r="GL206" s="3">
        <f t="shared" si="203"/>
        <v>0</v>
      </c>
      <c r="GM206" s="3">
        <f t="shared" si="203"/>
        <v>0</v>
      </c>
      <c r="GN206" s="3">
        <f t="shared" si="203"/>
        <v>0</v>
      </c>
      <c r="GO206" s="3">
        <f t="shared" si="203"/>
        <v>0</v>
      </c>
      <c r="GP206" s="3">
        <f t="shared" si="203"/>
        <v>0</v>
      </c>
      <c r="GQ206" s="3">
        <f t="shared" si="203"/>
        <v>0</v>
      </c>
      <c r="GR206" s="3">
        <f t="shared" si="203"/>
        <v>0</v>
      </c>
      <c r="GS206" s="3">
        <f t="shared" si="203"/>
        <v>0</v>
      </c>
      <c r="GT206" s="3">
        <f t="shared" si="203"/>
        <v>0</v>
      </c>
      <c r="GU206" s="3">
        <f t="shared" si="203"/>
        <v>0</v>
      </c>
      <c r="GV206" s="3">
        <f t="shared" si="203"/>
        <v>0</v>
      </c>
      <c r="GW206" s="3">
        <f t="shared" si="203"/>
        <v>0</v>
      </c>
      <c r="GX206" s="3">
        <f t="shared" si="203"/>
        <v>0</v>
      </c>
    </row>
    <row r="208" spans="1:245">
      <c r="A208">
        <v>17</v>
      </c>
      <c r="B208">
        <v>1</v>
      </c>
      <c r="C208">
        <f>ROW(SmtRes!A143)</f>
        <v>143</v>
      </c>
      <c r="D208">
        <f>ROW(EtalonRes!A142)</f>
        <v>142</v>
      </c>
      <c r="E208" t="s">
        <v>16</v>
      </c>
      <c r="F208" t="s">
        <v>259</v>
      </c>
      <c r="G208" t="s">
        <v>260</v>
      </c>
      <c r="H208" t="s">
        <v>53</v>
      </c>
      <c r="I208">
        <f>ROUND(1/100,9)</f>
        <v>0.01</v>
      </c>
      <c r="J208">
        <v>0</v>
      </c>
      <c r="O208">
        <f t="shared" ref="O208:O214" si="204">ROUND(CP208,2)</f>
        <v>119.35</v>
      </c>
      <c r="P208">
        <f t="shared" ref="P208:P214" si="205">ROUND(CQ208*I208,2)</f>
        <v>3.35</v>
      </c>
      <c r="Q208">
        <f t="shared" ref="Q208:Q214" si="206">ROUND(CR208*I208,2)</f>
        <v>0.82</v>
      </c>
      <c r="R208">
        <f t="shared" ref="R208:R214" si="207">ROUND(CS208*I208,2)</f>
        <v>0.14000000000000001</v>
      </c>
      <c r="S208">
        <f t="shared" ref="S208:S214" si="208">ROUND(CT208*I208,2)</f>
        <v>115.18</v>
      </c>
      <c r="T208">
        <f t="shared" ref="T208:T214" si="209">ROUND(CU208*I208,2)</f>
        <v>0</v>
      </c>
      <c r="U208">
        <f t="shared" ref="U208:U214" si="210">CV208*I208</f>
        <v>0.35130000000000006</v>
      </c>
      <c r="V208">
        <f t="shared" ref="V208:V214" si="211">CW208*I208</f>
        <v>2.9999999999999997E-4</v>
      </c>
      <c r="W208">
        <f t="shared" ref="W208:W214" si="212">ROUND(CX208*I208,2)</f>
        <v>0</v>
      </c>
      <c r="X208">
        <f t="shared" ref="X208:Y214" si="213">ROUND(CY208,2)</f>
        <v>109.55</v>
      </c>
      <c r="Y208">
        <f t="shared" si="213"/>
        <v>74.959999999999994</v>
      </c>
      <c r="AA208">
        <v>35841400</v>
      </c>
      <c r="AB208">
        <f t="shared" ref="AB208:AB214" si="214">ROUND((AC208+AD208+AF208),6)</f>
        <v>465.7</v>
      </c>
      <c r="AC208">
        <f t="shared" ref="AC208:AC214" si="215">ROUND((ES208),6)</f>
        <v>103.43</v>
      </c>
      <c r="AD208">
        <f>ROUND((((ET208)-(EU208))+AE208),6)</f>
        <v>13.78</v>
      </c>
      <c r="AE208">
        <f t="shared" ref="AE208:AF211" si="216">ROUND((EU208),6)</f>
        <v>0.41</v>
      </c>
      <c r="AF208">
        <f t="shared" si="216"/>
        <v>348.49</v>
      </c>
      <c r="AG208">
        <f t="shared" ref="AG208:AG214" si="217">ROUND((AP208),6)</f>
        <v>0</v>
      </c>
      <c r="AH208">
        <f t="shared" ref="AH208:AI211" si="218">(EW208)</f>
        <v>35.130000000000003</v>
      </c>
      <c r="AI208">
        <f t="shared" si="218"/>
        <v>0.03</v>
      </c>
      <c r="AJ208">
        <f t="shared" ref="AJ208:AJ214" si="219">(AS208)</f>
        <v>0</v>
      </c>
      <c r="AK208">
        <v>465.7</v>
      </c>
      <c r="AL208">
        <v>103.43</v>
      </c>
      <c r="AM208">
        <v>13.78</v>
      </c>
      <c r="AN208">
        <v>0.41</v>
      </c>
      <c r="AO208">
        <v>348.49</v>
      </c>
      <c r="AP208">
        <v>0</v>
      </c>
      <c r="AQ208">
        <v>35.130000000000003</v>
      </c>
      <c r="AR208">
        <v>0.03</v>
      </c>
      <c r="AS208">
        <v>0</v>
      </c>
      <c r="AT208">
        <v>95</v>
      </c>
      <c r="AU208">
        <v>65</v>
      </c>
      <c r="AV208">
        <v>1</v>
      </c>
      <c r="AW208">
        <v>1</v>
      </c>
      <c r="AZ208">
        <v>1</v>
      </c>
      <c r="BA208">
        <v>33.049999999999997</v>
      </c>
      <c r="BB208">
        <v>5.96</v>
      </c>
      <c r="BC208">
        <v>3.24</v>
      </c>
      <c r="BD208" t="s">
        <v>3</v>
      </c>
      <c r="BE208" t="s">
        <v>3</v>
      </c>
      <c r="BF208" t="s">
        <v>3</v>
      </c>
      <c r="BG208" t="s">
        <v>3</v>
      </c>
      <c r="BH208">
        <v>0</v>
      </c>
      <c r="BI208">
        <v>2</v>
      </c>
      <c r="BJ208" t="s">
        <v>261</v>
      </c>
      <c r="BM208">
        <v>108001</v>
      </c>
      <c r="BN208">
        <v>0</v>
      </c>
      <c r="BO208" t="s">
        <v>259</v>
      </c>
      <c r="BP208">
        <v>1</v>
      </c>
      <c r="BQ208">
        <v>3</v>
      </c>
      <c r="BR208">
        <v>0</v>
      </c>
      <c r="BS208">
        <v>33.049999999999997</v>
      </c>
      <c r="BT208">
        <v>1</v>
      </c>
      <c r="BU208">
        <v>1</v>
      </c>
      <c r="BV208">
        <v>1</v>
      </c>
      <c r="BW208">
        <v>1</v>
      </c>
      <c r="BX208">
        <v>1</v>
      </c>
      <c r="BY208" t="s">
        <v>3</v>
      </c>
      <c r="BZ208">
        <v>95</v>
      </c>
      <c r="CA208">
        <v>65</v>
      </c>
      <c r="CE208">
        <v>0</v>
      </c>
      <c r="CF208">
        <v>0</v>
      </c>
      <c r="CG208">
        <v>0</v>
      </c>
      <c r="CM208">
        <v>0</v>
      </c>
      <c r="CN208" t="s">
        <v>3</v>
      </c>
      <c r="CO208">
        <v>0</v>
      </c>
      <c r="CP208">
        <f t="shared" ref="CP208:CP214" si="220">(P208+Q208+S208)</f>
        <v>119.35000000000001</v>
      </c>
      <c r="CQ208">
        <f t="shared" ref="CQ208:CQ214" si="221">AC208*BC208</f>
        <v>335.11320000000006</v>
      </c>
      <c r="CR208">
        <f t="shared" ref="CR208:CR214" si="222">AD208*BB208</f>
        <v>82.128799999999998</v>
      </c>
      <c r="CS208">
        <f t="shared" ref="CS208:CS214" si="223">AE208*BS208</f>
        <v>13.550499999999998</v>
      </c>
      <c r="CT208">
        <f t="shared" ref="CT208:CT214" si="224">AF208*BA208</f>
        <v>11517.594499999999</v>
      </c>
      <c r="CU208">
        <f t="shared" ref="CU208:CX214" si="225">AG208</f>
        <v>0</v>
      </c>
      <c r="CV208">
        <f t="shared" si="225"/>
        <v>35.130000000000003</v>
      </c>
      <c r="CW208">
        <f t="shared" si="225"/>
        <v>0.03</v>
      </c>
      <c r="CX208">
        <f t="shared" si="225"/>
        <v>0</v>
      </c>
      <c r="CY208">
        <f t="shared" ref="CY208:CY214" si="226">(((S208+R208)*AT208)/100)</f>
        <v>109.55400000000002</v>
      </c>
      <c r="CZ208">
        <f t="shared" ref="CZ208:CZ214" si="227">(((S208+R208)*AU208)/100)</f>
        <v>74.957999999999998</v>
      </c>
      <c r="DC208" t="s">
        <v>3</v>
      </c>
      <c r="DD208" t="s">
        <v>3</v>
      </c>
      <c r="DE208" t="s">
        <v>3</v>
      </c>
      <c r="DF208" t="s">
        <v>3</v>
      </c>
      <c r="DG208" t="s">
        <v>3</v>
      </c>
      <c r="DH208" t="s">
        <v>3</v>
      </c>
      <c r="DI208" t="s">
        <v>3</v>
      </c>
      <c r="DJ208" t="s">
        <v>3</v>
      </c>
      <c r="DK208" t="s">
        <v>3</v>
      </c>
      <c r="DL208" t="s">
        <v>3</v>
      </c>
      <c r="DM208" t="s">
        <v>3</v>
      </c>
      <c r="DN208">
        <v>0</v>
      </c>
      <c r="DO208">
        <v>0</v>
      </c>
      <c r="DP208">
        <v>1</v>
      </c>
      <c r="DQ208">
        <v>1</v>
      </c>
      <c r="DU208">
        <v>1010</v>
      </c>
      <c r="DV208" t="s">
        <v>53</v>
      </c>
      <c r="DW208" t="s">
        <v>53</v>
      </c>
      <c r="DX208">
        <v>100</v>
      </c>
      <c r="DZ208" t="s">
        <v>3</v>
      </c>
      <c r="EA208" t="s">
        <v>3</v>
      </c>
      <c r="EB208" t="s">
        <v>3</v>
      </c>
      <c r="EC208" t="s">
        <v>3</v>
      </c>
      <c r="EE208">
        <v>35525962</v>
      </c>
      <c r="EF208">
        <v>3</v>
      </c>
      <c r="EG208" t="s">
        <v>262</v>
      </c>
      <c r="EH208">
        <v>0</v>
      </c>
      <c r="EI208" t="s">
        <v>3</v>
      </c>
      <c r="EJ208">
        <v>2</v>
      </c>
      <c r="EK208">
        <v>108001</v>
      </c>
      <c r="EL208" t="s">
        <v>263</v>
      </c>
      <c r="EM208" t="s">
        <v>264</v>
      </c>
      <c r="EO208" t="s">
        <v>3</v>
      </c>
      <c r="EQ208">
        <v>0</v>
      </c>
      <c r="ER208">
        <v>465.7</v>
      </c>
      <c r="ES208">
        <v>103.43</v>
      </c>
      <c r="ET208">
        <v>13.78</v>
      </c>
      <c r="EU208">
        <v>0.41</v>
      </c>
      <c r="EV208">
        <v>348.49</v>
      </c>
      <c r="EW208">
        <v>35.130000000000003</v>
      </c>
      <c r="EX208">
        <v>0.03</v>
      </c>
      <c r="EY208">
        <v>0</v>
      </c>
      <c r="FQ208">
        <v>0</v>
      </c>
      <c r="FR208">
        <f t="shared" ref="FR208:FR214" si="228">ROUND(IF(AND(BH208=3,BI208=3),P208,0),2)</f>
        <v>0</v>
      </c>
      <c r="FS208">
        <v>0</v>
      </c>
      <c r="FX208">
        <v>95</v>
      </c>
      <c r="FY208">
        <v>65</v>
      </c>
      <c r="GA208" t="s">
        <v>3</v>
      </c>
      <c r="GD208">
        <v>1</v>
      </c>
      <c r="GF208">
        <v>-111987190</v>
      </c>
      <c r="GG208">
        <v>2</v>
      </c>
      <c r="GH208">
        <v>1</v>
      </c>
      <c r="GI208">
        <v>2</v>
      </c>
      <c r="GJ208">
        <v>0</v>
      </c>
      <c r="GK208">
        <v>0</v>
      </c>
      <c r="GL208">
        <f t="shared" ref="GL208:GL214" si="229">ROUND(IF(AND(BH208=3,BI208=3,FS208&lt;&gt;0),P208,0),2)</f>
        <v>0</v>
      </c>
      <c r="GM208">
        <f t="shared" ref="GM208:GM214" si="230">ROUND(O208+X208+Y208,2)+GX208</f>
        <v>303.86</v>
      </c>
      <c r="GN208">
        <f t="shared" ref="GN208:GN214" si="231">IF(OR(BI208=0,BI208=1),ROUND(O208+X208+Y208,2),0)</f>
        <v>0</v>
      </c>
      <c r="GO208">
        <f t="shared" ref="GO208:GO214" si="232">IF(BI208=2,ROUND(O208+X208+Y208,2),0)</f>
        <v>303.86</v>
      </c>
      <c r="GP208">
        <f t="shared" ref="GP208:GP214" si="233">IF(BI208=4,ROUND(O208+X208+Y208,2)+GX208,0)</f>
        <v>0</v>
      </c>
      <c r="GR208">
        <v>0</v>
      </c>
      <c r="GS208">
        <v>3</v>
      </c>
      <c r="GT208">
        <v>0</v>
      </c>
      <c r="GU208" t="s">
        <v>3</v>
      </c>
      <c r="GV208">
        <f t="shared" ref="GV208:GV214" si="234">ROUND((GT208),6)</f>
        <v>0</v>
      </c>
      <c r="GW208">
        <v>1</v>
      </c>
      <c r="GX208">
        <f t="shared" ref="GX208:GX214" si="235">ROUND(HC208*I208,2)</f>
        <v>0</v>
      </c>
      <c r="HA208">
        <v>0</v>
      </c>
      <c r="HB208">
        <v>0</v>
      </c>
      <c r="HC208">
        <f t="shared" ref="HC208:HC214" si="236">GV208*GW208</f>
        <v>0</v>
      </c>
      <c r="HE208" t="s">
        <v>3</v>
      </c>
      <c r="HF208" t="s">
        <v>3</v>
      </c>
      <c r="IK208">
        <v>0</v>
      </c>
    </row>
    <row r="209" spans="1:245">
      <c r="A209">
        <v>17</v>
      </c>
      <c r="B209">
        <v>1</v>
      </c>
      <c r="C209">
        <f>ROW(SmtRes!A153)</f>
        <v>153</v>
      </c>
      <c r="D209">
        <f>ROW(EtalonRes!A152)</f>
        <v>152</v>
      </c>
      <c r="E209" t="s">
        <v>212</v>
      </c>
      <c r="F209" t="s">
        <v>265</v>
      </c>
      <c r="G209" t="s">
        <v>266</v>
      </c>
      <c r="H209" t="s">
        <v>53</v>
      </c>
      <c r="I209">
        <f>ROUND(4/100,9)</f>
        <v>0.04</v>
      </c>
      <c r="J209">
        <v>0</v>
      </c>
      <c r="O209">
        <f t="shared" si="204"/>
        <v>470.18</v>
      </c>
      <c r="P209">
        <f t="shared" si="205"/>
        <v>13.66</v>
      </c>
      <c r="Q209">
        <f t="shared" si="206"/>
        <v>3.29</v>
      </c>
      <c r="R209">
        <f t="shared" si="207"/>
        <v>0.54</v>
      </c>
      <c r="S209">
        <f t="shared" si="208"/>
        <v>453.23</v>
      </c>
      <c r="T209">
        <f t="shared" si="209"/>
        <v>0</v>
      </c>
      <c r="U209">
        <f t="shared" si="210"/>
        <v>1.3824000000000001</v>
      </c>
      <c r="V209">
        <f t="shared" si="211"/>
        <v>1.1999999999999999E-3</v>
      </c>
      <c r="W209">
        <f t="shared" si="212"/>
        <v>0</v>
      </c>
      <c r="X209">
        <f t="shared" si="213"/>
        <v>431.08</v>
      </c>
      <c r="Y209">
        <f t="shared" si="213"/>
        <v>294.95</v>
      </c>
      <c r="AA209">
        <v>35841400</v>
      </c>
      <c r="AB209">
        <f t="shared" si="214"/>
        <v>463.3</v>
      </c>
      <c r="AC209">
        <f t="shared" si="215"/>
        <v>106.68</v>
      </c>
      <c r="AD209">
        <f>ROUND((((ET209)-(EU209))+AE209),6)</f>
        <v>13.78</v>
      </c>
      <c r="AE209">
        <f t="shared" si="216"/>
        <v>0.41</v>
      </c>
      <c r="AF209">
        <f t="shared" si="216"/>
        <v>342.84</v>
      </c>
      <c r="AG209">
        <f t="shared" si="217"/>
        <v>0</v>
      </c>
      <c r="AH209">
        <f t="shared" si="218"/>
        <v>34.56</v>
      </c>
      <c r="AI209">
        <f t="shared" si="218"/>
        <v>0.03</v>
      </c>
      <c r="AJ209">
        <f t="shared" si="219"/>
        <v>0</v>
      </c>
      <c r="AK209">
        <v>463.3</v>
      </c>
      <c r="AL209">
        <v>106.68</v>
      </c>
      <c r="AM209">
        <v>13.78</v>
      </c>
      <c r="AN209">
        <v>0.41</v>
      </c>
      <c r="AO209">
        <v>342.84</v>
      </c>
      <c r="AP209">
        <v>0</v>
      </c>
      <c r="AQ209">
        <v>34.56</v>
      </c>
      <c r="AR209">
        <v>0.03</v>
      </c>
      <c r="AS209">
        <v>0</v>
      </c>
      <c r="AT209">
        <v>95</v>
      </c>
      <c r="AU209">
        <v>65</v>
      </c>
      <c r="AV209">
        <v>1</v>
      </c>
      <c r="AW209">
        <v>1</v>
      </c>
      <c r="AZ209">
        <v>1</v>
      </c>
      <c r="BA209">
        <v>33.049999999999997</v>
      </c>
      <c r="BB209">
        <v>5.96</v>
      </c>
      <c r="BC209">
        <v>3.2</v>
      </c>
      <c r="BD209" t="s">
        <v>3</v>
      </c>
      <c r="BE209" t="s">
        <v>3</v>
      </c>
      <c r="BF209" t="s">
        <v>3</v>
      </c>
      <c r="BG209" t="s">
        <v>3</v>
      </c>
      <c r="BH209">
        <v>0</v>
      </c>
      <c r="BI209">
        <v>2</v>
      </c>
      <c r="BJ209" t="s">
        <v>267</v>
      </c>
      <c r="BM209">
        <v>108001</v>
      </c>
      <c r="BN209">
        <v>0</v>
      </c>
      <c r="BO209" t="s">
        <v>265</v>
      </c>
      <c r="BP209">
        <v>1</v>
      </c>
      <c r="BQ209">
        <v>3</v>
      </c>
      <c r="BR209">
        <v>0</v>
      </c>
      <c r="BS209">
        <v>33.049999999999997</v>
      </c>
      <c r="BT209">
        <v>1</v>
      </c>
      <c r="BU209">
        <v>1</v>
      </c>
      <c r="BV209">
        <v>1</v>
      </c>
      <c r="BW209">
        <v>1</v>
      </c>
      <c r="BX209">
        <v>1</v>
      </c>
      <c r="BY209" t="s">
        <v>3</v>
      </c>
      <c r="BZ209">
        <v>95</v>
      </c>
      <c r="CA209">
        <v>65</v>
      </c>
      <c r="CE209">
        <v>0</v>
      </c>
      <c r="CF209">
        <v>0</v>
      </c>
      <c r="CG209">
        <v>0</v>
      </c>
      <c r="CM209">
        <v>0</v>
      </c>
      <c r="CN209" t="s">
        <v>3</v>
      </c>
      <c r="CO209">
        <v>0</v>
      </c>
      <c r="CP209">
        <f t="shared" si="220"/>
        <v>470.18</v>
      </c>
      <c r="CQ209">
        <f t="shared" si="221"/>
        <v>341.37600000000003</v>
      </c>
      <c r="CR209">
        <f t="shared" si="222"/>
        <v>82.128799999999998</v>
      </c>
      <c r="CS209">
        <f t="shared" si="223"/>
        <v>13.550499999999998</v>
      </c>
      <c r="CT209">
        <f t="shared" si="224"/>
        <v>11330.861999999997</v>
      </c>
      <c r="CU209">
        <f t="shared" si="225"/>
        <v>0</v>
      </c>
      <c r="CV209">
        <f t="shared" si="225"/>
        <v>34.56</v>
      </c>
      <c r="CW209">
        <f t="shared" si="225"/>
        <v>0.03</v>
      </c>
      <c r="CX209">
        <f t="shared" si="225"/>
        <v>0</v>
      </c>
      <c r="CY209">
        <f t="shared" si="226"/>
        <v>431.08150000000001</v>
      </c>
      <c r="CZ209">
        <f t="shared" si="227"/>
        <v>294.95050000000003</v>
      </c>
      <c r="DC209" t="s">
        <v>3</v>
      </c>
      <c r="DD209" t="s">
        <v>3</v>
      </c>
      <c r="DE209" t="s">
        <v>3</v>
      </c>
      <c r="DF209" t="s">
        <v>3</v>
      </c>
      <c r="DG209" t="s">
        <v>3</v>
      </c>
      <c r="DH209" t="s">
        <v>3</v>
      </c>
      <c r="DI209" t="s">
        <v>3</v>
      </c>
      <c r="DJ209" t="s">
        <v>3</v>
      </c>
      <c r="DK209" t="s">
        <v>3</v>
      </c>
      <c r="DL209" t="s">
        <v>3</v>
      </c>
      <c r="DM209" t="s">
        <v>3</v>
      </c>
      <c r="DN209">
        <v>0</v>
      </c>
      <c r="DO209">
        <v>0</v>
      </c>
      <c r="DP209">
        <v>1</v>
      </c>
      <c r="DQ209">
        <v>1</v>
      </c>
      <c r="DU209">
        <v>1010</v>
      </c>
      <c r="DV209" t="s">
        <v>53</v>
      </c>
      <c r="DW209" t="s">
        <v>53</v>
      </c>
      <c r="DX209">
        <v>100</v>
      </c>
      <c r="DZ209" t="s">
        <v>3</v>
      </c>
      <c r="EA209" t="s">
        <v>3</v>
      </c>
      <c r="EB209" t="s">
        <v>3</v>
      </c>
      <c r="EC209" t="s">
        <v>3</v>
      </c>
      <c r="EE209">
        <v>35525962</v>
      </c>
      <c r="EF209">
        <v>3</v>
      </c>
      <c r="EG209" t="s">
        <v>262</v>
      </c>
      <c r="EH209">
        <v>0</v>
      </c>
      <c r="EI209" t="s">
        <v>3</v>
      </c>
      <c r="EJ209">
        <v>2</v>
      </c>
      <c r="EK209">
        <v>108001</v>
      </c>
      <c r="EL209" t="s">
        <v>263</v>
      </c>
      <c r="EM209" t="s">
        <v>264</v>
      </c>
      <c r="EO209" t="s">
        <v>3</v>
      </c>
      <c r="EQ209">
        <v>0</v>
      </c>
      <c r="ER209">
        <v>463.3</v>
      </c>
      <c r="ES209">
        <v>106.68</v>
      </c>
      <c r="ET209">
        <v>13.78</v>
      </c>
      <c r="EU209">
        <v>0.41</v>
      </c>
      <c r="EV209">
        <v>342.84</v>
      </c>
      <c r="EW209">
        <v>34.56</v>
      </c>
      <c r="EX209">
        <v>0.03</v>
      </c>
      <c r="EY209">
        <v>0</v>
      </c>
      <c r="FQ209">
        <v>0</v>
      </c>
      <c r="FR209">
        <f t="shared" si="228"/>
        <v>0</v>
      </c>
      <c r="FS209">
        <v>0</v>
      </c>
      <c r="FX209">
        <v>95</v>
      </c>
      <c r="FY209">
        <v>65</v>
      </c>
      <c r="GA209" t="s">
        <v>3</v>
      </c>
      <c r="GD209">
        <v>1</v>
      </c>
      <c r="GF209">
        <v>594613085</v>
      </c>
      <c r="GG209">
        <v>2</v>
      </c>
      <c r="GH209">
        <v>1</v>
      </c>
      <c r="GI209">
        <v>2</v>
      </c>
      <c r="GJ209">
        <v>0</v>
      </c>
      <c r="GK209">
        <v>0</v>
      </c>
      <c r="GL209">
        <f t="shared" si="229"/>
        <v>0</v>
      </c>
      <c r="GM209">
        <f t="shared" si="230"/>
        <v>1196.21</v>
      </c>
      <c r="GN209">
        <f t="shared" si="231"/>
        <v>0</v>
      </c>
      <c r="GO209">
        <f t="shared" si="232"/>
        <v>1196.21</v>
      </c>
      <c r="GP209">
        <f t="shared" si="233"/>
        <v>0</v>
      </c>
      <c r="GR209">
        <v>0</v>
      </c>
      <c r="GS209">
        <v>3</v>
      </c>
      <c r="GT209">
        <v>0</v>
      </c>
      <c r="GU209" t="s">
        <v>3</v>
      </c>
      <c r="GV209">
        <f t="shared" si="234"/>
        <v>0</v>
      </c>
      <c r="GW209">
        <v>1</v>
      </c>
      <c r="GX209">
        <f t="shared" si="235"/>
        <v>0</v>
      </c>
      <c r="HA209">
        <v>0</v>
      </c>
      <c r="HB209">
        <v>0</v>
      </c>
      <c r="HC209">
        <f t="shared" si="236"/>
        <v>0</v>
      </c>
      <c r="HE209" t="s">
        <v>3</v>
      </c>
      <c r="HF209" t="s">
        <v>3</v>
      </c>
      <c r="IK209">
        <v>0</v>
      </c>
    </row>
    <row r="210" spans="1:245">
      <c r="A210">
        <v>17</v>
      </c>
      <c r="B210">
        <v>1</v>
      </c>
      <c r="E210" t="s">
        <v>39</v>
      </c>
      <c r="F210" t="s">
        <v>268</v>
      </c>
      <c r="G210" t="s">
        <v>269</v>
      </c>
      <c r="H210" t="s">
        <v>270</v>
      </c>
      <c r="I210">
        <f>ROUND(100/1000,9)</f>
        <v>0.1</v>
      </c>
      <c r="J210">
        <v>0</v>
      </c>
      <c r="O210">
        <f t="shared" si="204"/>
        <v>3320.34</v>
      </c>
      <c r="P210">
        <f t="shared" si="205"/>
        <v>3320.34</v>
      </c>
      <c r="Q210">
        <f t="shared" si="206"/>
        <v>0</v>
      </c>
      <c r="R210">
        <f t="shared" si="207"/>
        <v>0</v>
      </c>
      <c r="S210">
        <f t="shared" si="208"/>
        <v>0</v>
      </c>
      <c r="T210">
        <f t="shared" si="209"/>
        <v>0</v>
      </c>
      <c r="U210">
        <f t="shared" si="210"/>
        <v>0</v>
      </c>
      <c r="V210">
        <f t="shared" si="211"/>
        <v>0</v>
      </c>
      <c r="W210">
        <f t="shared" si="212"/>
        <v>8.32</v>
      </c>
      <c r="X210">
        <f t="shared" si="213"/>
        <v>0</v>
      </c>
      <c r="Y210">
        <f t="shared" si="213"/>
        <v>0</v>
      </c>
      <c r="AA210">
        <v>35841400</v>
      </c>
      <c r="AB210">
        <f t="shared" si="214"/>
        <v>4329</v>
      </c>
      <c r="AC210">
        <f t="shared" si="215"/>
        <v>4329</v>
      </c>
      <c r="AD210">
        <f>ROUND((((ET210)-(EU210))+AE210),6)</f>
        <v>0</v>
      </c>
      <c r="AE210">
        <f t="shared" si="216"/>
        <v>0</v>
      </c>
      <c r="AF210">
        <f t="shared" si="216"/>
        <v>0</v>
      </c>
      <c r="AG210">
        <f t="shared" si="217"/>
        <v>0</v>
      </c>
      <c r="AH210">
        <f t="shared" si="218"/>
        <v>0</v>
      </c>
      <c r="AI210">
        <f t="shared" si="218"/>
        <v>0</v>
      </c>
      <c r="AJ210">
        <f t="shared" si="219"/>
        <v>83.22</v>
      </c>
      <c r="AK210">
        <v>4329</v>
      </c>
      <c r="AL210">
        <v>4329</v>
      </c>
      <c r="AM210">
        <v>0</v>
      </c>
      <c r="AN210">
        <v>0</v>
      </c>
      <c r="AO210">
        <v>0</v>
      </c>
      <c r="AP210">
        <v>0</v>
      </c>
      <c r="AQ210">
        <v>0</v>
      </c>
      <c r="AR210">
        <v>0</v>
      </c>
      <c r="AS210">
        <v>83.22</v>
      </c>
      <c r="AT210">
        <v>0</v>
      </c>
      <c r="AU210">
        <v>0</v>
      </c>
      <c r="AV210">
        <v>1</v>
      </c>
      <c r="AW210">
        <v>1</v>
      </c>
      <c r="AZ210">
        <v>1</v>
      </c>
      <c r="BA210">
        <v>1</v>
      </c>
      <c r="BB210">
        <v>1</v>
      </c>
      <c r="BC210">
        <v>7.67</v>
      </c>
      <c r="BD210" t="s">
        <v>3</v>
      </c>
      <c r="BE210" t="s">
        <v>3</v>
      </c>
      <c r="BF210" t="s">
        <v>3</v>
      </c>
      <c r="BG210" t="s">
        <v>3</v>
      </c>
      <c r="BH210">
        <v>3</v>
      </c>
      <c r="BI210">
        <v>2</v>
      </c>
      <c r="BJ210" t="s">
        <v>271</v>
      </c>
      <c r="BM210">
        <v>500002</v>
      </c>
      <c r="BN210">
        <v>0</v>
      </c>
      <c r="BO210" t="s">
        <v>268</v>
      </c>
      <c r="BP210">
        <v>1</v>
      </c>
      <c r="BQ210">
        <v>12</v>
      </c>
      <c r="BR210">
        <v>0</v>
      </c>
      <c r="BS210">
        <v>1</v>
      </c>
      <c r="BT210">
        <v>1</v>
      </c>
      <c r="BU210">
        <v>1</v>
      </c>
      <c r="BV210">
        <v>1</v>
      </c>
      <c r="BW210">
        <v>1</v>
      </c>
      <c r="BX210">
        <v>1</v>
      </c>
      <c r="BY210" t="s">
        <v>3</v>
      </c>
      <c r="BZ210">
        <v>0</v>
      </c>
      <c r="CA210">
        <v>0</v>
      </c>
      <c r="CE210">
        <v>0</v>
      </c>
      <c r="CF210">
        <v>0</v>
      </c>
      <c r="CG210">
        <v>0</v>
      </c>
      <c r="CM210">
        <v>0</v>
      </c>
      <c r="CN210" t="s">
        <v>3</v>
      </c>
      <c r="CO210">
        <v>0</v>
      </c>
      <c r="CP210">
        <f t="shared" si="220"/>
        <v>3320.34</v>
      </c>
      <c r="CQ210">
        <f t="shared" si="221"/>
        <v>33203.43</v>
      </c>
      <c r="CR210">
        <f t="shared" si="222"/>
        <v>0</v>
      </c>
      <c r="CS210">
        <f t="shared" si="223"/>
        <v>0</v>
      </c>
      <c r="CT210">
        <f t="shared" si="224"/>
        <v>0</v>
      </c>
      <c r="CU210">
        <f t="shared" si="225"/>
        <v>0</v>
      </c>
      <c r="CV210">
        <f t="shared" si="225"/>
        <v>0</v>
      </c>
      <c r="CW210">
        <f t="shared" si="225"/>
        <v>0</v>
      </c>
      <c r="CX210">
        <f t="shared" si="225"/>
        <v>83.22</v>
      </c>
      <c r="CY210">
        <f t="shared" si="226"/>
        <v>0</v>
      </c>
      <c r="CZ210">
        <f t="shared" si="227"/>
        <v>0</v>
      </c>
      <c r="DC210" t="s">
        <v>3</v>
      </c>
      <c r="DD210" t="s">
        <v>3</v>
      </c>
      <c r="DE210" t="s">
        <v>3</v>
      </c>
      <c r="DF210" t="s">
        <v>3</v>
      </c>
      <c r="DG210" t="s">
        <v>3</v>
      </c>
      <c r="DH210" t="s">
        <v>3</v>
      </c>
      <c r="DI210" t="s">
        <v>3</v>
      </c>
      <c r="DJ210" t="s">
        <v>3</v>
      </c>
      <c r="DK210" t="s">
        <v>3</v>
      </c>
      <c r="DL210" t="s">
        <v>3</v>
      </c>
      <c r="DM210" t="s">
        <v>3</v>
      </c>
      <c r="DN210">
        <v>0</v>
      </c>
      <c r="DO210">
        <v>0</v>
      </c>
      <c r="DP210">
        <v>1</v>
      </c>
      <c r="DQ210">
        <v>1</v>
      </c>
      <c r="DU210">
        <v>1013</v>
      </c>
      <c r="DV210" t="s">
        <v>270</v>
      </c>
      <c r="DW210" t="s">
        <v>272</v>
      </c>
      <c r="DX210">
        <v>1</v>
      </c>
      <c r="DZ210" t="s">
        <v>3</v>
      </c>
      <c r="EA210" t="s">
        <v>3</v>
      </c>
      <c r="EB210" t="s">
        <v>3</v>
      </c>
      <c r="EC210" t="s">
        <v>3</v>
      </c>
      <c r="EE210">
        <v>35526013</v>
      </c>
      <c r="EF210">
        <v>12</v>
      </c>
      <c r="EG210" t="s">
        <v>273</v>
      </c>
      <c r="EH210">
        <v>0</v>
      </c>
      <c r="EI210" t="s">
        <v>3</v>
      </c>
      <c r="EJ210">
        <v>2</v>
      </c>
      <c r="EK210">
        <v>500002</v>
      </c>
      <c r="EL210" t="s">
        <v>274</v>
      </c>
      <c r="EM210" t="s">
        <v>275</v>
      </c>
      <c r="EO210" t="s">
        <v>3</v>
      </c>
      <c r="EQ210">
        <v>0</v>
      </c>
      <c r="ER210">
        <v>4329</v>
      </c>
      <c r="ES210">
        <v>4329</v>
      </c>
      <c r="ET210">
        <v>0</v>
      </c>
      <c r="EU210">
        <v>0</v>
      </c>
      <c r="EV210">
        <v>0</v>
      </c>
      <c r="EW210">
        <v>0</v>
      </c>
      <c r="EX210">
        <v>0</v>
      </c>
      <c r="EY210">
        <v>0</v>
      </c>
      <c r="FQ210">
        <v>0</v>
      </c>
      <c r="FR210">
        <f t="shared" si="228"/>
        <v>0</v>
      </c>
      <c r="FS210">
        <v>0</v>
      </c>
      <c r="FX210">
        <v>0</v>
      </c>
      <c r="FY210">
        <v>0</v>
      </c>
      <c r="GA210" t="s">
        <v>3</v>
      </c>
      <c r="GD210">
        <v>1</v>
      </c>
      <c r="GF210">
        <v>-598142414</v>
      </c>
      <c r="GG210">
        <v>2</v>
      </c>
      <c r="GH210">
        <v>1</v>
      </c>
      <c r="GI210">
        <v>2</v>
      </c>
      <c r="GJ210">
        <v>0</v>
      </c>
      <c r="GK210">
        <v>0</v>
      </c>
      <c r="GL210">
        <f t="shared" si="229"/>
        <v>0</v>
      </c>
      <c r="GM210">
        <f t="shared" si="230"/>
        <v>3320.34</v>
      </c>
      <c r="GN210">
        <f t="shared" si="231"/>
        <v>0</v>
      </c>
      <c r="GO210">
        <f t="shared" si="232"/>
        <v>3320.34</v>
      </c>
      <c r="GP210">
        <f t="shared" si="233"/>
        <v>0</v>
      </c>
      <c r="GR210">
        <v>0</v>
      </c>
      <c r="GS210">
        <v>3</v>
      </c>
      <c r="GT210">
        <v>0</v>
      </c>
      <c r="GU210" t="s">
        <v>3</v>
      </c>
      <c r="GV210">
        <f t="shared" si="234"/>
        <v>0</v>
      </c>
      <c r="GW210">
        <v>1</v>
      </c>
      <c r="GX210">
        <f t="shared" si="235"/>
        <v>0</v>
      </c>
      <c r="HA210">
        <v>0</v>
      </c>
      <c r="HB210">
        <v>0</v>
      </c>
      <c r="HC210">
        <f t="shared" si="236"/>
        <v>0</v>
      </c>
      <c r="HE210" t="s">
        <v>3</v>
      </c>
      <c r="HF210" t="s">
        <v>3</v>
      </c>
      <c r="IK210">
        <v>0</v>
      </c>
    </row>
    <row r="211" spans="1:245">
      <c r="A211">
        <v>17</v>
      </c>
      <c r="B211">
        <v>1</v>
      </c>
      <c r="C211">
        <f>ROW(SmtRes!A161)</f>
        <v>161</v>
      </c>
      <c r="D211">
        <f>ROW(EtalonRes!A160)</f>
        <v>160</v>
      </c>
      <c r="E211" t="s">
        <v>44</v>
      </c>
      <c r="F211" t="s">
        <v>276</v>
      </c>
      <c r="G211" t="s">
        <v>277</v>
      </c>
      <c r="H211" t="s">
        <v>238</v>
      </c>
      <c r="I211">
        <f>ROUND(100/100,9)</f>
        <v>1</v>
      </c>
      <c r="J211">
        <v>0</v>
      </c>
      <c r="O211">
        <f t="shared" si="204"/>
        <v>5633.58</v>
      </c>
      <c r="P211">
        <f t="shared" si="205"/>
        <v>237.66</v>
      </c>
      <c r="Q211">
        <f t="shared" si="206"/>
        <v>275.81</v>
      </c>
      <c r="R211">
        <f t="shared" si="207"/>
        <v>4.63</v>
      </c>
      <c r="S211">
        <f t="shared" si="208"/>
        <v>5120.1099999999997</v>
      </c>
      <c r="T211">
        <f t="shared" si="209"/>
        <v>0</v>
      </c>
      <c r="U211">
        <f t="shared" si="210"/>
        <v>16.29</v>
      </c>
      <c r="V211">
        <f t="shared" si="211"/>
        <v>0.01</v>
      </c>
      <c r="W211">
        <f t="shared" si="212"/>
        <v>0</v>
      </c>
      <c r="X211">
        <f t="shared" si="213"/>
        <v>4868.5</v>
      </c>
      <c r="Y211">
        <f t="shared" si="213"/>
        <v>3331.08</v>
      </c>
      <c r="AA211">
        <v>35841400</v>
      </c>
      <c r="AB211">
        <f t="shared" si="214"/>
        <v>237.45</v>
      </c>
      <c r="AC211">
        <f t="shared" si="215"/>
        <v>51.33</v>
      </c>
      <c r="AD211">
        <f>ROUND((((ET211)-(EU211))+AE211),6)</f>
        <v>31.2</v>
      </c>
      <c r="AE211">
        <f t="shared" si="216"/>
        <v>0.14000000000000001</v>
      </c>
      <c r="AF211">
        <f t="shared" si="216"/>
        <v>154.91999999999999</v>
      </c>
      <c r="AG211">
        <f t="shared" si="217"/>
        <v>0</v>
      </c>
      <c r="AH211">
        <f t="shared" si="218"/>
        <v>16.29</v>
      </c>
      <c r="AI211">
        <f t="shared" si="218"/>
        <v>0.01</v>
      </c>
      <c r="AJ211">
        <f t="shared" si="219"/>
        <v>0</v>
      </c>
      <c r="AK211">
        <v>237.45</v>
      </c>
      <c r="AL211">
        <v>51.33</v>
      </c>
      <c r="AM211">
        <v>31.2</v>
      </c>
      <c r="AN211">
        <v>0.14000000000000001</v>
      </c>
      <c r="AO211">
        <v>154.91999999999999</v>
      </c>
      <c r="AP211">
        <v>0</v>
      </c>
      <c r="AQ211">
        <v>16.29</v>
      </c>
      <c r="AR211">
        <v>0.01</v>
      </c>
      <c r="AS211">
        <v>0</v>
      </c>
      <c r="AT211">
        <v>95</v>
      </c>
      <c r="AU211">
        <v>65</v>
      </c>
      <c r="AV211">
        <v>1</v>
      </c>
      <c r="AW211">
        <v>1</v>
      </c>
      <c r="AZ211">
        <v>1</v>
      </c>
      <c r="BA211">
        <v>33.049999999999997</v>
      </c>
      <c r="BB211">
        <v>8.84</v>
      </c>
      <c r="BC211">
        <v>4.63</v>
      </c>
      <c r="BD211" t="s">
        <v>3</v>
      </c>
      <c r="BE211" t="s">
        <v>3</v>
      </c>
      <c r="BF211" t="s">
        <v>3</v>
      </c>
      <c r="BG211" t="s">
        <v>3</v>
      </c>
      <c r="BH211">
        <v>0</v>
      </c>
      <c r="BI211">
        <v>2</v>
      </c>
      <c r="BJ211" t="s">
        <v>278</v>
      </c>
      <c r="BM211">
        <v>108001</v>
      </c>
      <c r="BN211">
        <v>0</v>
      </c>
      <c r="BO211" t="s">
        <v>276</v>
      </c>
      <c r="BP211">
        <v>1</v>
      </c>
      <c r="BQ211">
        <v>3</v>
      </c>
      <c r="BR211">
        <v>0</v>
      </c>
      <c r="BS211">
        <v>33.049999999999997</v>
      </c>
      <c r="BT211">
        <v>1</v>
      </c>
      <c r="BU211">
        <v>1</v>
      </c>
      <c r="BV211">
        <v>1</v>
      </c>
      <c r="BW211">
        <v>1</v>
      </c>
      <c r="BX211">
        <v>1</v>
      </c>
      <c r="BY211" t="s">
        <v>3</v>
      </c>
      <c r="BZ211">
        <v>95</v>
      </c>
      <c r="CA211">
        <v>65</v>
      </c>
      <c r="CE211">
        <v>0</v>
      </c>
      <c r="CF211">
        <v>0</v>
      </c>
      <c r="CG211">
        <v>0</v>
      </c>
      <c r="CM211">
        <v>0</v>
      </c>
      <c r="CN211" t="s">
        <v>3</v>
      </c>
      <c r="CO211">
        <v>0</v>
      </c>
      <c r="CP211">
        <f t="shared" si="220"/>
        <v>5633.58</v>
      </c>
      <c r="CQ211">
        <f t="shared" si="221"/>
        <v>237.65789999999998</v>
      </c>
      <c r="CR211">
        <f t="shared" si="222"/>
        <v>275.80799999999999</v>
      </c>
      <c r="CS211">
        <f t="shared" si="223"/>
        <v>4.6269999999999998</v>
      </c>
      <c r="CT211">
        <f t="shared" si="224"/>
        <v>5120.1059999999989</v>
      </c>
      <c r="CU211">
        <f t="shared" si="225"/>
        <v>0</v>
      </c>
      <c r="CV211">
        <f t="shared" si="225"/>
        <v>16.29</v>
      </c>
      <c r="CW211">
        <f t="shared" si="225"/>
        <v>0.01</v>
      </c>
      <c r="CX211">
        <f t="shared" si="225"/>
        <v>0</v>
      </c>
      <c r="CY211">
        <f t="shared" si="226"/>
        <v>4868.5029999999997</v>
      </c>
      <c r="CZ211">
        <f t="shared" si="227"/>
        <v>3331.0809999999997</v>
      </c>
      <c r="DC211" t="s">
        <v>3</v>
      </c>
      <c r="DD211" t="s">
        <v>3</v>
      </c>
      <c r="DE211" t="s">
        <v>3</v>
      </c>
      <c r="DF211" t="s">
        <v>3</v>
      </c>
      <c r="DG211" t="s">
        <v>3</v>
      </c>
      <c r="DH211" t="s">
        <v>3</v>
      </c>
      <c r="DI211" t="s">
        <v>3</v>
      </c>
      <c r="DJ211" t="s">
        <v>3</v>
      </c>
      <c r="DK211" t="s">
        <v>3</v>
      </c>
      <c r="DL211" t="s">
        <v>3</v>
      </c>
      <c r="DM211" t="s">
        <v>3</v>
      </c>
      <c r="DN211">
        <v>0</v>
      </c>
      <c r="DO211">
        <v>0</v>
      </c>
      <c r="DP211">
        <v>1</v>
      </c>
      <c r="DQ211">
        <v>1</v>
      </c>
      <c r="DU211">
        <v>1003</v>
      </c>
      <c r="DV211" t="s">
        <v>238</v>
      </c>
      <c r="DW211" t="s">
        <v>238</v>
      </c>
      <c r="DX211">
        <v>100</v>
      </c>
      <c r="DZ211" t="s">
        <v>3</v>
      </c>
      <c r="EA211" t="s">
        <v>3</v>
      </c>
      <c r="EB211" t="s">
        <v>3</v>
      </c>
      <c r="EC211" t="s">
        <v>3</v>
      </c>
      <c r="EE211">
        <v>35525962</v>
      </c>
      <c r="EF211">
        <v>3</v>
      </c>
      <c r="EG211" t="s">
        <v>262</v>
      </c>
      <c r="EH211">
        <v>0</v>
      </c>
      <c r="EI211" t="s">
        <v>3</v>
      </c>
      <c r="EJ211">
        <v>2</v>
      </c>
      <c r="EK211">
        <v>108001</v>
      </c>
      <c r="EL211" t="s">
        <v>263</v>
      </c>
      <c r="EM211" t="s">
        <v>264</v>
      </c>
      <c r="EO211" t="s">
        <v>3</v>
      </c>
      <c r="EQ211">
        <v>0</v>
      </c>
      <c r="ER211">
        <v>237.45</v>
      </c>
      <c r="ES211">
        <v>51.33</v>
      </c>
      <c r="ET211">
        <v>31.2</v>
      </c>
      <c r="EU211">
        <v>0.14000000000000001</v>
      </c>
      <c r="EV211">
        <v>154.91999999999999</v>
      </c>
      <c r="EW211">
        <v>16.29</v>
      </c>
      <c r="EX211">
        <v>0.01</v>
      </c>
      <c r="EY211">
        <v>0</v>
      </c>
      <c r="FQ211">
        <v>0</v>
      </c>
      <c r="FR211">
        <f t="shared" si="228"/>
        <v>0</v>
      </c>
      <c r="FS211">
        <v>0</v>
      </c>
      <c r="FX211">
        <v>95</v>
      </c>
      <c r="FY211">
        <v>65</v>
      </c>
      <c r="GA211" t="s">
        <v>3</v>
      </c>
      <c r="GD211">
        <v>1</v>
      </c>
      <c r="GF211">
        <v>-1230240878</v>
      </c>
      <c r="GG211">
        <v>2</v>
      </c>
      <c r="GH211">
        <v>1</v>
      </c>
      <c r="GI211">
        <v>2</v>
      </c>
      <c r="GJ211">
        <v>0</v>
      </c>
      <c r="GK211">
        <v>0</v>
      </c>
      <c r="GL211">
        <f t="shared" si="229"/>
        <v>0</v>
      </c>
      <c r="GM211">
        <f t="shared" si="230"/>
        <v>13833.16</v>
      </c>
      <c r="GN211">
        <f t="shared" si="231"/>
        <v>0</v>
      </c>
      <c r="GO211">
        <f t="shared" si="232"/>
        <v>13833.16</v>
      </c>
      <c r="GP211">
        <f t="shared" si="233"/>
        <v>0</v>
      </c>
      <c r="GR211">
        <v>0</v>
      </c>
      <c r="GS211">
        <v>3</v>
      </c>
      <c r="GT211">
        <v>0</v>
      </c>
      <c r="GU211" t="s">
        <v>3</v>
      </c>
      <c r="GV211">
        <f t="shared" si="234"/>
        <v>0</v>
      </c>
      <c r="GW211">
        <v>1</v>
      </c>
      <c r="GX211">
        <f t="shared" si="235"/>
        <v>0</v>
      </c>
      <c r="HA211">
        <v>0</v>
      </c>
      <c r="HB211">
        <v>0</v>
      </c>
      <c r="HC211">
        <f t="shared" si="236"/>
        <v>0</v>
      </c>
      <c r="HE211" t="s">
        <v>3</v>
      </c>
      <c r="HF211" t="s">
        <v>3</v>
      </c>
      <c r="IK211">
        <v>0</v>
      </c>
    </row>
    <row r="212" spans="1:245">
      <c r="A212">
        <v>17</v>
      </c>
      <c r="B212">
        <v>1</v>
      </c>
      <c r="C212">
        <f>ROW(SmtRes!A169)</f>
        <v>169</v>
      </c>
      <c r="D212">
        <f>ROW(EtalonRes!A168)</f>
        <v>168</v>
      </c>
      <c r="E212" t="s">
        <v>156</v>
      </c>
      <c r="F212" t="s">
        <v>279</v>
      </c>
      <c r="G212" t="s">
        <v>280</v>
      </c>
      <c r="H212" t="s">
        <v>238</v>
      </c>
      <c r="I212">
        <f>ROUND(100/100,9)</f>
        <v>1</v>
      </c>
      <c r="J212">
        <v>0</v>
      </c>
      <c r="O212">
        <f t="shared" si="204"/>
        <v>1092.99</v>
      </c>
      <c r="P212">
        <f t="shared" si="205"/>
        <v>64.94</v>
      </c>
      <c r="Q212">
        <f t="shared" si="206"/>
        <v>20.47</v>
      </c>
      <c r="R212">
        <f t="shared" si="207"/>
        <v>4.63</v>
      </c>
      <c r="S212">
        <f t="shared" si="208"/>
        <v>1007.58</v>
      </c>
      <c r="T212">
        <f t="shared" si="209"/>
        <v>0</v>
      </c>
      <c r="U212">
        <f t="shared" si="210"/>
        <v>3.2429999999999994</v>
      </c>
      <c r="V212">
        <f t="shared" si="211"/>
        <v>0.01</v>
      </c>
      <c r="W212">
        <f t="shared" si="212"/>
        <v>0</v>
      </c>
      <c r="X212">
        <f t="shared" si="213"/>
        <v>961.6</v>
      </c>
      <c r="Y212">
        <f t="shared" si="213"/>
        <v>657.94</v>
      </c>
      <c r="AA212">
        <v>35841400</v>
      </c>
      <c r="AB212">
        <f t="shared" si="214"/>
        <v>45.566499999999998</v>
      </c>
      <c r="AC212">
        <f t="shared" si="215"/>
        <v>12.86</v>
      </c>
      <c r="AD212">
        <f>ROUND((((ET212)-(EU212))+AE212),6)</f>
        <v>2.2200000000000002</v>
      </c>
      <c r="AE212">
        <f>ROUND((EU212),6)</f>
        <v>0.14000000000000001</v>
      </c>
      <c r="AF212">
        <f>ROUND(((EV212*1.15)),6)</f>
        <v>30.486499999999999</v>
      </c>
      <c r="AG212">
        <f t="shared" si="217"/>
        <v>0</v>
      </c>
      <c r="AH212">
        <f>((EW212*1.15))</f>
        <v>3.2429999999999994</v>
      </c>
      <c r="AI212">
        <f>(EX212)</f>
        <v>0.01</v>
      </c>
      <c r="AJ212">
        <f t="shared" si="219"/>
        <v>0</v>
      </c>
      <c r="AK212">
        <v>41.59</v>
      </c>
      <c r="AL212">
        <v>12.86</v>
      </c>
      <c r="AM212">
        <v>2.2200000000000002</v>
      </c>
      <c r="AN212">
        <v>0.14000000000000001</v>
      </c>
      <c r="AO212">
        <v>26.51</v>
      </c>
      <c r="AP212">
        <v>0</v>
      </c>
      <c r="AQ212">
        <v>2.82</v>
      </c>
      <c r="AR212">
        <v>0.01</v>
      </c>
      <c r="AS212">
        <v>0</v>
      </c>
      <c r="AT212">
        <v>95</v>
      </c>
      <c r="AU212">
        <v>65</v>
      </c>
      <c r="AV212">
        <v>1</v>
      </c>
      <c r="AW212">
        <v>1</v>
      </c>
      <c r="AZ212">
        <v>1</v>
      </c>
      <c r="BA212">
        <v>33.049999999999997</v>
      </c>
      <c r="BB212">
        <v>9.2200000000000006</v>
      </c>
      <c r="BC212">
        <v>5.05</v>
      </c>
      <c r="BD212" t="s">
        <v>3</v>
      </c>
      <c r="BE212" t="s">
        <v>3</v>
      </c>
      <c r="BF212" t="s">
        <v>3</v>
      </c>
      <c r="BG212" t="s">
        <v>3</v>
      </c>
      <c r="BH212">
        <v>0</v>
      </c>
      <c r="BI212">
        <v>2</v>
      </c>
      <c r="BJ212" t="s">
        <v>281</v>
      </c>
      <c r="BM212">
        <v>108001</v>
      </c>
      <c r="BN212">
        <v>0</v>
      </c>
      <c r="BO212" t="s">
        <v>279</v>
      </c>
      <c r="BP212">
        <v>1</v>
      </c>
      <c r="BQ212">
        <v>3</v>
      </c>
      <c r="BR212">
        <v>0</v>
      </c>
      <c r="BS212">
        <v>33.049999999999997</v>
      </c>
      <c r="BT212">
        <v>1</v>
      </c>
      <c r="BU212">
        <v>1</v>
      </c>
      <c r="BV212">
        <v>1</v>
      </c>
      <c r="BW212">
        <v>1</v>
      </c>
      <c r="BX212">
        <v>1</v>
      </c>
      <c r="BY212" t="s">
        <v>3</v>
      </c>
      <c r="BZ212">
        <v>95</v>
      </c>
      <c r="CA212">
        <v>65</v>
      </c>
      <c r="CE212">
        <v>0</v>
      </c>
      <c r="CF212">
        <v>0</v>
      </c>
      <c r="CG212">
        <v>0</v>
      </c>
      <c r="CM212">
        <v>0</v>
      </c>
      <c r="CN212" t="s">
        <v>633</v>
      </c>
      <c r="CO212">
        <v>0</v>
      </c>
      <c r="CP212">
        <f t="shared" si="220"/>
        <v>1092.99</v>
      </c>
      <c r="CQ212">
        <f t="shared" si="221"/>
        <v>64.942999999999998</v>
      </c>
      <c r="CR212">
        <f t="shared" si="222"/>
        <v>20.468400000000003</v>
      </c>
      <c r="CS212">
        <f t="shared" si="223"/>
        <v>4.6269999999999998</v>
      </c>
      <c r="CT212">
        <f t="shared" si="224"/>
        <v>1007.5788249999999</v>
      </c>
      <c r="CU212">
        <f t="shared" si="225"/>
        <v>0</v>
      </c>
      <c r="CV212">
        <f t="shared" si="225"/>
        <v>3.2429999999999994</v>
      </c>
      <c r="CW212">
        <f t="shared" si="225"/>
        <v>0.01</v>
      </c>
      <c r="CX212">
        <f t="shared" si="225"/>
        <v>0</v>
      </c>
      <c r="CY212">
        <f t="shared" si="226"/>
        <v>961.59949999999992</v>
      </c>
      <c r="CZ212">
        <f t="shared" si="227"/>
        <v>657.93650000000014</v>
      </c>
      <c r="DC212" t="s">
        <v>3</v>
      </c>
      <c r="DD212" t="s">
        <v>3</v>
      </c>
      <c r="DE212" t="s">
        <v>3</v>
      </c>
      <c r="DF212" t="s">
        <v>3</v>
      </c>
      <c r="DG212" t="s">
        <v>147</v>
      </c>
      <c r="DH212" t="s">
        <v>3</v>
      </c>
      <c r="DI212" t="s">
        <v>147</v>
      </c>
      <c r="DJ212" t="s">
        <v>3</v>
      </c>
      <c r="DK212" t="s">
        <v>3</v>
      </c>
      <c r="DL212" t="s">
        <v>3</v>
      </c>
      <c r="DM212" t="s">
        <v>3</v>
      </c>
      <c r="DN212">
        <v>0</v>
      </c>
      <c r="DO212">
        <v>0</v>
      </c>
      <c r="DP212">
        <v>1</v>
      </c>
      <c r="DQ212">
        <v>1</v>
      </c>
      <c r="DU212">
        <v>1003</v>
      </c>
      <c r="DV212" t="s">
        <v>238</v>
      </c>
      <c r="DW212" t="s">
        <v>238</v>
      </c>
      <c r="DX212">
        <v>100</v>
      </c>
      <c r="DZ212" t="s">
        <v>3</v>
      </c>
      <c r="EA212" t="s">
        <v>3</v>
      </c>
      <c r="EB212" t="s">
        <v>3</v>
      </c>
      <c r="EC212" t="s">
        <v>3</v>
      </c>
      <c r="EE212">
        <v>35525962</v>
      </c>
      <c r="EF212">
        <v>3</v>
      </c>
      <c r="EG212" t="s">
        <v>262</v>
      </c>
      <c r="EH212">
        <v>0</v>
      </c>
      <c r="EI212" t="s">
        <v>3</v>
      </c>
      <c r="EJ212">
        <v>2</v>
      </c>
      <c r="EK212">
        <v>108001</v>
      </c>
      <c r="EL212" t="s">
        <v>263</v>
      </c>
      <c r="EM212" t="s">
        <v>264</v>
      </c>
      <c r="EO212" t="s">
        <v>282</v>
      </c>
      <c r="EQ212">
        <v>0</v>
      </c>
      <c r="ER212">
        <v>41.59</v>
      </c>
      <c r="ES212">
        <v>12.86</v>
      </c>
      <c r="ET212">
        <v>2.2200000000000002</v>
      </c>
      <c r="EU212">
        <v>0.14000000000000001</v>
      </c>
      <c r="EV212">
        <v>26.51</v>
      </c>
      <c r="EW212">
        <v>2.82</v>
      </c>
      <c r="EX212">
        <v>0.01</v>
      </c>
      <c r="EY212">
        <v>0</v>
      </c>
      <c r="FQ212">
        <v>0</v>
      </c>
      <c r="FR212">
        <f t="shared" si="228"/>
        <v>0</v>
      </c>
      <c r="FS212">
        <v>0</v>
      </c>
      <c r="FX212">
        <v>95</v>
      </c>
      <c r="FY212">
        <v>65</v>
      </c>
      <c r="GA212" t="s">
        <v>3</v>
      </c>
      <c r="GD212">
        <v>1</v>
      </c>
      <c r="GF212">
        <v>-2116820881</v>
      </c>
      <c r="GG212">
        <v>2</v>
      </c>
      <c r="GH212">
        <v>1</v>
      </c>
      <c r="GI212">
        <v>2</v>
      </c>
      <c r="GJ212">
        <v>0</v>
      </c>
      <c r="GK212">
        <v>0</v>
      </c>
      <c r="GL212">
        <f t="shared" si="229"/>
        <v>0</v>
      </c>
      <c r="GM212">
        <f t="shared" si="230"/>
        <v>2712.53</v>
      </c>
      <c r="GN212">
        <f t="shared" si="231"/>
        <v>0</v>
      </c>
      <c r="GO212">
        <f t="shared" si="232"/>
        <v>2712.53</v>
      </c>
      <c r="GP212">
        <f t="shared" si="233"/>
        <v>0</v>
      </c>
      <c r="GR212">
        <v>0</v>
      </c>
      <c r="GS212">
        <v>3</v>
      </c>
      <c r="GT212">
        <v>0</v>
      </c>
      <c r="GU212" t="s">
        <v>3</v>
      </c>
      <c r="GV212">
        <f t="shared" si="234"/>
        <v>0</v>
      </c>
      <c r="GW212">
        <v>1</v>
      </c>
      <c r="GX212">
        <f t="shared" si="235"/>
        <v>0</v>
      </c>
      <c r="HA212">
        <v>0</v>
      </c>
      <c r="HB212">
        <v>0</v>
      </c>
      <c r="HC212">
        <f t="shared" si="236"/>
        <v>0</v>
      </c>
      <c r="HE212" t="s">
        <v>3</v>
      </c>
      <c r="HF212" t="s">
        <v>3</v>
      </c>
      <c r="IK212">
        <v>0</v>
      </c>
    </row>
    <row r="213" spans="1:245">
      <c r="A213">
        <v>17</v>
      </c>
      <c r="B213">
        <v>1</v>
      </c>
      <c r="E213" t="s">
        <v>57</v>
      </c>
      <c r="F213" t="s">
        <v>283</v>
      </c>
      <c r="G213" t="s">
        <v>284</v>
      </c>
      <c r="H213" t="s">
        <v>285</v>
      </c>
      <c r="I213">
        <v>1.5</v>
      </c>
      <c r="J213">
        <v>0</v>
      </c>
      <c r="O213">
        <f t="shared" si="204"/>
        <v>930.3</v>
      </c>
      <c r="P213">
        <f t="shared" si="205"/>
        <v>0</v>
      </c>
      <c r="Q213">
        <f t="shared" si="206"/>
        <v>930.3</v>
      </c>
      <c r="R213">
        <f t="shared" si="207"/>
        <v>0</v>
      </c>
      <c r="S213">
        <f t="shared" si="208"/>
        <v>0</v>
      </c>
      <c r="T213">
        <f t="shared" si="209"/>
        <v>0</v>
      </c>
      <c r="U213">
        <f t="shared" si="210"/>
        <v>0</v>
      </c>
      <c r="V213">
        <f t="shared" si="211"/>
        <v>0</v>
      </c>
      <c r="W213">
        <f t="shared" si="212"/>
        <v>0</v>
      </c>
      <c r="X213">
        <f t="shared" si="213"/>
        <v>0</v>
      </c>
      <c r="Y213">
        <f t="shared" si="213"/>
        <v>0</v>
      </c>
      <c r="AA213">
        <v>35841400</v>
      </c>
      <c r="AB213">
        <f t="shared" si="214"/>
        <v>42.98</v>
      </c>
      <c r="AC213">
        <f t="shared" si="215"/>
        <v>0</v>
      </c>
      <c r="AD213">
        <f>ROUND(((ET213)+ROUND(((EU213)*1.6),2)),6)</f>
        <v>42.98</v>
      </c>
      <c r="AE213">
        <f>ROUND(((EU213)+ROUND(((EU213)*1.6),2)),6)</f>
        <v>0</v>
      </c>
      <c r="AF213">
        <f>ROUND(((EV213)+ROUND(((EV213)*1.6),2)),6)</f>
        <v>0</v>
      </c>
      <c r="AG213">
        <f t="shared" si="217"/>
        <v>0</v>
      </c>
      <c r="AH213">
        <f>(EW213)</f>
        <v>0</v>
      </c>
      <c r="AI213">
        <f>(EX213)</f>
        <v>0</v>
      </c>
      <c r="AJ213">
        <f t="shared" si="219"/>
        <v>0</v>
      </c>
      <c r="AK213">
        <v>42.98</v>
      </c>
      <c r="AL213">
        <v>0</v>
      </c>
      <c r="AM213">
        <v>42.98</v>
      </c>
      <c r="AN213">
        <v>0</v>
      </c>
      <c r="AO213">
        <v>0</v>
      </c>
      <c r="AP213">
        <v>0</v>
      </c>
      <c r="AQ213">
        <v>0</v>
      </c>
      <c r="AR213">
        <v>0</v>
      </c>
      <c r="AS213">
        <v>0</v>
      </c>
      <c r="AT213">
        <v>0</v>
      </c>
      <c r="AU213">
        <v>0</v>
      </c>
      <c r="AV213">
        <v>1</v>
      </c>
      <c r="AW213">
        <v>1</v>
      </c>
      <c r="AZ213">
        <v>1</v>
      </c>
      <c r="BA213">
        <v>14.43</v>
      </c>
      <c r="BB213">
        <v>14.43</v>
      </c>
      <c r="BC213">
        <v>1</v>
      </c>
      <c r="BD213" t="s">
        <v>3</v>
      </c>
      <c r="BE213" t="s">
        <v>3</v>
      </c>
      <c r="BF213" t="s">
        <v>3</v>
      </c>
      <c r="BG213" t="s">
        <v>3</v>
      </c>
      <c r="BH213">
        <v>0</v>
      </c>
      <c r="BI213">
        <v>1</v>
      </c>
      <c r="BJ213" t="s">
        <v>286</v>
      </c>
      <c r="BM213">
        <v>700004</v>
      </c>
      <c r="BN213">
        <v>0</v>
      </c>
      <c r="BO213" t="s">
        <v>3</v>
      </c>
      <c r="BP213">
        <v>0</v>
      </c>
      <c r="BQ213">
        <v>19</v>
      </c>
      <c r="BR213">
        <v>0</v>
      </c>
      <c r="BS213">
        <v>14.43</v>
      </c>
      <c r="BT213">
        <v>1</v>
      </c>
      <c r="BU213">
        <v>1</v>
      </c>
      <c r="BV213">
        <v>1</v>
      </c>
      <c r="BW213">
        <v>1</v>
      </c>
      <c r="BX213">
        <v>1</v>
      </c>
      <c r="BY213" t="s">
        <v>3</v>
      </c>
      <c r="BZ213">
        <v>0</v>
      </c>
      <c r="CA213">
        <v>0</v>
      </c>
      <c r="CE213">
        <v>0</v>
      </c>
      <c r="CF213">
        <v>0</v>
      </c>
      <c r="CG213">
        <v>0</v>
      </c>
      <c r="CM213">
        <v>0</v>
      </c>
      <c r="CN213" t="s">
        <v>3</v>
      </c>
      <c r="CO213">
        <v>0</v>
      </c>
      <c r="CP213">
        <f t="shared" si="220"/>
        <v>930.3</v>
      </c>
      <c r="CQ213">
        <f t="shared" si="221"/>
        <v>0</v>
      </c>
      <c r="CR213">
        <f t="shared" si="222"/>
        <v>620.20139999999992</v>
      </c>
      <c r="CS213">
        <f t="shared" si="223"/>
        <v>0</v>
      </c>
      <c r="CT213">
        <f t="shared" si="224"/>
        <v>0</v>
      </c>
      <c r="CU213">
        <f t="shared" si="225"/>
        <v>0</v>
      </c>
      <c r="CV213">
        <f t="shared" si="225"/>
        <v>0</v>
      </c>
      <c r="CW213">
        <f t="shared" si="225"/>
        <v>0</v>
      </c>
      <c r="CX213">
        <f t="shared" si="225"/>
        <v>0</v>
      </c>
      <c r="CY213">
        <f t="shared" si="226"/>
        <v>0</v>
      </c>
      <c r="CZ213">
        <f t="shared" si="227"/>
        <v>0</v>
      </c>
      <c r="DC213" t="s">
        <v>3</v>
      </c>
      <c r="DD213" t="s">
        <v>3</v>
      </c>
      <c r="DE213" t="s">
        <v>3</v>
      </c>
      <c r="DF213" t="s">
        <v>3</v>
      </c>
      <c r="DG213" t="s">
        <v>3</v>
      </c>
      <c r="DH213" t="s">
        <v>3</v>
      </c>
      <c r="DI213" t="s">
        <v>3</v>
      </c>
      <c r="DJ213" t="s">
        <v>3</v>
      </c>
      <c r="DK213" t="s">
        <v>3</v>
      </c>
      <c r="DL213" t="s">
        <v>3</v>
      </c>
      <c r="DM213" t="s">
        <v>3</v>
      </c>
      <c r="DN213">
        <v>0</v>
      </c>
      <c r="DO213">
        <v>0</v>
      </c>
      <c r="DP213">
        <v>1</v>
      </c>
      <c r="DQ213">
        <v>1</v>
      </c>
      <c r="DU213">
        <v>1013</v>
      </c>
      <c r="DV213" t="s">
        <v>285</v>
      </c>
      <c r="DW213" t="s">
        <v>285</v>
      </c>
      <c r="DX213">
        <v>1</v>
      </c>
      <c r="DZ213" t="s">
        <v>3</v>
      </c>
      <c r="EA213" t="s">
        <v>3</v>
      </c>
      <c r="EB213" t="s">
        <v>3</v>
      </c>
      <c r="EC213" t="s">
        <v>3</v>
      </c>
      <c r="EE213">
        <v>35526267</v>
      </c>
      <c r="EF213">
        <v>19</v>
      </c>
      <c r="EG213" t="s">
        <v>287</v>
      </c>
      <c r="EH213">
        <v>0</v>
      </c>
      <c r="EI213" t="s">
        <v>3</v>
      </c>
      <c r="EJ213">
        <v>1</v>
      </c>
      <c r="EK213">
        <v>700004</v>
      </c>
      <c r="EL213" t="s">
        <v>288</v>
      </c>
      <c r="EM213" t="s">
        <v>289</v>
      </c>
      <c r="EO213" t="s">
        <v>3</v>
      </c>
      <c r="EQ213">
        <v>0</v>
      </c>
      <c r="ER213">
        <v>42.98</v>
      </c>
      <c r="ES213">
        <v>0</v>
      </c>
      <c r="ET213">
        <v>42.98</v>
      </c>
      <c r="EU213">
        <v>0</v>
      </c>
      <c r="EV213">
        <v>0</v>
      </c>
      <c r="EW213">
        <v>0</v>
      </c>
      <c r="EX213">
        <v>0</v>
      </c>
      <c r="EY213">
        <v>0</v>
      </c>
      <c r="FQ213">
        <v>0</v>
      </c>
      <c r="FR213">
        <f t="shared" si="228"/>
        <v>0</v>
      </c>
      <c r="FS213">
        <v>0</v>
      </c>
      <c r="FX213">
        <v>0</v>
      </c>
      <c r="FY213">
        <v>0</v>
      </c>
      <c r="GA213" t="s">
        <v>3</v>
      </c>
      <c r="GD213">
        <v>1</v>
      </c>
      <c r="GF213">
        <v>-772656430</v>
      </c>
      <c r="GG213">
        <v>2</v>
      </c>
      <c r="GH213">
        <v>1</v>
      </c>
      <c r="GI213">
        <v>2</v>
      </c>
      <c r="GJ213">
        <v>0</v>
      </c>
      <c r="GK213">
        <v>0</v>
      </c>
      <c r="GL213">
        <f t="shared" si="229"/>
        <v>0</v>
      </c>
      <c r="GM213">
        <f t="shared" si="230"/>
        <v>930.3</v>
      </c>
      <c r="GN213">
        <f t="shared" si="231"/>
        <v>930.3</v>
      </c>
      <c r="GO213">
        <f t="shared" si="232"/>
        <v>0</v>
      </c>
      <c r="GP213">
        <f t="shared" si="233"/>
        <v>0</v>
      </c>
      <c r="GR213">
        <v>0</v>
      </c>
      <c r="GS213">
        <v>3</v>
      </c>
      <c r="GT213">
        <v>0</v>
      </c>
      <c r="GU213" t="s">
        <v>3</v>
      </c>
      <c r="GV213">
        <f t="shared" si="234"/>
        <v>0</v>
      </c>
      <c r="GW213">
        <v>1</v>
      </c>
      <c r="GX213">
        <f t="shared" si="235"/>
        <v>0</v>
      </c>
      <c r="HA213">
        <v>0</v>
      </c>
      <c r="HB213">
        <v>0</v>
      </c>
      <c r="HC213">
        <f t="shared" si="236"/>
        <v>0</v>
      </c>
      <c r="HD213">
        <f>GM213</f>
        <v>930.3</v>
      </c>
      <c r="HE213" t="s">
        <v>3</v>
      </c>
      <c r="HF213" t="s">
        <v>3</v>
      </c>
      <c r="IK213">
        <v>0</v>
      </c>
    </row>
    <row r="214" spans="1:245">
      <c r="A214">
        <v>17</v>
      </c>
      <c r="B214">
        <v>1</v>
      </c>
      <c r="E214" t="s">
        <v>166</v>
      </c>
      <c r="F214" t="s">
        <v>290</v>
      </c>
      <c r="G214" t="s">
        <v>291</v>
      </c>
      <c r="H214" t="s">
        <v>285</v>
      </c>
      <c r="I214">
        <v>1.5</v>
      </c>
      <c r="J214">
        <v>0</v>
      </c>
      <c r="O214">
        <f t="shared" si="204"/>
        <v>259.26</v>
      </c>
      <c r="P214">
        <f t="shared" si="205"/>
        <v>0</v>
      </c>
      <c r="Q214">
        <f t="shared" si="206"/>
        <v>259.26</v>
      </c>
      <c r="R214">
        <f t="shared" si="207"/>
        <v>0</v>
      </c>
      <c r="S214">
        <f t="shared" si="208"/>
        <v>0</v>
      </c>
      <c r="T214">
        <f t="shared" si="209"/>
        <v>0</v>
      </c>
      <c r="U214">
        <f t="shared" si="210"/>
        <v>0</v>
      </c>
      <c r="V214">
        <f t="shared" si="211"/>
        <v>0</v>
      </c>
      <c r="W214">
        <f t="shared" si="212"/>
        <v>0</v>
      </c>
      <c r="X214">
        <f t="shared" si="213"/>
        <v>0</v>
      </c>
      <c r="Y214">
        <f t="shared" si="213"/>
        <v>0</v>
      </c>
      <c r="AA214">
        <v>35841400</v>
      </c>
      <c r="AB214">
        <f t="shared" si="214"/>
        <v>19.29</v>
      </c>
      <c r="AC214">
        <f t="shared" si="215"/>
        <v>0</v>
      </c>
      <c r="AD214">
        <f>ROUND(((ET214)+ROUND(((EU214)*1.85),2)),6)</f>
        <v>19.29</v>
      </c>
      <c r="AE214">
        <f>ROUND(((EU214)+ROUND(((EU214)*1.85),2)),6)</f>
        <v>0</v>
      </c>
      <c r="AF214">
        <f>ROUND(((EV214)+ROUND(((EV214)*1.85),2)),6)</f>
        <v>0</v>
      </c>
      <c r="AG214">
        <f t="shared" si="217"/>
        <v>0</v>
      </c>
      <c r="AH214">
        <f>(EW214)</f>
        <v>0</v>
      </c>
      <c r="AI214">
        <f>(EX214)</f>
        <v>0</v>
      </c>
      <c r="AJ214">
        <f t="shared" si="219"/>
        <v>0</v>
      </c>
      <c r="AK214">
        <v>19.29</v>
      </c>
      <c r="AL214">
        <v>0</v>
      </c>
      <c r="AM214">
        <v>19.29</v>
      </c>
      <c r="AN214">
        <v>0</v>
      </c>
      <c r="AO214">
        <v>0</v>
      </c>
      <c r="AP214">
        <v>0</v>
      </c>
      <c r="AQ214">
        <v>0</v>
      </c>
      <c r="AR214">
        <v>0</v>
      </c>
      <c r="AS214">
        <v>0</v>
      </c>
      <c r="AT214">
        <v>0</v>
      </c>
      <c r="AU214">
        <v>0</v>
      </c>
      <c r="AV214">
        <v>1</v>
      </c>
      <c r="AW214">
        <v>1</v>
      </c>
      <c r="AZ214">
        <v>1</v>
      </c>
      <c r="BA214">
        <v>8.9600000000000009</v>
      </c>
      <c r="BB214">
        <v>8.9600000000000009</v>
      </c>
      <c r="BC214">
        <v>1</v>
      </c>
      <c r="BD214" t="s">
        <v>3</v>
      </c>
      <c r="BE214" t="s">
        <v>3</v>
      </c>
      <c r="BF214" t="s">
        <v>3</v>
      </c>
      <c r="BG214" t="s">
        <v>3</v>
      </c>
      <c r="BH214">
        <v>0</v>
      </c>
      <c r="BI214">
        <v>1</v>
      </c>
      <c r="BJ214" t="s">
        <v>292</v>
      </c>
      <c r="BM214">
        <v>700001</v>
      </c>
      <c r="BN214">
        <v>0</v>
      </c>
      <c r="BO214" t="s">
        <v>3</v>
      </c>
      <c r="BP214">
        <v>0</v>
      </c>
      <c r="BQ214">
        <v>10</v>
      </c>
      <c r="BR214">
        <v>0</v>
      </c>
      <c r="BS214">
        <v>8.9600000000000009</v>
      </c>
      <c r="BT214">
        <v>1</v>
      </c>
      <c r="BU214">
        <v>1</v>
      </c>
      <c r="BV214">
        <v>1</v>
      </c>
      <c r="BW214">
        <v>1</v>
      </c>
      <c r="BX214">
        <v>1</v>
      </c>
      <c r="BY214" t="s">
        <v>3</v>
      </c>
      <c r="BZ214">
        <v>0</v>
      </c>
      <c r="CA214">
        <v>0</v>
      </c>
      <c r="CE214">
        <v>0</v>
      </c>
      <c r="CF214">
        <v>0</v>
      </c>
      <c r="CG214">
        <v>0</v>
      </c>
      <c r="CM214">
        <v>0</v>
      </c>
      <c r="CN214" t="s">
        <v>3</v>
      </c>
      <c r="CO214">
        <v>0</v>
      </c>
      <c r="CP214">
        <f t="shared" si="220"/>
        <v>259.26</v>
      </c>
      <c r="CQ214">
        <f t="shared" si="221"/>
        <v>0</v>
      </c>
      <c r="CR214">
        <f t="shared" si="222"/>
        <v>172.83840000000001</v>
      </c>
      <c r="CS214">
        <f t="shared" si="223"/>
        <v>0</v>
      </c>
      <c r="CT214">
        <f t="shared" si="224"/>
        <v>0</v>
      </c>
      <c r="CU214">
        <f t="shared" si="225"/>
        <v>0</v>
      </c>
      <c r="CV214">
        <f t="shared" si="225"/>
        <v>0</v>
      </c>
      <c r="CW214">
        <f t="shared" si="225"/>
        <v>0</v>
      </c>
      <c r="CX214">
        <f t="shared" si="225"/>
        <v>0</v>
      </c>
      <c r="CY214">
        <f t="shared" si="226"/>
        <v>0</v>
      </c>
      <c r="CZ214">
        <f t="shared" si="227"/>
        <v>0</v>
      </c>
      <c r="DC214" t="s">
        <v>3</v>
      </c>
      <c r="DD214" t="s">
        <v>3</v>
      </c>
      <c r="DE214" t="s">
        <v>3</v>
      </c>
      <c r="DF214" t="s">
        <v>3</v>
      </c>
      <c r="DG214" t="s">
        <v>3</v>
      </c>
      <c r="DH214" t="s">
        <v>3</v>
      </c>
      <c r="DI214" t="s">
        <v>3</v>
      </c>
      <c r="DJ214" t="s">
        <v>3</v>
      </c>
      <c r="DK214" t="s">
        <v>3</v>
      </c>
      <c r="DL214" t="s">
        <v>3</v>
      </c>
      <c r="DM214" t="s">
        <v>3</v>
      </c>
      <c r="DN214">
        <v>0</v>
      </c>
      <c r="DO214">
        <v>0</v>
      </c>
      <c r="DP214">
        <v>1</v>
      </c>
      <c r="DQ214">
        <v>1</v>
      </c>
      <c r="DU214">
        <v>1013</v>
      </c>
      <c r="DV214" t="s">
        <v>285</v>
      </c>
      <c r="DW214" t="s">
        <v>285</v>
      </c>
      <c r="DX214">
        <v>1</v>
      </c>
      <c r="DZ214" t="s">
        <v>3</v>
      </c>
      <c r="EA214" t="s">
        <v>3</v>
      </c>
      <c r="EB214" t="s">
        <v>3</v>
      </c>
      <c r="EC214" t="s">
        <v>3</v>
      </c>
      <c r="EE214">
        <v>35526017</v>
      </c>
      <c r="EF214">
        <v>10</v>
      </c>
      <c r="EG214" t="s">
        <v>293</v>
      </c>
      <c r="EH214">
        <v>0</v>
      </c>
      <c r="EI214" t="s">
        <v>3</v>
      </c>
      <c r="EJ214">
        <v>1</v>
      </c>
      <c r="EK214">
        <v>700001</v>
      </c>
      <c r="EL214" t="s">
        <v>294</v>
      </c>
      <c r="EM214" t="s">
        <v>295</v>
      </c>
      <c r="EO214" t="s">
        <v>3</v>
      </c>
      <c r="EQ214">
        <v>0</v>
      </c>
      <c r="ER214">
        <v>19.29</v>
      </c>
      <c r="ES214">
        <v>0</v>
      </c>
      <c r="ET214">
        <v>19.29</v>
      </c>
      <c r="EU214">
        <v>0</v>
      </c>
      <c r="EV214">
        <v>0</v>
      </c>
      <c r="EW214">
        <v>0</v>
      </c>
      <c r="EX214">
        <v>0</v>
      </c>
      <c r="EY214">
        <v>0</v>
      </c>
      <c r="FQ214">
        <v>0</v>
      </c>
      <c r="FR214">
        <f t="shared" si="228"/>
        <v>0</v>
      </c>
      <c r="FS214">
        <v>0</v>
      </c>
      <c r="FX214">
        <v>0</v>
      </c>
      <c r="FY214">
        <v>0</v>
      </c>
      <c r="GA214" t="s">
        <v>3</v>
      </c>
      <c r="GD214">
        <v>1</v>
      </c>
      <c r="GF214">
        <v>-1673735523</v>
      </c>
      <c r="GG214">
        <v>2</v>
      </c>
      <c r="GH214">
        <v>1</v>
      </c>
      <c r="GI214">
        <v>2</v>
      </c>
      <c r="GJ214">
        <v>0</v>
      </c>
      <c r="GK214">
        <v>0</v>
      </c>
      <c r="GL214">
        <f t="shared" si="229"/>
        <v>0</v>
      </c>
      <c r="GM214">
        <f t="shared" si="230"/>
        <v>259.26</v>
      </c>
      <c r="GN214">
        <f t="shared" si="231"/>
        <v>259.26</v>
      </c>
      <c r="GO214">
        <f t="shared" si="232"/>
        <v>0</v>
      </c>
      <c r="GP214">
        <f t="shared" si="233"/>
        <v>0</v>
      </c>
      <c r="GR214">
        <v>0</v>
      </c>
      <c r="GS214">
        <v>3</v>
      </c>
      <c r="GT214">
        <v>0</v>
      </c>
      <c r="GU214" t="s">
        <v>3</v>
      </c>
      <c r="GV214">
        <f t="shared" si="234"/>
        <v>0</v>
      </c>
      <c r="GW214">
        <v>1</v>
      </c>
      <c r="GX214">
        <f t="shared" si="235"/>
        <v>0</v>
      </c>
      <c r="HA214">
        <v>0</v>
      </c>
      <c r="HB214">
        <v>0</v>
      </c>
      <c r="HC214">
        <f t="shared" si="236"/>
        <v>0</v>
      </c>
      <c r="HD214">
        <f>GM214</f>
        <v>259.26</v>
      </c>
      <c r="HE214" t="s">
        <v>3</v>
      </c>
      <c r="HF214" t="s">
        <v>3</v>
      </c>
      <c r="IK214">
        <v>0</v>
      </c>
    </row>
    <row r="216" spans="1:245">
      <c r="A216" s="2">
        <v>51</v>
      </c>
      <c r="B216" s="2">
        <f>B204</f>
        <v>1</v>
      </c>
      <c r="C216" s="2">
        <f>A204</f>
        <v>4</v>
      </c>
      <c r="D216" s="2">
        <f>ROW(A204)</f>
        <v>204</v>
      </c>
      <c r="E216" s="2"/>
      <c r="F216" s="2" t="str">
        <f>IF(F204&lt;&gt;"",F204,"")</f>
        <v>Новый раздел</v>
      </c>
      <c r="G216" s="2" t="str">
        <f>IF(G204&lt;&gt;"",G204,"")</f>
        <v>электромонтажные работы</v>
      </c>
      <c r="H216" s="2">
        <v>0</v>
      </c>
      <c r="I216" s="2"/>
      <c r="J216" s="2"/>
      <c r="K216" s="2"/>
      <c r="L216" s="2"/>
      <c r="M216" s="2"/>
      <c r="N216" s="2"/>
      <c r="O216" s="2">
        <f t="shared" ref="O216:T216" si="237">ROUND(AB216,2)</f>
        <v>11826</v>
      </c>
      <c r="P216" s="2">
        <f t="shared" si="237"/>
        <v>3639.95</v>
      </c>
      <c r="Q216" s="2">
        <f t="shared" si="237"/>
        <v>1489.95</v>
      </c>
      <c r="R216" s="2">
        <f t="shared" si="237"/>
        <v>9.94</v>
      </c>
      <c r="S216" s="2">
        <f t="shared" si="237"/>
        <v>6696.1</v>
      </c>
      <c r="T216" s="2">
        <f t="shared" si="237"/>
        <v>0</v>
      </c>
      <c r="U216" s="2">
        <f>AH216</f>
        <v>21.266699999999997</v>
      </c>
      <c r="V216" s="2">
        <f>AI216</f>
        <v>2.1499999999999998E-2</v>
      </c>
      <c r="W216" s="2">
        <f>ROUND(AJ216,2)</f>
        <v>8.32</v>
      </c>
      <c r="X216" s="2">
        <f>ROUND(AK216,2)</f>
        <v>6370.73</v>
      </c>
      <c r="Y216" s="2">
        <f>ROUND(AL216,2)</f>
        <v>4358.93</v>
      </c>
      <c r="Z216" s="2"/>
      <c r="AA216" s="2"/>
      <c r="AB216" s="2">
        <f>ROUND(SUMIF(AA208:AA214,"=35841400",O208:O214),2)</f>
        <v>11826</v>
      </c>
      <c r="AC216" s="2">
        <f>ROUND(SUMIF(AA208:AA214,"=35841400",P208:P214),2)</f>
        <v>3639.95</v>
      </c>
      <c r="AD216" s="2">
        <f>ROUND(SUMIF(AA208:AA214,"=35841400",Q208:Q214),2)</f>
        <v>1489.95</v>
      </c>
      <c r="AE216" s="2">
        <f>ROUND(SUMIF(AA208:AA214,"=35841400",R208:R214),2)</f>
        <v>9.94</v>
      </c>
      <c r="AF216" s="2">
        <f>ROUND(SUMIF(AA208:AA214,"=35841400",S208:S214),2)</f>
        <v>6696.1</v>
      </c>
      <c r="AG216" s="2">
        <f>ROUND(SUMIF(AA208:AA214,"=35841400",T208:T214),2)</f>
        <v>0</v>
      </c>
      <c r="AH216" s="2">
        <f>SUMIF(AA208:AA214,"=35841400",U208:U214)</f>
        <v>21.266699999999997</v>
      </c>
      <c r="AI216" s="2">
        <f>SUMIF(AA208:AA214,"=35841400",V208:V214)</f>
        <v>2.1499999999999998E-2</v>
      </c>
      <c r="AJ216" s="2">
        <f>ROUND(SUMIF(AA208:AA214,"=35841400",W208:W214),2)</f>
        <v>8.32</v>
      </c>
      <c r="AK216" s="2">
        <f>ROUND(SUMIF(AA208:AA214,"=35841400",X208:X214),2)</f>
        <v>6370.73</v>
      </c>
      <c r="AL216" s="2">
        <f>ROUND(SUMIF(AA208:AA214,"=35841400",Y208:Y214),2)</f>
        <v>4358.93</v>
      </c>
      <c r="AM216" s="2"/>
      <c r="AN216" s="2"/>
      <c r="AO216" s="2">
        <f t="shared" ref="AO216:BD216" si="238">ROUND(BX216,2)</f>
        <v>0</v>
      </c>
      <c r="AP216" s="2">
        <f t="shared" si="238"/>
        <v>0</v>
      </c>
      <c r="AQ216" s="2">
        <f t="shared" si="238"/>
        <v>0</v>
      </c>
      <c r="AR216" s="2">
        <f t="shared" si="238"/>
        <v>22555.66</v>
      </c>
      <c r="AS216" s="2">
        <f t="shared" si="238"/>
        <v>1189.56</v>
      </c>
      <c r="AT216" s="2">
        <f t="shared" si="238"/>
        <v>21366.1</v>
      </c>
      <c r="AU216" s="2">
        <f t="shared" si="238"/>
        <v>0</v>
      </c>
      <c r="AV216" s="2">
        <f t="shared" si="238"/>
        <v>3639.95</v>
      </c>
      <c r="AW216" s="2">
        <f t="shared" si="238"/>
        <v>3639.95</v>
      </c>
      <c r="AX216" s="2">
        <f t="shared" si="238"/>
        <v>0</v>
      </c>
      <c r="AY216" s="2">
        <f t="shared" si="238"/>
        <v>3639.95</v>
      </c>
      <c r="AZ216" s="2">
        <f t="shared" si="238"/>
        <v>0</v>
      </c>
      <c r="BA216" s="2">
        <f t="shared" si="238"/>
        <v>0</v>
      </c>
      <c r="BB216" s="2">
        <f t="shared" si="238"/>
        <v>0</v>
      </c>
      <c r="BC216" s="2">
        <f t="shared" si="238"/>
        <v>0</v>
      </c>
      <c r="BD216" s="2">
        <f t="shared" si="238"/>
        <v>1189.56</v>
      </c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>
        <f>ROUND(SUMIF(AA208:AA214,"=35841400",FQ208:FQ214),2)</f>
        <v>0</v>
      </c>
      <c r="BY216" s="2">
        <f>ROUND(SUMIF(AA208:AA214,"=35841400",FR208:FR214),2)</f>
        <v>0</v>
      </c>
      <c r="BZ216" s="2">
        <f>ROUND(SUMIF(AA208:AA214,"=35841400",GL208:GL214),2)</f>
        <v>0</v>
      </c>
      <c r="CA216" s="2">
        <f>ROUND(SUMIF(AA208:AA214,"=35841400",GM208:GM214),2)</f>
        <v>22555.66</v>
      </c>
      <c r="CB216" s="2">
        <f>ROUND(SUMIF(AA208:AA214,"=35841400",GN208:GN214),2)</f>
        <v>1189.56</v>
      </c>
      <c r="CC216" s="2">
        <f>ROUND(SUMIF(AA208:AA214,"=35841400",GO208:GO214),2)</f>
        <v>21366.1</v>
      </c>
      <c r="CD216" s="2">
        <f>ROUND(SUMIF(AA208:AA214,"=35841400",GP208:GP214),2)</f>
        <v>0</v>
      </c>
      <c r="CE216" s="2">
        <f>AC216-BX216</f>
        <v>3639.95</v>
      </c>
      <c r="CF216" s="2">
        <f>AC216-BY216</f>
        <v>3639.95</v>
      </c>
      <c r="CG216" s="2">
        <f>BX216-BZ216</f>
        <v>0</v>
      </c>
      <c r="CH216" s="2">
        <f>AC216-BX216-BY216+BZ216</f>
        <v>3639.95</v>
      </c>
      <c r="CI216" s="2">
        <f>BY216-BZ216</f>
        <v>0</v>
      </c>
      <c r="CJ216" s="2">
        <f>ROUND(SUMIF(AA208:AA214,"=35841400",GX208:GX214),2)</f>
        <v>0</v>
      </c>
      <c r="CK216" s="2">
        <f>ROUND(SUMIF(AA208:AA214,"=35841400",GY208:GY214),2)</f>
        <v>0</v>
      </c>
      <c r="CL216" s="2">
        <f>ROUND(SUMIF(AA208:AA214,"=35841400",GZ208:GZ214),2)</f>
        <v>0</v>
      </c>
      <c r="CM216" s="2">
        <f>ROUND(SUMIF(AA208:AA214,"=35841400",HD208:HD214),2)</f>
        <v>1189.56</v>
      </c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  <c r="ET216" s="3"/>
      <c r="EU216" s="3"/>
      <c r="EV216" s="3"/>
      <c r="EW216" s="3"/>
      <c r="EX216" s="3"/>
      <c r="EY216" s="3"/>
      <c r="EZ216" s="3"/>
      <c r="FA216" s="3"/>
      <c r="FB216" s="3"/>
      <c r="FC216" s="3"/>
      <c r="FD216" s="3"/>
      <c r="FE216" s="3"/>
      <c r="FF216" s="3"/>
      <c r="FG216" s="3"/>
      <c r="FH216" s="3"/>
      <c r="FI216" s="3"/>
      <c r="FJ216" s="3"/>
      <c r="FK216" s="3"/>
      <c r="FL216" s="3"/>
      <c r="FM216" s="3"/>
      <c r="FN216" s="3"/>
      <c r="FO216" s="3"/>
      <c r="FP216" s="3"/>
      <c r="FQ216" s="3"/>
      <c r="FR216" s="3"/>
      <c r="FS216" s="3"/>
      <c r="FT216" s="3"/>
      <c r="FU216" s="3"/>
      <c r="FV216" s="3"/>
      <c r="FW216" s="3"/>
      <c r="FX216" s="3"/>
      <c r="FY216" s="3"/>
      <c r="FZ216" s="3"/>
      <c r="GA216" s="3"/>
      <c r="GB216" s="3"/>
      <c r="GC216" s="3"/>
      <c r="GD216" s="3"/>
      <c r="GE216" s="3"/>
      <c r="GF216" s="3"/>
      <c r="GG216" s="3"/>
      <c r="GH216" s="3"/>
      <c r="GI216" s="3"/>
      <c r="GJ216" s="3"/>
      <c r="GK216" s="3"/>
      <c r="GL216" s="3"/>
      <c r="GM216" s="3"/>
      <c r="GN216" s="3"/>
      <c r="GO216" s="3"/>
      <c r="GP216" s="3"/>
      <c r="GQ216" s="3"/>
      <c r="GR216" s="3"/>
      <c r="GS216" s="3"/>
      <c r="GT216" s="3"/>
      <c r="GU216" s="3"/>
      <c r="GV216" s="3"/>
      <c r="GW216" s="3"/>
      <c r="GX216" s="3">
        <v>0</v>
      </c>
    </row>
    <row r="218" spans="1:245">
      <c r="A218" s="4">
        <v>50</v>
      </c>
      <c r="B218" s="4">
        <v>0</v>
      </c>
      <c r="C218" s="4">
        <v>0</v>
      </c>
      <c r="D218" s="4">
        <v>1</v>
      </c>
      <c r="E218" s="4">
        <v>201</v>
      </c>
      <c r="F218" s="4">
        <f>ROUND(Source!O216,O218)</f>
        <v>11826</v>
      </c>
      <c r="G218" s="4" t="s">
        <v>66</v>
      </c>
      <c r="H218" s="4" t="s">
        <v>67</v>
      </c>
      <c r="I218" s="4"/>
      <c r="J218" s="4"/>
      <c r="K218" s="4">
        <v>201</v>
      </c>
      <c r="L218" s="4">
        <v>1</v>
      </c>
      <c r="M218" s="4">
        <v>3</v>
      </c>
      <c r="N218" s="4" t="s">
        <v>3</v>
      </c>
      <c r="O218" s="4">
        <v>2</v>
      </c>
      <c r="P218" s="4"/>
      <c r="Q218" s="4"/>
      <c r="R218" s="4"/>
      <c r="S218" s="4"/>
      <c r="T218" s="4"/>
      <c r="U218" s="4"/>
      <c r="V218" s="4"/>
      <c r="W218" s="4"/>
    </row>
    <row r="219" spans="1:245">
      <c r="A219" s="4">
        <v>50</v>
      </c>
      <c r="B219" s="4">
        <v>0</v>
      </c>
      <c r="C219" s="4">
        <v>0</v>
      </c>
      <c r="D219" s="4">
        <v>1</v>
      </c>
      <c r="E219" s="4">
        <v>202</v>
      </c>
      <c r="F219" s="4">
        <f>ROUND(Source!P216,O219)</f>
        <v>3639.95</v>
      </c>
      <c r="G219" s="4" t="s">
        <v>68</v>
      </c>
      <c r="H219" s="4" t="s">
        <v>69</v>
      </c>
      <c r="I219" s="4"/>
      <c r="J219" s="4"/>
      <c r="K219" s="4">
        <v>202</v>
      </c>
      <c r="L219" s="4">
        <v>2</v>
      </c>
      <c r="M219" s="4">
        <v>3</v>
      </c>
      <c r="N219" s="4" t="s">
        <v>3</v>
      </c>
      <c r="O219" s="4">
        <v>2</v>
      </c>
      <c r="P219" s="4"/>
      <c r="Q219" s="4"/>
      <c r="R219" s="4"/>
      <c r="S219" s="4"/>
      <c r="T219" s="4"/>
      <c r="U219" s="4"/>
      <c r="V219" s="4"/>
      <c r="W219" s="4"/>
    </row>
    <row r="220" spans="1:245">
      <c r="A220" s="4">
        <v>50</v>
      </c>
      <c r="B220" s="4">
        <v>0</v>
      </c>
      <c r="C220" s="4">
        <v>0</v>
      </c>
      <c r="D220" s="4">
        <v>1</v>
      </c>
      <c r="E220" s="4">
        <v>222</v>
      </c>
      <c r="F220" s="4">
        <f>ROUND(Source!AO216,O220)</f>
        <v>0</v>
      </c>
      <c r="G220" s="4" t="s">
        <v>70</v>
      </c>
      <c r="H220" s="4" t="s">
        <v>71</v>
      </c>
      <c r="I220" s="4"/>
      <c r="J220" s="4"/>
      <c r="K220" s="4">
        <v>222</v>
      </c>
      <c r="L220" s="4">
        <v>3</v>
      </c>
      <c r="M220" s="4">
        <v>3</v>
      </c>
      <c r="N220" s="4" t="s">
        <v>3</v>
      </c>
      <c r="O220" s="4">
        <v>2</v>
      </c>
      <c r="P220" s="4"/>
      <c r="Q220" s="4"/>
      <c r="R220" s="4"/>
      <c r="S220" s="4"/>
      <c r="T220" s="4"/>
      <c r="U220" s="4"/>
      <c r="V220" s="4"/>
      <c r="W220" s="4"/>
    </row>
    <row r="221" spans="1:245">
      <c r="A221" s="4">
        <v>50</v>
      </c>
      <c r="B221" s="4">
        <v>0</v>
      </c>
      <c r="C221" s="4">
        <v>0</v>
      </c>
      <c r="D221" s="4">
        <v>1</v>
      </c>
      <c r="E221" s="4">
        <v>225</v>
      </c>
      <c r="F221" s="4">
        <f>ROUND(Source!AV216,O221)</f>
        <v>3639.95</v>
      </c>
      <c r="G221" s="4" t="s">
        <v>72</v>
      </c>
      <c r="H221" s="4" t="s">
        <v>73</v>
      </c>
      <c r="I221" s="4"/>
      <c r="J221" s="4"/>
      <c r="K221" s="4">
        <v>225</v>
      </c>
      <c r="L221" s="4">
        <v>4</v>
      </c>
      <c r="M221" s="4">
        <v>3</v>
      </c>
      <c r="N221" s="4" t="s">
        <v>3</v>
      </c>
      <c r="O221" s="4">
        <v>2</v>
      </c>
      <c r="P221" s="4"/>
      <c r="Q221" s="4"/>
      <c r="R221" s="4"/>
      <c r="S221" s="4"/>
      <c r="T221" s="4"/>
      <c r="U221" s="4"/>
      <c r="V221" s="4"/>
      <c r="W221" s="4"/>
    </row>
    <row r="222" spans="1:245">
      <c r="A222" s="4">
        <v>50</v>
      </c>
      <c r="B222" s="4">
        <v>0</v>
      </c>
      <c r="C222" s="4">
        <v>0</v>
      </c>
      <c r="D222" s="4">
        <v>1</v>
      </c>
      <c r="E222" s="4">
        <v>226</v>
      </c>
      <c r="F222" s="4">
        <f>ROUND(Source!AW216,O222)</f>
        <v>3639.95</v>
      </c>
      <c r="G222" s="4" t="s">
        <v>74</v>
      </c>
      <c r="H222" s="4" t="s">
        <v>75</v>
      </c>
      <c r="I222" s="4"/>
      <c r="J222" s="4"/>
      <c r="K222" s="4">
        <v>226</v>
      </c>
      <c r="L222" s="4">
        <v>5</v>
      </c>
      <c r="M222" s="4">
        <v>3</v>
      </c>
      <c r="N222" s="4" t="s">
        <v>3</v>
      </c>
      <c r="O222" s="4">
        <v>2</v>
      </c>
      <c r="P222" s="4"/>
      <c r="Q222" s="4"/>
      <c r="R222" s="4"/>
      <c r="S222" s="4"/>
      <c r="T222" s="4"/>
      <c r="U222" s="4"/>
      <c r="V222" s="4"/>
      <c r="W222" s="4"/>
    </row>
    <row r="223" spans="1:245">
      <c r="A223" s="4">
        <v>50</v>
      </c>
      <c r="B223" s="4">
        <v>0</v>
      </c>
      <c r="C223" s="4">
        <v>0</v>
      </c>
      <c r="D223" s="4">
        <v>1</v>
      </c>
      <c r="E223" s="4">
        <v>227</v>
      </c>
      <c r="F223" s="4">
        <f>ROUND(Source!AX216,O223)</f>
        <v>0</v>
      </c>
      <c r="G223" s="4" t="s">
        <v>76</v>
      </c>
      <c r="H223" s="4" t="s">
        <v>77</v>
      </c>
      <c r="I223" s="4"/>
      <c r="J223" s="4"/>
      <c r="K223" s="4">
        <v>227</v>
      </c>
      <c r="L223" s="4">
        <v>6</v>
      </c>
      <c r="M223" s="4">
        <v>3</v>
      </c>
      <c r="N223" s="4" t="s">
        <v>3</v>
      </c>
      <c r="O223" s="4">
        <v>2</v>
      </c>
      <c r="P223" s="4"/>
      <c r="Q223" s="4"/>
      <c r="R223" s="4"/>
      <c r="S223" s="4"/>
      <c r="T223" s="4"/>
      <c r="U223" s="4"/>
      <c r="V223" s="4"/>
      <c r="W223" s="4"/>
    </row>
    <row r="224" spans="1:245">
      <c r="A224" s="4">
        <v>50</v>
      </c>
      <c r="B224" s="4">
        <v>0</v>
      </c>
      <c r="C224" s="4">
        <v>0</v>
      </c>
      <c r="D224" s="4">
        <v>1</v>
      </c>
      <c r="E224" s="4">
        <v>228</v>
      </c>
      <c r="F224" s="4">
        <f>ROUND(Source!AY216,O224)</f>
        <v>3639.95</v>
      </c>
      <c r="G224" s="4" t="s">
        <v>78</v>
      </c>
      <c r="H224" s="4" t="s">
        <v>79</v>
      </c>
      <c r="I224" s="4"/>
      <c r="J224" s="4"/>
      <c r="K224" s="4">
        <v>228</v>
      </c>
      <c r="L224" s="4">
        <v>7</v>
      </c>
      <c r="M224" s="4">
        <v>3</v>
      </c>
      <c r="N224" s="4" t="s">
        <v>3</v>
      </c>
      <c r="O224" s="4">
        <v>2</v>
      </c>
      <c r="P224" s="4"/>
      <c r="Q224" s="4"/>
      <c r="R224" s="4"/>
      <c r="S224" s="4"/>
      <c r="T224" s="4"/>
      <c r="U224" s="4"/>
      <c r="V224" s="4"/>
      <c r="W224" s="4"/>
    </row>
    <row r="225" spans="1:23">
      <c r="A225" s="4">
        <v>50</v>
      </c>
      <c r="B225" s="4">
        <v>0</v>
      </c>
      <c r="C225" s="4">
        <v>0</v>
      </c>
      <c r="D225" s="4">
        <v>1</v>
      </c>
      <c r="E225" s="4">
        <v>216</v>
      </c>
      <c r="F225" s="4">
        <f>ROUND(Source!AP216,O225)</f>
        <v>0</v>
      </c>
      <c r="G225" s="4" t="s">
        <v>80</v>
      </c>
      <c r="H225" s="4" t="s">
        <v>81</v>
      </c>
      <c r="I225" s="4"/>
      <c r="J225" s="4"/>
      <c r="K225" s="4">
        <v>216</v>
      </c>
      <c r="L225" s="4">
        <v>8</v>
      </c>
      <c r="M225" s="4">
        <v>3</v>
      </c>
      <c r="N225" s="4" t="s">
        <v>3</v>
      </c>
      <c r="O225" s="4">
        <v>2</v>
      </c>
      <c r="P225" s="4"/>
      <c r="Q225" s="4"/>
      <c r="R225" s="4"/>
      <c r="S225" s="4"/>
      <c r="T225" s="4"/>
      <c r="U225" s="4"/>
      <c r="V225" s="4"/>
      <c r="W225" s="4"/>
    </row>
    <row r="226" spans="1:23">
      <c r="A226" s="4">
        <v>50</v>
      </c>
      <c r="B226" s="4">
        <v>0</v>
      </c>
      <c r="C226" s="4">
        <v>0</v>
      </c>
      <c r="D226" s="4">
        <v>1</v>
      </c>
      <c r="E226" s="4">
        <v>223</v>
      </c>
      <c r="F226" s="4">
        <f>ROUND(Source!AQ216,O226)</f>
        <v>0</v>
      </c>
      <c r="G226" s="4" t="s">
        <v>82</v>
      </c>
      <c r="H226" s="4" t="s">
        <v>83</v>
      </c>
      <c r="I226" s="4"/>
      <c r="J226" s="4"/>
      <c r="K226" s="4">
        <v>223</v>
      </c>
      <c r="L226" s="4">
        <v>9</v>
      </c>
      <c r="M226" s="4">
        <v>3</v>
      </c>
      <c r="N226" s="4" t="s">
        <v>3</v>
      </c>
      <c r="O226" s="4">
        <v>2</v>
      </c>
      <c r="P226" s="4"/>
      <c r="Q226" s="4"/>
      <c r="R226" s="4"/>
      <c r="S226" s="4"/>
      <c r="T226" s="4"/>
      <c r="U226" s="4"/>
      <c r="V226" s="4"/>
      <c r="W226" s="4"/>
    </row>
    <row r="227" spans="1:23">
      <c r="A227" s="4">
        <v>50</v>
      </c>
      <c r="B227" s="4">
        <v>0</v>
      </c>
      <c r="C227" s="4">
        <v>0</v>
      </c>
      <c r="D227" s="4">
        <v>1</v>
      </c>
      <c r="E227" s="4">
        <v>229</v>
      </c>
      <c r="F227" s="4">
        <f>ROUND(Source!AZ216,O227)</f>
        <v>0</v>
      </c>
      <c r="G227" s="4" t="s">
        <v>84</v>
      </c>
      <c r="H227" s="4" t="s">
        <v>85</v>
      </c>
      <c r="I227" s="4"/>
      <c r="J227" s="4"/>
      <c r="K227" s="4">
        <v>229</v>
      </c>
      <c r="L227" s="4">
        <v>10</v>
      </c>
      <c r="M227" s="4">
        <v>3</v>
      </c>
      <c r="N227" s="4" t="s">
        <v>3</v>
      </c>
      <c r="O227" s="4">
        <v>2</v>
      </c>
      <c r="P227" s="4"/>
      <c r="Q227" s="4"/>
      <c r="R227" s="4"/>
      <c r="S227" s="4"/>
      <c r="T227" s="4"/>
      <c r="U227" s="4"/>
      <c r="V227" s="4"/>
      <c r="W227" s="4"/>
    </row>
    <row r="228" spans="1:23">
      <c r="A228" s="4">
        <v>50</v>
      </c>
      <c r="B228" s="4">
        <v>0</v>
      </c>
      <c r="C228" s="4">
        <v>0</v>
      </c>
      <c r="D228" s="4">
        <v>1</v>
      </c>
      <c r="E228" s="4">
        <v>203</v>
      </c>
      <c r="F228" s="4">
        <f>ROUND(Source!Q216,O228)</f>
        <v>1489.95</v>
      </c>
      <c r="G228" s="4" t="s">
        <v>86</v>
      </c>
      <c r="H228" s="4" t="s">
        <v>87</v>
      </c>
      <c r="I228" s="4"/>
      <c r="J228" s="4"/>
      <c r="K228" s="4">
        <v>203</v>
      </c>
      <c r="L228" s="4">
        <v>11</v>
      </c>
      <c r="M228" s="4">
        <v>3</v>
      </c>
      <c r="N228" s="4" t="s">
        <v>3</v>
      </c>
      <c r="O228" s="4">
        <v>2</v>
      </c>
      <c r="P228" s="4"/>
      <c r="Q228" s="4"/>
      <c r="R228" s="4"/>
      <c r="S228" s="4"/>
      <c r="T228" s="4"/>
      <c r="U228" s="4"/>
      <c r="V228" s="4"/>
      <c r="W228" s="4"/>
    </row>
    <row r="229" spans="1:23">
      <c r="A229" s="4">
        <v>50</v>
      </c>
      <c r="B229" s="4">
        <v>0</v>
      </c>
      <c r="C229" s="4">
        <v>0</v>
      </c>
      <c r="D229" s="4">
        <v>1</v>
      </c>
      <c r="E229" s="4">
        <v>231</v>
      </c>
      <c r="F229" s="4">
        <f>ROUND(Source!BB216,O229)</f>
        <v>0</v>
      </c>
      <c r="G229" s="4" t="s">
        <v>88</v>
      </c>
      <c r="H229" s="4" t="s">
        <v>89</v>
      </c>
      <c r="I229" s="4"/>
      <c r="J229" s="4"/>
      <c r="K229" s="4">
        <v>231</v>
      </c>
      <c r="L229" s="4">
        <v>12</v>
      </c>
      <c r="M229" s="4">
        <v>3</v>
      </c>
      <c r="N229" s="4" t="s">
        <v>3</v>
      </c>
      <c r="O229" s="4">
        <v>2</v>
      </c>
      <c r="P229" s="4"/>
      <c r="Q229" s="4"/>
      <c r="R229" s="4"/>
      <c r="S229" s="4"/>
      <c r="T229" s="4"/>
      <c r="U229" s="4"/>
      <c r="V229" s="4"/>
      <c r="W229" s="4"/>
    </row>
    <row r="230" spans="1:23">
      <c r="A230" s="4">
        <v>50</v>
      </c>
      <c r="B230" s="4">
        <v>0</v>
      </c>
      <c r="C230" s="4">
        <v>0</v>
      </c>
      <c r="D230" s="4">
        <v>1</v>
      </c>
      <c r="E230" s="4">
        <v>204</v>
      </c>
      <c r="F230" s="4">
        <f>ROUND(Source!R216,O230)</f>
        <v>9.94</v>
      </c>
      <c r="G230" s="4" t="s">
        <v>90</v>
      </c>
      <c r="H230" s="4" t="s">
        <v>91</v>
      </c>
      <c r="I230" s="4"/>
      <c r="J230" s="4"/>
      <c r="K230" s="4">
        <v>204</v>
      </c>
      <c r="L230" s="4">
        <v>13</v>
      </c>
      <c r="M230" s="4">
        <v>3</v>
      </c>
      <c r="N230" s="4" t="s">
        <v>3</v>
      </c>
      <c r="O230" s="4">
        <v>2</v>
      </c>
      <c r="P230" s="4"/>
      <c r="Q230" s="4"/>
      <c r="R230" s="4"/>
      <c r="S230" s="4"/>
      <c r="T230" s="4"/>
      <c r="U230" s="4"/>
      <c r="V230" s="4"/>
      <c r="W230" s="4"/>
    </row>
    <row r="231" spans="1:23">
      <c r="A231" s="4">
        <v>50</v>
      </c>
      <c r="B231" s="4">
        <v>0</v>
      </c>
      <c r="C231" s="4">
        <v>0</v>
      </c>
      <c r="D231" s="4">
        <v>1</v>
      </c>
      <c r="E231" s="4">
        <v>205</v>
      </c>
      <c r="F231" s="4">
        <f>ROUND(Source!S216,O231)</f>
        <v>6696.1</v>
      </c>
      <c r="G231" s="4" t="s">
        <v>92</v>
      </c>
      <c r="H231" s="4" t="s">
        <v>93</v>
      </c>
      <c r="I231" s="4"/>
      <c r="J231" s="4"/>
      <c r="K231" s="4">
        <v>205</v>
      </c>
      <c r="L231" s="4">
        <v>14</v>
      </c>
      <c r="M231" s="4">
        <v>3</v>
      </c>
      <c r="N231" s="4" t="s">
        <v>3</v>
      </c>
      <c r="O231" s="4">
        <v>2</v>
      </c>
      <c r="P231" s="4"/>
      <c r="Q231" s="4"/>
      <c r="R231" s="4"/>
      <c r="S231" s="4"/>
      <c r="T231" s="4"/>
      <c r="U231" s="4"/>
      <c r="V231" s="4"/>
      <c r="W231" s="4"/>
    </row>
    <row r="232" spans="1:23">
      <c r="A232" s="4">
        <v>50</v>
      </c>
      <c r="B232" s="4">
        <v>0</v>
      </c>
      <c r="C232" s="4">
        <v>0</v>
      </c>
      <c r="D232" s="4">
        <v>1</v>
      </c>
      <c r="E232" s="4">
        <v>232</v>
      </c>
      <c r="F232" s="4">
        <f>ROUND(Source!BC216,O232)</f>
        <v>0</v>
      </c>
      <c r="G232" s="4" t="s">
        <v>94</v>
      </c>
      <c r="H232" s="4" t="s">
        <v>95</v>
      </c>
      <c r="I232" s="4"/>
      <c r="J232" s="4"/>
      <c r="K232" s="4">
        <v>232</v>
      </c>
      <c r="L232" s="4">
        <v>15</v>
      </c>
      <c r="M232" s="4">
        <v>3</v>
      </c>
      <c r="N232" s="4" t="s">
        <v>3</v>
      </c>
      <c r="O232" s="4">
        <v>2</v>
      </c>
      <c r="P232" s="4"/>
      <c r="Q232" s="4"/>
      <c r="R232" s="4"/>
      <c r="S232" s="4"/>
      <c r="T232" s="4"/>
      <c r="U232" s="4"/>
      <c r="V232" s="4"/>
      <c r="W232" s="4"/>
    </row>
    <row r="233" spans="1:23">
      <c r="A233" s="4">
        <v>50</v>
      </c>
      <c r="B233" s="4">
        <v>0</v>
      </c>
      <c r="C233" s="4">
        <v>0</v>
      </c>
      <c r="D233" s="4">
        <v>1</v>
      </c>
      <c r="E233" s="4">
        <v>214</v>
      </c>
      <c r="F233" s="4">
        <f>ROUND(Source!AS216,O233)</f>
        <v>1189.56</v>
      </c>
      <c r="G233" s="4" t="s">
        <v>96</v>
      </c>
      <c r="H233" s="4" t="s">
        <v>97</v>
      </c>
      <c r="I233" s="4"/>
      <c r="J233" s="4"/>
      <c r="K233" s="4">
        <v>214</v>
      </c>
      <c r="L233" s="4">
        <v>16</v>
      </c>
      <c r="M233" s="4">
        <v>3</v>
      </c>
      <c r="N233" s="4" t="s">
        <v>3</v>
      </c>
      <c r="O233" s="4">
        <v>2</v>
      </c>
      <c r="P233" s="4"/>
      <c r="Q233" s="4"/>
      <c r="R233" s="4"/>
      <c r="S233" s="4"/>
      <c r="T233" s="4"/>
      <c r="U233" s="4"/>
      <c r="V233" s="4"/>
      <c r="W233" s="4"/>
    </row>
    <row r="234" spans="1:23">
      <c r="A234" s="4">
        <v>50</v>
      </c>
      <c r="B234" s="4">
        <v>0</v>
      </c>
      <c r="C234" s="4">
        <v>0</v>
      </c>
      <c r="D234" s="4">
        <v>1</v>
      </c>
      <c r="E234" s="4">
        <v>215</v>
      </c>
      <c r="F234" s="4">
        <f>ROUND(Source!AT216,O234)</f>
        <v>21366.1</v>
      </c>
      <c r="G234" s="4" t="s">
        <v>98</v>
      </c>
      <c r="H234" s="4" t="s">
        <v>99</v>
      </c>
      <c r="I234" s="4"/>
      <c r="J234" s="4"/>
      <c r="K234" s="4">
        <v>215</v>
      </c>
      <c r="L234" s="4">
        <v>17</v>
      </c>
      <c r="M234" s="4">
        <v>3</v>
      </c>
      <c r="N234" s="4" t="s">
        <v>3</v>
      </c>
      <c r="O234" s="4">
        <v>2</v>
      </c>
      <c r="P234" s="4"/>
      <c r="Q234" s="4"/>
      <c r="R234" s="4"/>
      <c r="S234" s="4"/>
      <c r="T234" s="4"/>
      <c r="U234" s="4"/>
      <c r="V234" s="4"/>
      <c r="W234" s="4"/>
    </row>
    <row r="235" spans="1:23">
      <c r="A235" s="4">
        <v>50</v>
      </c>
      <c r="B235" s="4">
        <v>0</v>
      </c>
      <c r="C235" s="4">
        <v>0</v>
      </c>
      <c r="D235" s="4">
        <v>1</v>
      </c>
      <c r="E235" s="4">
        <v>217</v>
      </c>
      <c r="F235" s="4">
        <f>ROUND(Source!AU216,O235)</f>
        <v>0</v>
      </c>
      <c r="G235" s="4" t="s">
        <v>100</v>
      </c>
      <c r="H235" s="4" t="s">
        <v>101</v>
      </c>
      <c r="I235" s="4"/>
      <c r="J235" s="4"/>
      <c r="K235" s="4">
        <v>217</v>
      </c>
      <c r="L235" s="4">
        <v>18</v>
      </c>
      <c r="M235" s="4">
        <v>3</v>
      </c>
      <c r="N235" s="4" t="s">
        <v>3</v>
      </c>
      <c r="O235" s="4">
        <v>2</v>
      </c>
      <c r="P235" s="4"/>
      <c r="Q235" s="4"/>
      <c r="R235" s="4"/>
      <c r="S235" s="4"/>
      <c r="T235" s="4"/>
      <c r="U235" s="4"/>
      <c r="V235" s="4"/>
      <c r="W235" s="4"/>
    </row>
    <row r="236" spans="1:23">
      <c r="A236" s="4">
        <v>50</v>
      </c>
      <c r="B236" s="4">
        <v>0</v>
      </c>
      <c r="C236" s="4">
        <v>0</v>
      </c>
      <c r="D236" s="4">
        <v>1</v>
      </c>
      <c r="E236" s="4">
        <v>230</v>
      </c>
      <c r="F236" s="4">
        <f>ROUND(Source!BA216,O236)</f>
        <v>0</v>
      </c>
      <c r="G236" s="4" t="s">
        <v>102</v>
      </c>
      <c r="H236" s="4" t="s">
        <v>103</v>
      </c>
      <c r="I236" s="4"/>
      <c r="J236" s="4"/>
      <c r="K236" s="4">
        <v>230</v>
      </c>
      <c r="L236" s="4">
        <v>19</v>
      </c>
      <c r="M236" s="4">
        <v>3</v>
      </c>
      <c r="N236" s="4" t="s">
        <v>3</v>
      </c>
      <c r="O236" s="4">
        <v>2</v>
      </c>
      <c r="P236" s="4"/>
      <c r="Q236" s="4"/>
      <c r="R236" s="4"/>
      <c r="S236" s="4"/>
      <c r="T236" s="4"/>
      <c r="U236" s="4"/>
      <c r="V236" s="4"/>
      <c r="W236" s="4"/>
    </row>
    <row r="237" spans="1:23">
      <c r="A237" s="4">
        <v>50</v>
      </c>
      <c r="B237" s="4">
        <v>0</v>
      </c>
      <c r="C237" s="4">
        <v>0</v>
      </c>
      <c r="D237" s="4">
        <v>1</v>
      </c>
      <c r="E237" s="4">
        <v>206</v>
      </c>
      <c r="F237" s="4">
        <f>ROUND(Source!T216,O237)</f>
        <v>0</v>
      </c>
      <c r="G237" s="4" t="s">
        <v>104</v>
      </c>
      <c r="H237" s="4" t="s">
        <v>105</v>
      </c>
      <c r="I237" s="4"/>
      <c r="J237" s="4"/>
      <c r="K237" s="4">
        <v>206</v>
      </c>
      <c r="L237" s="4">
        <v>20</v>
      </c>
      <c r="M237" s="4">
        <v>3</v>
      </c>
      <c r="N237" s="4" t="s">
        <v>3</v>
      </c>
      <c r="O237" s="4">
        <v>2</v>
      </c>
      <c r="P237" s="4"/>
      <c r="Q237" s="4"/>
      <c r="R237" s="4"/>
      <c r="S237" s="4"/>
      <c r="T237" s="4"/>
      <c r="U237" s="4"/>
      <c r="V237" s="4"/>
      <c r="W237" s="4"/>
    </row>
    <row r="238" spans="1:23">
      <c r="A238" s="4">
        <v>50</v>
      </c>
      <c r="B238" s="4">
        <v>0</v>
      </c>
      <c r="C238" s="4">
        <v>0</v>
      </c>
      <c r="D238" s="4">
        <v>1</v>
      </c>
      <c r="E238" s="4">
        <v>207</v>
      </c>
      <c r="F238" s="4">
        <f>Source!U216</f>
        <v>21.266699999999997</v>
      </c>
      <c r="G238" s="4" t="s">
        <v>106</v>
      </c>
      <c r="H238" s="4" t="s">
        <v>107</v>
      </c>
      <c r="I238" s="4"/>
      <c r="J238" s="4"/>
      <c r="K238" s="4">
        <v>207</v>
      </c>
      <c r="L238" s="4">
        <v>21</v>
      </c>
      <c r="M238" s="4">
        <v>3</v>
      </c>
      <c r="N238" s="4" t="s">
        <v>3</v>
      </c>
      <c r="O238" s="4">
        <v>-1</v>
      </c>
      <c r="P238" s="4"/>
      <c r="Q238" s="4"/>
      <c r="R238" s="4"/>
      <c r="S238" s="4"/>
      <c r="T238" s="4"/>
      <c r="U238" s="4"/>
      <c r="V238" s="4"/>
      <c r="W238" s="4"/>
    </row>
    <row r="239" spans="1:23">
      <c r="A239" s="4">
        <v>50</v>
      </c>
      <c r="B239" s="4">
        <v>0</v>
      </c>
      <c r="C239" s="4">
        <v>0</v>
      </c>
      <c r="D239" s="4">
        <v>1</v>
      </c>
      <c r="E239" s="4">
        <v>208</v>
      </c>
      <c r="F239" s="4">
        <f>Source!V216</f>
        <v>2.1499999999999998E-2</v>
      </c>
      <c r="G239" s="4" t="s">
        <v>108</v>
      </c>
      <c r="H239" s="4" t="s">
        <v>109</v>
      </c>
      <c r="I239" s="4"/>
      <c r="J239" s="4"/>
      <c r="K239" s="4">
        <v>208</v>
      </c>
      <c r="L239" s="4">
        <v>22</v>
      </c>
      <c r="M239" s="4">
        <v>3</v>
      </c>
      <c r="N239" s="4" t="s">
        <v>3</v>
      </c>
      <c r="O239" s="4">
        <v>-1</v>
      </c>
      <c r="P239" s="4"/>
      <c r="Q239" s="4"/>
      <c r="R239" s="4"/>
      <c r="S239" s="4"/>
      <c r="T239" s="4"/>
      <c r="U239" s="4"/>
      <c r="V239" s="4"/>
      <c r="W239" s="4"/>
    </row>
    <row r="240" spans="1:23">
      <c r="A240" s="4">
        <v>50</v>
      </c>
      <c r="B240" s="4">
        <v>0</v>
      </c>
      <c r="C240" s="4">
        <v>0</v>
      </c>
      <c r="D240" s="4">
        <v>1</v>
      </c>
      <c r="E240" s="4">
        <v>209</v>
      </c>
      <c r="F240" s="4">
        <f>ROUND(Source!W216,O240)</f>
        <v>8.32</v>
      </c>
      <c r="G240" s="4" t="s">
        <v>110</v>
      </c>
      <c r="H240" s="4" t="s">
        <v>111</v>
      </c>
      <c r="I240" s="4"/>
      <c r="J240" s="4"/>
      <c r="K240" s="4">
        <v>209</v>
      </c>
      <c r="L240" s="4">
        <v>23</v>
      </c>
      <c r="M240" s="4">
        <v>3</v>
      </c>
      <c r="N240" s="4" t="s">
        <v>3</v>
      </c>
      <c r="O240" s="4">
        <v>2</v>
      </c>
      <c r="P240" s="4"/>
      <c r="Q240" s="4"/>
      <c r="R240" s="4"/>
      <c r="S240" s="4"/>
      <c r="T240" s="4"/>
      <c r="U240" s="4"/>
      <c r="V240" s="4"/>
      <c r="W240" s="4"/>
    </row>
    <row r="241" spans="1:206">
      <c r="A241" s="4">
        <v>50</v>
      </c>
      <c r="B241" s="4">
        <v>0</v>
      </c>
      <c r="C241" s="4">
        <v>0</v>
      </c>
      <c r="D241" s="4">
        <v>1</v>
      </c>
      <c r="E241" s="4">
        <v>233</v>
      </c>
      <c r="F241" s="4">
        <f>ROUND(Source!BD216,O241)</f>
        <v>1189.56</v>
      </c>
      <c r="G241" s="4" t="s">
        <v>112</v>
      </c>
      <c r="H241" s="4" t="s">
        <v>113</v>
      </c>
      <c r="I241" s="4"/>
      <c r="J241" s="4"/>
      <c r="K241" s="4">
        <v>233</v>
      </c>
      <c r="L241" s="4">
        <v>24</v>
      </c>
      <c r="M241" s="4">
        <v>3</v>
      </c>
      <c r="N241" s="4" t="s">
        <v>3</v>
      </c>
      <c r="O241" s="4">
        <v>2</v>
      </c>
      <c r="P241" s="4"/>
      <c r="Q241" s="4"/>
      <c r="R241" s="4"/>
      <c r="S241" s="4"/>
      <c r="T241" s="4"/>
      <c r="U241" s="4"/>
      <c r="V241" s="4"/>
      <c r="W241" s="4"/>
    </row>
    <row r="242" spans="1:206">
      <c r="A242" s="4">
        <v>50</v>
      </c>
      <c r="B242" s="4">
        <v>0</v>
      </c>
      <c r="C242" s="4">
        <v>0</v>
      </c>
      <c r="D242" s="4">
        <v>1</v>
      </c>
      <c r="E242" s="4">
        <v>210</v>
      </c>
      <c r="F242" s="4">
        <f>ROUND(Source!X216,O242)</f>
        <v>6370.73</v>
      </c>
      <c r="G242" s="4" t="s">
        <v>114</v>
      </c>
      <c r="H242" s="4" t="s">
        <v>115</v>
      </c>
      <c r="I242" s="4"/>
      <c r="J242" s="4"/>
      <c r="K242" s="4">
        <v>210</v>
      </c>
      <c r="L242" s="4">
        <v>25</v>
      </c>
      <c r="M242" s="4">
        <v>3</v>
      </c>
      <c r="N242" s="4" t="s">
        <v>3</v>
      </c>
      <c r="O242" s="4">
        <v>2</v>
      </c>
      <c r="P242" s="4"/>
      <c r="Q242" s="4"/>
      <c r="R242" s="4"/>
      <c r="S242" s="4"/>
      <c r="T242" s="4"/>
      <c r="U242" s="4"/>
      <c r="V242" s="4"/>
      <c r="W242" s="4"/>
    </row>
    <row r="243" spans="1:206">
      <c r="A243" s="4">
        <v>50</v>
      </c>
      <c r="B243" s="4">
        <v>0</v>
      </c>
      <c r="C243" s="4">
        <v>0</v>
      </c>
      <c r="D243" s="4">
        <v>1</v>
      </c>
      <c r="E243" s="4">
        <v>211</v>
      </c>
      <c r="F243" s="4">
        <f>ROUND(Source!Y216,O243)</f>
        <v>4358.93</v>
      </c>
      <c r="G243" s="4" t="s">
        <v>116</v>
      </c>
      <c r="H243" s="4" t="s">
        <v>117</v>
      </c>
      <c r="I243" s="4"/>
      <c r="J243" s="4"/>
      <c r="K243" s="4">
        <v>211</v>
      </c>
      <c r="L243" s="4">
        <v>26</v>
      </c>
      <c r="M243" s="4">
        <v>3</v>
      </c>
      <c r="N243" s="4" t="s">
        <v>3</v>
      </c>
      <c r="O243" s="4">
        <v>2</v>
      </c>
      <c r="P243" s="4"/>
      <c r="Q243" s="4"/>
      <c r="R243" s="4"/>
      <c r="S243" s="4"/>
      <c r="T243" s="4"/>
      <c r="U243" s="4"/>
      <c r="V243" s="4"/>
      <c r="W243" s="4"/>
    </row>
    <row r="244" spans="1:206">
      <c r="A244" s="4">
        <v>50</v>
      </c>
      <c r="B244" s="4">
        <v>0</v>
      </c>
      <c r="C244" s="4">
        <v>0</v>
      </c>
      <c r="D244" s="4">
        <v>1</v>
      </c>
      <c r="E244" s="4">
        <v>224</v>
      </c>
      <c r="F244" s="4">
        <f>ROUND(Source!AR216,O244)</f>
        <v>22555.66</v>
      </c>
      <c r="G244" s="4" t="s">
        <v>118</v>
      </c>
      <c r="H244" s="4" t="s">
        <v>119</v>
      </c>
      <c r="I244" s="4"/>
      <c r="J244" s="4"/>
      <c r="K244" s="4">
        <v>224</v>
      </c>
      <c r="L244" s="4">
        <v>27</v>
      </c>
      <c r="M244" s="4">
        <v>3</v>
      </c>
      <c r="N244" s="4" t="s">
        <v>3</v>
      </c>
      <c r="O244" s="4">
        <v>2</v>
      </c>
      <c r="P244" s="4"/>
      <c r="Q244" s="4"/>
      <c r="R244" s="4"/>
      <c r="S244" s="4"/>
      <c r="T244" s="4"/>
      <c r="U244" s="4"/>
      <c r="V244" s="4"/>
      <c r="W244" s="4"/>
    </row>
    <row r="246" spans="1:206">
      <c r="A246" s="2">
        <v>51</v>
      </c>
      <c r="B246" s="2">
        <f>B20</f>
        <v>1</v>
      </c>
      <c r="C246" s="2">
        <f>A20</f>
        <v>3</v>
      </c>
      <c r="D246" s="2">
        <f>ROW(A20)</f>
        <v>20</v>
      </c>
      <c r="E246" s="2"/>
      <c r="F246" s="2" t="str">
        <f>IF(F20&lt;&gt;"",F20,"")</f>
        <v>Новая локальная смета</v>
      </c>
      <c r="G246" s="2" t="str">
        <f>IF(G20&lt;&gt;"",G20,"")</f>
        <v>Новая локальная смета</v>
      </c>
      <c r="H246" s="2">
        <v>0</v>
      </c>
      <c r="I246" s="2"/>
      <c r="J246" s="2"/>
      <c r="K246" s="2"/>
      <c r="L246" s="2"/>
      <c r="M246" s="2"/>
      <c r="N246" s="2"/>
      <c r="O246" s="2">
        <f t="shared" ref="O246:T246" si="239">ROUND(O41+O129+O174+O216+AB246,2)</f>
        <v>457023.42</v>
      </c>
      <c r="P246" s="2">
        <f t="shared" si="239"/>
        <v>306110.12</v>
      </c>
      <c r="Q246" s="2">
        <f t="shared" si="239"/>
        <v>9881.35</v>
      </c>
      <c r="R246" s="2">
        <f t="shared" si="239"/>
        <v>4092.97</v>
      </c>
      <c r="S246" s="2">
        <f t="shared" si="239"/>
        <v>141031.95000000001</v>
      </c>
      <c r="T246" s="2">
        <f t="shared" si="239"/>
        <v>0</v>
      </c>
      <c r="U246" s="2">
        <f>U41+U129+U174+U216+AH246</f>
        <v>483.70988299999999</v>
      </c>
      <c r="V246" s="2">
        <f>V41+V129+V174+V216+AI246</f>
        <v>11.583264999999997</v>
      </c>
      <c r="W246" s="2">
        <f>ROUND(W41+W129+W174+W216+AJ246,2)</f>
        <v>2190.69</v>
      </c>
      <c r="X246" s="2">
        <f>ROUND(X41+X129+X174+X216+AK246,2)</f>
        <v>140294.04</v>
      </c>
      <c r="Y246" s="2">
        <f>ROUND(Y41+Y129+Y174+Y216+AL246,2)</f>
        <v>83470.070000000007</v>
      </c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>
        <f t="shared" ref="AO246:BD246" si="240">ROUND(AO41+AO129+AO174+AO216+BX246,2)</f>
        <v>0</v>
      </c>
      <c r="AP246" s="2">
        <f t="shared" si="240"/>
        <v>0</v>
      </c>
      <c r="AQ246" s="2">
        <f t="shared" si="240"/>
        <v>0</v>
      </c>
      <c r="AR246" s="2">
        <f t="shared" si="240"/>
        <v>680787.53</v>
      </c>
      <c r="AS246" s="2">
        <f t="shared" si="240"/>
        <v>659421.43000000005</v>
      </c>
      <c r="AT246" s="2">
        <f t="shared" si="240"/>
        <v>21366.1</v>
      </c>
      <c r="AU246" s="2">
        <f t="shared" si="240"/>
        <v>0</v>
      </c>
      <c r="AV246" s="2">
        <f t="shared" si="240"/>
        <v>306110.12</v>
      </c>
      <c r="AW246" s="2">
        <f t="shared" si="240"/>
        <v>306110.12</v>
      </c>
      <c r="AX246" s="2">
        <f t="shared" si="240"/>
        <v>0</v>
      </c>
      <c r="AY246" s="2">
        <f t="shared" si="240"/>
        <v>306110.12</v>
      </c>
      <c r="AZ246" s="2">
        <f t="shared" si="240"/>
        <v>0</v>
      </c>
      <c r="BA246" s="2">
        <f t="shared" si="240"/>
        <v>0</v>
      </c>
      <c r="BB246" s="2">
        <f t="shared" si="240"/>
        <v>0</v>
      </c>
      <c r="BC246" s="2">
        <f t="shared" si="240"/>
        <v>0</v>
      </c>
      <c r="BD246" s="2">
        <f t="shared" si="240"/>
        <v>1189.56</v>
      </c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  <c r="DY246" s="3"/>
      <c r="DZ246" s="3"/>
      <c r="EA246" s="3"/>
      <c r="EB246" s="3"/>
      <c r="EC246" s="3"/>
      <c r="ED246" s="3"/>
      <c r="EE246" s="3"/>
      <c r="EF246" s="3"/>
      <c r="EG246" s="3"/>
      <c r="EH246" s="3"/>
      <c r="EI246" s="3"/>
      <c r="EJ246" s="3"/>
      <c r="EK246" s="3"/>
      <c r="EL246" s="3"/>
      <c r="EM246" s="3"/>
      <c r="EN246" s="3"/>
      <c r="EO246" s="3"/>
      <c r="EP246" s="3"/>
      <c r="EQ246" s="3"/>
      <c r="ER246" s="3"/>
      <c r="ES246" s="3"/>
      <c r="ET246" s="3"/>
      <c r="EU246" s="3"/>
      <c r="EV246" s="3"/>
      <c r="EW246" s="3"/>
      <c r="EX246" s="3"/>
      <c r="EY246" s="3"/>
      <c r="EZ246" s="3"/>
      <c r="FA246" s="3"/>
      <c r="FB246" s="3"/>
      <c r="FC246" s="3"/>
      <c r="FD246" s="3"/>
      <c r="FE246" s="3"/>
      <c r="FF246" s="3"/>
      <c r="FG246" s="3"/>
      <c r="FH246" s="3"/>
      <c r="FI246" s="3"/>
      <c r="FJ246" s="3"/>
      <c r="FK246" s="3"/>
      <c r="FL246" s="3"/>
      <c r="FM246" s="3"/>
      <c r="FN246" s="3"/>
      <c r="FO246" s="3"/>
      <c r="FP246" s="3"/>
      <c r="FQ246" s="3"/>
      <c r="FR246" s="3"/>
      <c r="FS246" s="3"/>
      <c r="FT246" s="3"/>
      <c r="FU246" s="3"/>
      <c r="FV246" s="3"/>
      <c r="FW246" s="3"/>
      <c r="FX246" s="3"/>
      <c r="FY246" s="3"/>
      <c r="FZ246" s="3"/>
      <c r="GA246" s="3"/>
      <c r="GB246" s="3"/>
      <c r="GC246" s="3"/>
      <c r="GD246" s="3"/>
      <c r="GE246" s="3"/>
      <c r="GF246" s="3"/>
      <c r="GG246" s="3"/>
      <c r="GH246" s="3"/>
      <c r="GI246" s="3"/>
      <c r="GJ246" s="3"/>
      <c r="GK246" s="3"/>
      <c r="GL246" s="3"/>
      <c r="GM246" s="3"/>
      <c r="GN246" s="3"/>
      <c r="GO246" s="3"/>
      <c r="GP246" s="3"/>
      <c r="GQ246" s="3"/>
      <c r="GR246" s="3"/>
      <c r="GS246" s="3"/>
      <c r="GT246" s="3"/>
      <c r="GU246" s="3"/>
      <c r="GV246" s="3"/>
      <c r="GW246" s="3"/>
      <c r="GX246" s="3">
        <v>0</v>
      </c>
    </row>
    <row r="248" spans="1:206">
      <c r="A248" s="4">
        <v>50</v>
      </c>
      <c r="B248" s="4">
        <v>0</v>
      </c>
      <c r="C248" s="4">
        <v>0</v>
      </c>
      <c r="D248" s="4">
        <v>1</v>
      </c>
      <c r="E248" s="4">
        <v>201</v>
      </c>
      <c r="F248" s="4">
        <f>ROUND(Source!O246,O248)</f>
        <v>457023.42</v>
      </c>
      <c r="G248" s="4" t="s">
        <v>66</v>
      </c>
      <c r="H248" s="4" t="s">
        <v>67</v>
      </c>
      <c r="I248" s="4"/>
      <c r="J248" s="4"/>
      <c r="K248" s="4">
        <v>201</v>
      </c>
      <c r="L248" s="4">
        <v>1</v>
      </c>
      <c r="M248" s="4">
        <v>3</v>
      </c>
      <c r="N248" s="4" t="s">
        <v>3</v>
      </c>
      <c r="O248" s="4">
        <v>2</v>
      </c>
      <c r="P248" s="4"/>
      <c r="Q248" s="4"/>
      <c r="R248" s="4"/>
      <c r="S248" s="4"/>
      <c r="T248" s="4"/>
      <c r="U248" s="4"/>
      <c r="V248" s="4"/>
      <c r="W248" s="4"/>
    </row>
    <row r="249" spans="1:206">
      <c r="A249" s="4">
        <v>50</v>
      </c>
      <c r="B249" s="4">
        <v>0</v>
      </c>
      <c r="C249" s="4">
        <v>0</v>
      </c>
      <c r="D249" s="4">
        <v>1</v>
      </c>
      <c r="E249" s="4">
        <v>202</v>
      </c>
      <c r="F249" s="4">
        <f>ROUND(Source!P246,O249)</f>
        <v>306110.12</v>
      </c>
      <c r="G249" s="4" t="s">
        <v>68</v>
      </c>
      <c r="H249" s="4" t="s">
        <v>69</v>
      </c>
      <c r="I249" s="4"/>
      <c r="J249" s="4"/>
      <c r="K249" s="4">
        <v>202</v>
      </c>
      <c r="L249" s="4">
        <v>2</v>
      </c>
      <c r="M249" s="4">
        <v>3</v>
      </c>
      <c r="N249" s="4" t="s">
        <v>3</v>
      </c>
      <c r="O249" s="4">
        <v>2</v>
      </c>
      <c r="P249" s="4"/>
      <c r="Q249" s="4"/>
      <c r="R249" s="4"/>
      <c r="S249" s="4"/>
      <c r="T249" s="4"/>
      <c r="U249" s="4"/>
      <c r="V249" s="4"/>
      <c r="W249" s="4"/>
    </row>
    <row r="250" spans="1:206">
      <c r="A250" s="4">
        <v>50</v>
      </c>
      <c r="B250" s="4">
        <v>0</v>
      </c>
      <c r="C250" s="4">
        <v>0</v>
      </c>
      <c r="D250" s="4">
        <v>1</v>
      </c>
      <c r="E250" s="4">
        <v>222</v>
      </c>
      <c r="F250" s="4">
        <f>ROUND(Source!AO246,O250)</f>
        <v>0</v>
      </c>
      <c r="G250" s="4" t="s">
        <v>70</v>
      </c>
      <c r="H250" s="4" t="s">
        <v>71</v>
      </c>
      <c r="I250" s="4"/>
      <c r="J250" s="4"/>
      <c r="K250" s="4">
        <v>222</v>
      </c>
      <c r="L250" s="4">
        <v>3</v>
      </c>
      <c r="M250" s="4">
        <v>3</v>
      </c>
      <c r="N250" s="4" t="s">
        <v>3</v>
      </c>
      <c r="O250" s="4">
        <v>2</v>
      </c>
      <c r="P250" s="4"/>
      <c r="Q250" s="4"/>
      <c r="R250" s="4"/>
      <c r="S250" s="4"/>
      <c r="T250" s="4"/>
      <c r="U250" s="4"/>
      <c r="V250" s="4"/>
      <c r="W250" s="4"/>
    </row>
    <row r="251" spans="1:206">
      <c r="A251" s="4">
        <v>50</v>
      </c>
      <c r="B251" s="4">
        <v>0</v>
      </c>
      <c r="C251" s="4">
        <v>0</v>
      </c>
      <c r="D251" s="4">
        <v>1</v>
      </c>
      <c r="E251" s="4">
        <v>225</v>
      </c>
      <c r="F251" s="4">
        <f>ROUND(Source!AV246,O251)</f>
        <v>306110.12</v>
      </c>
      <c r="G251" s="4" t="s">
        <v>72</v>
      </c>
      <c r="H251" s="4" t="s">
        <v>73</v>
      </c>
      <c r="I251" s="4"/>
      <c r="J251" s="4"/>
      <c r="K251" s="4">
        <v>225</v>
      </c>
      <c r="L251" s="4">
        <v>4</v>
      </c>
      <c r="M251" s="4">
        <v>3</v>
      </c>
      <c r="N251" s="4" t="s">
        <v>3</v>
      </c>
      <c r="O251" s="4">
        <v>2</v>
      </c>
      <c r="P251" s="4"/>
      <c r="Q251" s="4"/>
      <c r="R251" s="4"/>
      <c r="S251" s="4"/>
      <c r="T251" s="4"/>
      <c r="U251" s="4"/>
      <c r="V251" s="4"/>
      <c r="W251" s="4"/>
    </row>
    <row r="252" spans="1:206">
      <c r="A252" s="4">
        <v>50</v>
      </c>
      <c r="B252" s="4">
        <v>0</v>
      </c>
      <c r="C252" s="4">
        <v>0</v>
      </c>
      <c r="D252" s="4">
        <v>1</v>
      </c>
      <c r="E252" s="4">
        <v>226</v>
      </c>
      <c r="F252" s="4">
        <f>ROUND(Source!AW246,O252)</f>
        <v>306110.12</v>
      </c>
      <c r="G252" s="4" t="s">
        <v>74</v>
      </c>
      <c r="H252" s="4" t="s">
        <v>75</v>
      </c>
      <c r="I252" s="4"/>
      <c r="J252" s="4"/>
      <c r="K252" s="4">
        <v>226</v>
      </c>
      <c r="L252" s="4">
        <v>5</v>
      </c>
      <c r="M252" s="4">
        <v>3</v>
      </c>
      <c r="N252" s="4" t="s">
        <v>3</v>
      </c>
      <c r="O252" s="4">
        <v>2</v>
      </c>
      <c r="P252" s="4"/>
      <c r="Q252" s="4"/>
      <c r="R252" s="4"/>
      <c r="S252" s="4"/>
      <c r="T252" s="4"/>
      <c r="U252" s="4"/>
      <c r="V252" s="4"/>
      <c r="W252" s="4"/>
    </row>
    <row r="253" spans="1:206">
      <c r="A253" s="4">
        <v>50</v>
      </c>
      <c r="B253" s="4">
        <v>0</v>
      </c>
      <c r="C253" s="4">
        <v>0</v>
      </c>
      <c r="D253" s="4">
        <v>1</v>
      </c>
      <c r="E253" s="4">
        <v>227</v>
      </c>
      <c r="F253" s="4">
        <f>ROUND(Source!AX246,O253)</f>
        <v>0</v>
      </c>
      <c r="G253" s="4" t="s">
        <v>76</v>
      </c>
      <c r="H253" s="4" t="s">
        <v>77</v>
      </c>
      <c r="I253" s="4"/>
      <c r="J253" s="4"/>
      <c r="K253" s="4">
        <v>227</v>
      </c>
      <c r="L253" s="4">
        <v>6</v>
      </c>
      <c r="M253" s="4">
        <v>3</v>
      </c>
      <c r="N253" s="4" t="s">
        <v>3</v>
      </c>
      <c r="O253" s="4">
        <v>2</v>
      </c>
      <c r="P253" s="4"/>
      <c r="Q253" s="4"/>
      <c r="R253" s="4"/>
      <c r="S253" s="4"/>
      <c r="T253" s="4"/>
      <c r="U253" s="4"/>
      <c r="V253" s="4"/>
      <c r="W253" s="4"/>
    </row>
    <row r="254" spans="1:206">
      <c r="A254" s="4">
        <v>50</v>
      </c>
      <c r="B254" s="4">
        <v>0</v>
      </c>
      <c r="C254" s="4">
        <v>0</v>
      </c>
      <c r="D254" s="4">
        <v>1</v>
      </c>
      <c r="E254" s="4">
        <v>228</v>
      </c>
      <c r="F254" s="4">
        <f>ROUND(Source!AY246,O254)</f>
        <v>306110.12</v>
      </c>
      <c r="G254" s="4" t="s">
        <v>78</v>
      </c>
      <c r="H254" s="4" t="s">
        <v>79</v>
      </c>
      <c r="I254" s="4"/>
      <c r="J254" s="4"/>
      <c r="K254" s="4">
        <v>228</v>
      </c>
      <c r="L254" s="4">
        <v>7</v>
      </c>
      <c r="M254" s="4">
        <v>3</v>
      </c>
      <c r="N254" s="4" t="s">
        <v>3</v>
      </c>
      <c r="O254" s="4">
        <v>2</v>
      </c>
      <c r="P254" s="4"/>
      <c r="Q254" s="4"/>
      <c r="R254" s="4"/>
      <c r="S254" s="4"/>
      <c r="T254" s="4"/>
      <c r="U254" s="4"/>
      <c r="V254" s="4"/>
      <c r="W254" s="4"/>
    </row>
    <row r="255" spans="1:206">
      <c r="A255" s="4">
        <v>50</v>
      </c>
      <c r="B255" s="4">
        <v>0</v>
      </c>
      <c r="C255" s="4">
        <v>0</v>
      </c>
      <c r="D255" s="4">
        <v>1</v>
      </c>
      <c r="E255" s="4">
        <v>216</v>
      </c>
      <c r="F255" s="4">
        <f>ROUND(Source!AP246,O255)</f>
        <v>0</v>
      </c>
      <c r="G255" s="4" t="s">
        <v>80</v>
      </c>
      <c r="H255" s="4" t="s">
        <v>81</v>
      </c>
      <c r="I255" s="4"/>
      <c r="J255" s="4"/>
      <c r="K255" s="4">
        <v>216</v>
      </c>
      <c r="L255" s="4">
        <v>8</v>
      </c>
      <c r="M255" s="4">
        <v>3</v>
      </c>
      <c r="N255" s="4" t="s">
        <v>3</v>
      </c>
      <c r="O255" s="4">
        <v>2</v>
      </c>
      <c r="P255" s="4"/>
      <c r="Q255" s="4"/>
      <c r="R255" s="4"/>
      <c r="S255" s="4"/>
      <c r="T255" s="4"/>
      <c r="U255" s="4"/>
      <c r="V255" s="4"/>
      <c r="W255" s="4"/>
    </row>
    <row r="256" spans="1:206">
      <c r="A256" s="4">
        <v>50</v>
      </c>
      <c r="B256" s="4">
        <v>0</v>
      </c>
      <c r="C256" s="4">
        <v>0</v>
      </c>
      <c r="D256" s="4">
        <v>1</v>
      </c>
      <c r="E256" s="4">
        <v>223</v>
      </c>
      <c r="F256" s="4">
        <f>ROUND(Source!AQ246,O256)</f>
        <v>0</v>
      </c>
      <c r="G256" s="4" t="s">
        <v>82</v>
      </c>
      <c r="H256" s="4" t="s">
        <v>83</v>
      </c>
      <c r="I256" s="4"/>
      <c r="J256" s="4"/>
      <c r="K256" s="4">
        <v>223</v>
      </c>
      <c r="L256" s="4">
        <v>9</v>
      </c>
      <c r="M256" s="4">
        <v>3</v>
      </c>
      <c r="N256" s="4" t="s">
        <v>3</v>
      </c>
      <c r="O256" s="4">
        <v>2</v>
      </c>
      <c r="P256" s="4"/>
      <c r="Q256" s="4"/>
      <c r="R256" s="4"/>
      <c r="S256" s="4"/>
      <c r="T256" s="4"/>
      <c r="U256" s="4"/>
      <c r="V256" s="4"/>
      <c r="W256" s="4"/>
    </row>
    <row r="257" spans="1:23">
      <c r="A257" s="4">
        <v>50</v>
      </c>
      <c r="B257" s="4">
        <v>0</v>
      </c>
      <c r="C257" s="4">
        <v>0</v>
      </c>
      <c r="D257" s="4">
        <v>1</v>
      </c>
      <c r="E257" s="4">
        <v>229</v>
      </c>
      <c r="F257" s="4">
        <f>ROUND(Source!AZ246,O257)</f>
        <v>0</v>
      </c>
      <c r="G257" s="4" t="s">
        <v>84</v>
      </c>
      <c r="H257" s="4" t="s">
        <v>85</v>
      </c>
      <c r="I257" s="4"/>
      <c r="J257" s="4"/>
      <c r="K257" s="4">
        <v>229</v>
      </c>
      <c r="L257" s="4">
        <v>10</v>
      </c>
      <c r="M257" s="4">
        <v>3</v>
      </c>
      <c r="N257" s="4" t="s">
        <v>3</v>
      </c>
      <c r="O257" s="4">
        <v>2</v>
      </c>
      <c r="P257" s="4"/>
      <c r="Q257" s="4"/>
      <c r="R257" s="4"/>
      <c r="S257" s="4"/>
      <c r="T257" s="4"/>
      <c r="U257" s="4"/>
      <c r="V257" s="4"/>
      <c r="W257" s="4"/>
    </row>
    <row r="258" spans="1:23">
      <c r="A258" s="4">
        <v>50</v>
      </c>
      <c r="B258" s="4">
        <v>0</v>
      </c>
      <c r="C258" s="4">
        <v>0</v>
      </c>
      <c r="D258" s="4">
        <v>1</v>
      </c>
      <c r="E258" s="4">
        <v>203</v>
      </c>
      <c r="F258" s="4">
        <f>ROUND(Source!Q246,O258)</f>
        <v>9881.35</v>
      </c>
      <c r="G258" s="4" t="s">
        <v>86</v>
      </c>
      <c r="H258" s="4" t="s">
        <v>87</v>
      </c>
      <c r="I258" s="4"/>
      <c r="J258" s="4"/>
      <c r="K258" s="4">
        <v>203</v>
      </c>
      <c r="L258" s="4">
        <v>11</v>
      </c>
      <c r="M258" s="4">
        <v>3</v>
      </c>
      <c r="N258" s="4" t="s">
        <v>3</v>
      </c>
      <c r="O258" s="4">
        <v>2</v>
      </c>
      <c r="P258" s="4"/>
      <c r="Q258" s="4"/>
      <c r="R258" s="4"/>
      <c r="S258" s="4"/>
      <c r="T258" s="4"/>
      <c r="U258" s="4"/>
      <c r="V258" s="4"/>
      <c r="W258" s="4"/>
    </row>
    <row r="259" spans="1:23">
      <c r="A259" s="4">
        <v>50</v>
      </c>
      <c r="B259" s="4">
        <v>0</v>
      </c>
      <c r="C259" s="4">
        <v>0</v>
      </c>
      <c r="D259" s="4">
        <v>1</v>
      </c>
      <c r="E259" s="4">
        <v>231</v>
      </c>
      <c r="F259" s="4">
        <f>ROUND(Source!BB246,O259)</f>
        <v>0</v>
      </c>
      <c r="G259" s="4" t="s">
        <v>88</v>
      </c>
      <c r="H259" s="4" t="s">
        <v>89</v>
      </c>
      <c r="I259" s="4"/>
      <c r="J259" s="4"/>
      <c r="K259" s="4">
        <v>231</v>
      </c>
      <c r="L259" s="4">
        <v>12</v>
      </c>
      <c r="M259" s="4">
        <v>3</v>
      </c>
      <c r="N259" s="4" t="s">
        <v>3</v>
      </c>
      <c r="O259" s="4">
        <v>2</v>
      </c>
      <c r="P259" s="4"/>
      <c r="Q259" s="4"/>
      <c r="R259" s="4"/>
      <c r="S259" s="4"/>
      <c r="T259" s="4"/>
      <c r="U259" s="4"/>
      <c r="V259" s="4"/>
      <c r="W259" s="4"/>
    </row>
    <row r="260" spans="1:23">
      <c r="A260" s="4">
        <v>50</v>
      </c>
      <c r="B260" s="4">
        <v>0</v>
      </c>
      <c r="C260" s="4">
        <v>0</v>
      </c>
      <c r="D260" s="4">
        <v>1</v>
      </c>
      <c r="E260" s="4">
        <v>204</v>
      </c>
      <c r="F260" s="4">
        <f>ROUND(Source!R246,O260)</f>
        <v>4092.97</v>
      </c>
      <c r="G260" s="4" t="s">
        <v>90</v>
      </c>
      <c r="H260" s="4" t="s">
        <v>91</v>
      </c>
      <c r="I260" s="4"/>
      <c r="J260" s="4"/>
      <c r="K260" s="4">
        <v>204</v>
      </c>
      <c r="L260" s="4">
        <v>13</v>
      </c>
      <c r="M260" s="4">
        <v>3</v>
      </c>
      <c r="N260" s="4" t="s">
        <v>3</v>
      </c>
      <c r="O260" s="4">
        <v>2</v>
      </c>
      <c r="P260" s="4"/>
      <c r="Q260" s="4"/>
      <c r="R260" s="4"/>
      <c r="S260" s="4"/>
      <c r="T260" s="4"/>
      <c r="U260" s="4"/>
      <c r="V260" s="4"/>
      <c r="W260" s="4"/>
    </row>
    <row r="261" spans="1:23">
      <c r="A261" s="4">
        <v>50</v>
      </c>
      <c r="B261" s="4">
        <v>0</v>
      </c>
      <c r="C261" s="4">
        <v>0</v>
      </c>
      <c r="D261" s="4">
        <v>1</v>
      </c>
      <c r="E261" s="4">
        <v>205</v>
      </c>
      <c r="F261" s="4">
        <f>ROUND(Source!S246,O261)</f>
        <v>141031.95000000001</v>
      </c>
      <c r="G261" s="4" t="s">
        <v>92</v>
      </c>
      <c r="H261" s="4" t="s">
        <v>93</v>
      </c>
      <c r="I261" s="4"/>
      <c r="J261" s="4"/>
      <c r="K261" s="4">
        <v>205</v>
      </c>
      <c r="L261" s="4">
        <v>14</v>
      </c>
      <c r="M261" s="4">
        <v>3</v>
      </c>
      <c r="N261" s="4" t="s">
        <v>3</v>
      </c>
      <c r="O261" s="4">
        <v>2</v>
      </c>
      <c r="P261" s="4"/>
      <c r="Q261" s="4"/>
      <c r="R261" s="4"/>
      <c r="S261" s="4"/>
      <c r="T261" s="4"/>
      <c r="U261" s="4"/>
      <c r="V261" s="4"/>
      <c r="W261" s="4"/>
    </row>
    <row r="262" spans="1:23">
      <c r="A262" s="4">
        <v>50</v>
      </c>
      <c r="B262" s="4">
        <v>0</v>
      </c>
      <c r="C262" s="4">
        <v>0</v>
      </c>
      <c r="D262" s="4">
        <v>1</v>
      </c>
      <c r="E262" s="4">
        <v>232</v>
      </c>
      <c r="F262" s="4">
        <f>ROUND(Source!BC246,O262)</f>
        <v>0</v>
      </c>
      <c r="G262" s="4" t="s">
        <v>94</v>
      </c>
      <c r="H262" s="4" t="s">
        <v>95</v>
      </c>
      <c r="I262" s="4"/>
      <c r="J262" s="4"/>
      <c r="K262" s="4">
        <v>232</v>
      </c>
      <c r="L262" s="4">
        <v>15</v>
      </c>
      <c r="M262" s="4">
        <v>3</v>
      </c>
      <c r="N262" s="4" t="s">
        <v>3</v>
      </c>
      <c r="O262" s="4">
        <v>2</v>
      </c>
      <c r="P262" s="4"/>
      <c r="Q262" s="4"/>
      <c r="R262" s="4"/>
      <c r="S262" s="4"/>
      <c r="T262" s="4"/>
      <c r="U262" s="4"/>
      <c r="V262" s="4"/>
      <c r="W262" s="4"/>
    </row>
    <row r="263" spans="1:23">
      <c r="A263" s="4">
        <v>50</v>
      </c>
      <c r="B263" s="4">
        <v>0</v>
      </c>
      <c r="C263" s="4">
        <v>0</v>
      </c>
      <c r="D263" s="4">
        <v>1</v>
      </c>
      <c r="E263" s="4">
        <v>214</v>
      </c>
      <c r="F263" s="4">
        <f>ROUND(Source!AS246,O263)</f>
        <v>659421.43000000005</v>
      </c>
      <c r="G263" s="4" t="s">
        <v>96</v>
      </c>
      <c r="H263" s="4" t="s">
        <v>97</v>
      </c>
      <c r="I263" s="4"/>
      <c r="J263" s="4"/>
      <c r="K263" s="4">
        <v>214</v>
      </c>
      <c r="L263" s="4">
        <v>16</v>
      </c>
      <c r="M263" s="4">
        <v>3</v>
      </c>
      <c r="N263" s="4" t="s">
        <v>3</v>
      </c>
      <c r="O263" s="4">
        <v>2</v>
      </c>
      <c r="P263" s="4"/>
      <c r="Q263" s="4"/>
      <c r="R263" s="4"/>
      <c r="S263" s="4"/>
      <c r="T263" s="4"/>
      <c r="U263" s="4"/>
      <c r="V263" s="4"/>
      <c r="W263" s="4"/>
    </row>
    <row r="264" spans="1:23">
      <c r="A264" s="4">
        <v>50</v>
      </c>
      <c r="B264" s="4">
        <v>0</v>
      </c>
      <c r="C264" s="4">
        <v>0</v>
      </c>
      <c r="D264" s="4">
        <v>1</v>
      </c>
      <c r="E264" s="4">
        <v>215</v>
      </c>
      <c r="F264" s="4">
        <f>ROUND(Source!AT246,O264)</f>
        <v>21366.1</v>
      </c>
      <c r="G264" s="4" t="s">
        <v>98</v>
      </c>
      <c r="H264" s="4" t="s">
        <v>99</v>
      </c>
      <c r="I264" s="4"/>
      <c r="J264" s="4"/>
      <c r="K264" s="4">
        <v>215</v>
      </c>
      <c r="L264" s="4">
        <v>17</v>
      </c>
      <c r="M264" s="4">
        <v>3</v>
      </c>
      <c r="N264" s="4" t="s">
        <v>3</v>
      </c>
      <c r="O264" s="4">
        <v>2</v>
      </c>
      <c r="P264" s="4"/>
      <c r="Q264" s="4"/>
      <c r="R264" s="4"/>
      <c r="S264" s="4"/>
      <c r="T264" s="4"/>
      <c r="U264" s="4"/>
      <c r="V264" s="4"/>
      <c r="W264" s="4"/>
    </row>
    <row r="265" spans="1:23">
      <c r="A265" s="4">
        <v>50</v>
      </c>
      <c r="B265" s="4">
        <v>0</v>
      </c>
      <c r="C265" s="4">
        <v>0</v>
      </c>
      <c r="D265" s="4">
        <v>1</v>
      </c>
      <c r="E265" s="4">
        <v>217</v>
      </c>
      <c r="F265" s="4">
        <f>ROUND(Source!AU246,O265)</f>
        <v>0</v>
      </c>
      <c r="G265" s="4" t="s">
        <v>100</v>
      </c>
      <c r="H265" s="4" t="s">
        <v>101</v>
      </c>
      <c r="I265" s="4"/>
      <c r="J265" s="4"/>
      <c r="K265" s="4">
        <v>217</v>
      </c>
      <c r="L265" s="4">
        <v>18</v>
      </c>
      <c r="M265" s="4">
        <v>3</v>
      </c>
      <c r="N265" s="4" t="s">
        <v>3</v>
      </c>
      <c r="O265" s="4">
        <v>2</v>
      </c>
      <c r="P265" s="4"/>
      <c r="Q265" s="4"/>
      <c r="R265" s="4"/>
      <c r="S265" s="4"/>
      <c r="T265" s="4"/>
      <c r="U265" s="4"/>
      <c r="V265" s="4"/>
      <c r="W265" s="4"/>
    </row>
    <row r="266" spans="1:23">
      <c r="A266" s="4">
        <v>50</v>
      </c>
      <c r="B266" s="4">
        <v>0</v>
      </c>
      <c r="C266" s="4">
        <v>0</v>
      </c>
      <c r="D266" s="4">
        <v>1</v>
      </c>
      <c r="E266" s="4">
        <v>230</v>
      </c>
      <c r="F266" s="4">
        <f>ROUND(Source!BA246,O266)</f>
        <v>0</v>
      </c>
      <c r="G266" s="4" t="s">
        <v>102</v>
      </c>
      <c r="H266" s="4" t="s">
        <v>103</v>
      </c>
      <c r="I266" s="4"/>
      <c r="J266" s="4"/>
      <c r="K266" s="4">
        <v>230</v>
      </c>
      <c r="L266" s="4">
        <v>19</v>
      </c>
      <c r="M266" s="4">
        <v>3</v>
      </c>
      <c r="N266" s="4" t="s">
        <v>3</v>
      </c>
      <c r="O266" s="4">
        <v>2</v>
      </c>
      <c r="P266" s="4"/>
      <c r="Q266" s="4"/>
      <c r="R266" s="4"/>
      <c r="S266" s="4"/>
      <c r="T266" s="4"/>
      <c r="U266" s="4"/>
      <c r="V266" s="4"/>
      <c r="W266" s="4"/>
    </row>
    <row r="267" spans="1:23">
      <c r="A267" s="4">
        <v>50</v>
      </c>
      <c r="B267" s="4">
        <v>0</v>
      </c>
      <c r="C267" s="4">
        <v>0</v>
      </c>
      <c r="D267" s="4">
        <v>1</v>
      </c>
      <c r="E267" s="4">
        <v>206</v>
      </c>
      <c r="F267" s="4">
        <f>ROUND(Source!T246,O267)</f>
        <v>0</v>
      </c>
      <c r="G267" s="4" t="s">
        <v>104</v>
      </c>
      <c r="H267" s="4" t="s">
        <v>105</v>
      </c>
      <c r="I267" s="4"/>
      <c r="J267" s="4"/>
      <c r="K267" s="4">
        <v>206</v>
      </c>
      <c r="L267" s="4">
        <v>20</v>
      </c>
      <c r="M267" s="4">
        <v>3</v>
      </c>
      <c r="N267" s="4" t="s">
        <v>3</v>
      </c>
      <c r="O267" s="4">
        <v>2</v>
      </c>
      <c r="P267" s="4"/>
      <c r="Q267" s="4"/>
      <c r="R267" s="4"/>
      <c r="S267" s="4"/>
      <c r="T267" s="4"/>
      <c r="U267" s="4"/>
      <c r="V267" s="4"/>
      <c r="W267" s="4"/>
    </row>
    <row r="268" spans="1:23">
      <c r="A268" s="4">
        <v>50</v>
      </c>
      <c r="B268" s="4">
        <v>0</v>
      </c>
      <c r="C268" s="4">
        <v>0</v>
      </c>
      <c r="D268" s="4">
        <v>1</v>
      </c>
      <c r="E268" s="4">
        <v>207</v>
      </c>
      <c r="F268" s="4">
        <f>Source!U246</f>
        <v>483.70988299999999</v>
      </c>
      <c r="G268" s="4" t="s">
        <v>106</v>
      </c>
      <c r="H268" s="4" t="s">
        <v>107</v>
      </c>
      <c r="I268" s="4"/>
      <c r="J268" s="4"/>
      <c r="K268" s="4">
        <v>207</v>
      </c>
      <c r="L268" s="4">
        <v>21</v>
      </c>
      <c r="M268" s="4">
        <v>3</v>
      </c>
      <c r="N268" s="4" t="s">
        <v>3</v>
      </c>
      <c r="O268" s="4">
        <v>-1</v>
      </c>
      <c r="P268" s="4"/>
      <c r="Q268" s="4"/>
      <c r="R268" s="4"/>
      <c r="S268" s="4"/>
      <c r="T268" s="4"/>
      <c r="U268" s="4"/>
      <c r="V268" s="4"/>
      <c r="W268" s="4"/>
    </row>
    <row r="269" spans="1:23">
      <c r="A269" s="4">
        <v>50</v>
      </c>
      <c r="B269" s="4">
        <v>0</v>
      </c>
      <c r="C269" s="4">
        <v>0</v>
      </c>
      <c r="D269" s="4">
        <v>1</v>
      </c>
      <c r="E269" s="4">
        <v>208</v>
      </c>
      <c r="F269" s="4">
        <f>Source!V246</f>
        <v>11.583264999999997</v>
      </c>
      <c r="G269" s="4" t="s">
        <v>108</v>
      </c>
      <c r="H269" s="4" t="s">
        <v>109</v>
      </c>
      <c r="I269" s="4"/>
      <c r="J269" s="4"/>
      <c r="K269" s="4">
        <v>208</v>
      </c>
      <c r="L269" s="4">
        <v>22</v>
      </c>
      <c r="M269" s="4">
        <v>3</v>
      </c>
      <c r="N269" s="4" t="s">
        <v>3</v>
      </c>
      <c r="O269" s="4">
        <v>-1</v>
      </c>
      <c r="P269" s="4"/>
      <c r="Q269" s="4"/>
      <c r="R269" s="4"/>
      <c r="S269" s="4"/>
      <c r="T269" s="4"/>
      <c r="U269" s="4"/>
      <c r="V269" s="4"/>
      <c r="W269" s="4"/>
    </row>
    <row r="270" spans="1:23">
      <c r="A270" s="4">
        <v>50</v>
      </c>
      <c r="B270" s="4">
        <v>0</v>
      </c>
      <c r="C270" s="4">
        <v>0</v>
      </c>
      <c r="D270" s="4">
        <v>1</v>
      </c>
      <c r="E270" s="4">
        <v>209</v>
      </c>
      <c r="F270" s="4">
        <f>ROUND(Source!W246,O270)</f>
        <v>2190.69</v>
      </c>
      <c r="G270" s="4" t="s">
        <v>110</v>
      </c>
      <c r="H270" s="4" t="s">
        <v>111</v>
      </c>
      <c r="I270" s="4"/>
      <c r="J270" s="4"/>
      <c r="K270" s="4">
        <v>209</v>
      </c>
      <c r="L270" s="4">
        <v>23</v>
      </c>
      <c r="M270" s="4">
        <v>3</v>
      </c>
      <c r="N270" s="4" t="s">
        <v>3</v>
      </c>
      <c r="O270" s="4">
        <v>2</v>
      </c>
      <c r="P270" s="4"/>
      <c r="Q270" s="4"/>
      <c r="R270" s="4"/>
      <c r="S270" s="4"/>
      <c r="T270" s="4"/>
      <c r="U270" s="4"/>
      <c r="V270" s="4"/>
      <c r="W270" s="4"/>
    </row>
    <row r="271" spans="1:23">
      <c r="A271" s="4">
        <v>50</v>
      </c>
      <c r="B271" s="4">
        <v>0</v>
      </c>
      <c r="C271" s="4">
        <v>0</v>
      </c>
      <c r="D271" s="4">
        <v>1</v>
      </c>
      <c r="E271" s="4">
        <v>233</v>
      </c>
      <c r="F271" s="4">
        <f>ROUND(Source!BD246,O271)</f>
        <v>1189.56</v>
      </c>
      <c r="G271" s="4" t="s">
        <v>112</v>
      </c>
      <c r="H271" s="4" t="s">
        <v>113</v>
      </c>
      <c r="I271" s="4"/>
      <c r="J271" s="4"/>
      <c r="K271" s="4">
        <v>233</v>
      </c>
      <c r="L271" s="4">
        <v>24</v>
      </c>
      <c r="M271" s="4">
        <v>3</v>
      </c>
      <c r="N271" s="4" t="s">
        <v>3</v>
      </c>
      <c r="O271" s="4">
        <v>2</v>
      </c>
      <c r="P271" s="4"/>
      <c r="Q271" s="4"/>
      <c r="R271" s="4"/>
      <c r="S271" s="4"/>
      <c r="T271" s="4"/>
      <c r="U271" s="4"/>
      <c r="V271" s="4"/>
      <c r="W271" s="4"/>
    </row>
    <row r="272" spans="1:23">
      <c r="A272" s="4">
        <v>50</v>
      </c>
      <c r="B272" s="4">
        <v>0</v>
      </c>
      <c r="C272" s="4">
        <v>0</v>
      </c>
      <c r="D272" s="4">
        <v>1</v>
      </c>
      <c r="E272" s="4">
        <v>210</v>
      </c>
      <c r="F272" s="4">
        <f>ROUND(Source!X246,O272)</f>
        <v>140294.04</v>
      </c>
      <c r="G272" s="4" t="s">
        <v>114</v>
      </c>
      <c r="H272" s="4" t="s">
        <v>115</v>
      </c>
      <c r="I272" s="4"/>
      <c r="J272" s="4"/>
      <c r="K272" s="4">
        <v>210</v>
      </c>
      <c r="L272" s="4">
        <v>25</v>
      </c>
      <c r="M272" s="4">
        <v>3</v>
      </c>
      <c r="N272" s="4" t="s">
        <v>3</v>
      </c>
      <c r="O272" s="4">
        <v>2</v>
      </c>
      <c r="P272" s="4"/>
      <c r="Q272" s="4"/>
      <c r="R272" s="4"/>
      <c r="S272" s="4"/>
      <c r="T272" s="4"/>
      <c r="U272" s="4"/>
      <c r="V272" s="4"/>
      <c r="W272" s="4"/>
    </row>
    <row r="273" spans="1:206">
      <c r="A273" s="4">
        <v>50</v>
      </c>
      <c r="B273" s="4">
        <v>0</v>
      </c>
      <c r="C273" s="4">
        <v>0</v>
      </c>
      <c r="D273" s="4">
        <v>1</v>
      </c>
      <c r="E273" s="4">
        <v>211</v>
      </c>
      <c r="F273" s="4">
        <f>ROUND(Source!Y246,O273)</f>
        <v>83470.070000000007</v>
      </c>
      <c r="G273" s="4" t="s">
        <v>116</v>
      </c>
      <c r="H273" s="4" t="s">
        <v>117</v>
      </c>
      <c r="I273" s="4"/>
      <c r="J273" s="4"/>
      <c r="K273" s="4">
        <v>211</v>
      </c>
      <c r="L273" s="4">
        <v>26</v>
      </c>
      <c r="M273" s="4">
        <v>3</v>
      </c>
      <c r="N273" s="4" t="s">
        <v>3</v>
      </c>
      <c r="O273" s="4">
        <v>2</v>
      </c>
      <c r="P273" s="4"/>
      <c r="Q273" s="4"/>
      <c r="R273" s="4"/>
      <c r="S273" s="4"/>
      <c r="T273" s="4"/>
      <c r="U273" s="4"/>
      <c r="V273" s="4"/>
      <c r="W273" s="4"/>
    </row>
    <row r="274" spans="1:206">
      <c r="A274" s="4">
        <v>50</v>
      </c>
      <c r="B274" s="4">
        <v>0</v>
      </c>
      <c r="C274" s="4">
        <v>0</v>
      </c>
      <c r="D274" s="4">
        <v>1</v>
      </c>
      <c r="E274" s="4">
        <v>224</v>
      </c>
      <c r="F274" s="4">
        <f>ROUND(Source!AR246,O274)</f>
        <v>680787.53</v>
      </c>
      <c r="G274" s="4" t="s">
        <v>118</v>
      </c>
      <c r="H274" s="4" t="s">
        <v>119</v>
      </c>
      <c r="I274" s="4"/>
      <c r="J274" s="4"/>
      <c r="K274" s="4">
        <v>224</v>
      </c>
      <c r="L274" s="4">
        <v>27</v>
      </c>
      <c r="M274" s="4">
        <v>3</v>
      </c>
      <c r="N274" s="4" t="s">
        <v>3</v>
      </c>
      <c r="O274" s="4">
        <v>2</v>
      </c>
      <c r="P274" s="4"/>
      <c r="Q274" s="4"/>
      <c r="R274" s="4"/>
      <c r="S274" s="4"/>
      <c r="T274" s="4"/>
      <c r="U274" s="4"/>
      <c r="V274" s="4"/>
      <c r="W274" s="4"/>
    </row>
    <row r="276" spans="1:206">
      <c r="A276" s="2">
        <v>51</v>
      </c>
      <c r="B276" s="2">
        <f>B12</f>
        <v>337</v>
      </c>
      <c r="C276" s="2">
        <f>A12</f>
        <v>1</v>
      </c>
      <c r="D276" s="2">
        <f>ROW(A12)</f>
        <v>12</v>
      </c>
      <c r="E276" s="2"/>
      <c r="F276" s="2" t="str">
        <f>IF(F12&lt;&gt;"",F12,"")</f>
        <v>Новый объект</v>
      </c>
      <c r="G276" s="2" t="str">
        <f>IF(G12&lt;&gt;"",G12,"")</f>
        <v>Спортивный зал Ильинский Погост 2021.</v>
      </c>
      <c r="H276" s="2">
        <v>0</v>
      </c>
      <c r="I276" s="2"/>
      <c r="J276" s="2"/>
      <c r="K276" s="2"/>
      <c r="L276" s="2"/>
      <c r="M276" s="2"/>
      <c r="N276" s="2"/>
      <c r="O276" s="2">
        <f t="shared" ref="O276:T276" si="241">ROUND(O246,2)</f>
        <v>457023.42</v>
      </c>
      <c r="P276" s="2">
        <f t="shared" si="241"/>
        <v>306110.12</v>
      </c>
      <c r="Q276" s="2">
        <f t="shared" si="241"/>
        <v>9881.35</v>
      </c>
      <c r="R276" s="2">
        <f t="shared" si="241"/>
        <v>4092.97</v>
      </c>
      <c r="S276" s="2">
        <f t="shared" si="241"/>
        <v>141031.95000000001</v>
      </c>
      <c r="T276" s="2">
        <f t="shared" si="241"/>
        <v>0</v>
      </c>
      <c r="U276" s="2">
        <f>U246</f>
        <v>483.70988299999999</v>
      </c>
      <c r="V276" s="2">
        <f>V246</f>
        <v>11.583264999999997</v>
      </c>
      <c r="W276" s="2">
        <f>ROUND(W246,2)</f>
        <v>2190.69</v>
      </c>
      <c r="X276" s="2">
        <f>ROUND(X246,2)</f>
        <v>140294.04</v>
      </c>
      <c r="Y276" s="2">
        <f>ROUND(Y246,2)</f>
        <v>83470.070000000007</v>
      </c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>
        <f t="shared" ref="AO276:BD276" si="242">ROUND(AO246,2)</f>
        <v>0</v>
      </c>
      <c r="AP276" s="2">
        <f t="shared" si="242"/>
        <v>0</v>
      </c>
      <c r="AQ276" s="2">
        <f t="shared" si="242"/>
        <v>0</v>
      </c>
      <c r="AR276" s="2">
        <f t="shared" si="242"/>
        <v>680787.53</v>
      </c>
      <c r="AS276" s="2">
        <f t="shared" si="242"/>
        <v>659421.43000000005</v>
      </c>
      <c r="AT276" s="2">
        <f t="shared" si="242"/>
        <v>21366.1</v>
      </c>
      <c r="AU276" s="2">
        <f t="shared" si="242"/>
        <v>0</v>
      </c>
      <c r="AV276" s="2">
        <f t="shared" si="242"/>
        <v>306110.12</v>
      </c>
      <c r="AW276" s="2">
        <f t="shared" si="242"/>
        <v>306110.12</v>
      </c>
      <c r="AX276" s="2">
        <f t="shared" si="242"/>
        <v>0</v>
      </c>
      <c r="AY276" s="2">
        <f t="shared" si="242"/>
        <v>306110.12</v>
      </c>
      <c r="AZ276" s="2">
        <f t="shared" si="242"/>
        <v>0</v>
      </c>
      <c r="BA276" s="2">
        <f t="shared" si="242"/>
        <v>0</v>
      </c>
      <c r="BB276" s="2">
        <f t="shared" si="242"/>
        <v>0</v>
      </c>
      <c r="BC276" s="2">
        <f t="shared" si="242"/>
        <v>0</v>
      </c>
      <c r="BD276" s="2">
        <f t="shared" si="242"/>
        <v>1189.56</v>
      </c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3"/>
      <c r="DH276" s="3"/>
      <c r="DI276" s="3"/>
      <c r="DJ276" s="3"/>
      <c r="DK276" s="3"/>
      <c r="DL276" s="3"/>
      <c r="DM276" s="3"/>
      <c r="DN276" s="3"/>
      <c r="DO276" s="3"/>
      <c r="DP276" s="3"/>
      <c r="DQ276" s="3"/>
      <c r="DR276" s="3"/>
      <c r="DS276" s="3"/>
      <c r="DT276" s="3"/>
      <c r="DU276" s="3"/>
      <c r="DV276" s="3"/>
      <c r="DW276" s="3"/>
      <c r="DX276" s="3"/>
      <c r="DY276" s="3"/>
      <c r="DZ276" s="3"/>
      <c r="EA276" s="3"/>
      <c r="EB276" s="3"/>
      <c r="EC276" s="3"/>
      <c r="ED276" s="3"/>
      <c r="EE276" s="3"/>
      <c r="EF276" s="3"/>
      <c r="EG276" s="3"/>
      <c r="EH276" s="3"/>
      <c r="EI276" s="3"/>
      <c r="EJ276" s="3"/>
      <c r="EK276" s="3"/>
      <c r="EL276" s="3"/>
      <c r="EM276" s="3"/>
      <c r="EN276" s="3"/>
      <c r="EO276" s="3"/>
      <c r="EP276" s="3"/>
      <c r="EQ276" s="3"/>
      <c r="ER276" s="3"/>
      <c r="ES276" s="3"/>
      <c r="ET276" s="3"/>
      <c r="EU276" s="3"/>
      <c r="EV276" s="3"/>
      <c r="EW276" s="3"/>
      <c r="EX276" s="3"/>
      <c r="EY276" s="3"/>
      <c r="EZ276" s="3"/>
      <c r="FA276" s="3"/>
      <c r="FB276" s="3"/>
      <c r="FC276" s="3"/>
      <c r="FD276" s="3"/>
      <c r="FE276" s="3"/>
      <c r="FF276" s="3"/>
      <c r="FG276" s="3"/>
      <c r="FH276" s="3"/>
      <c r="FI276" s="3"/>
      <c r="FJ276" s="3"/>
      <c r="FK276" s="3"/>
      <c r="FL276" s="3"/>
      <c r="FM276" s="3"/>
      <c r="FN276" s="3"/>
      <c r="FO276" s="3"/>
      <c r="FP276" s="3"/>
      <c r="FQ276" s="3"/>
      <c r="FR276" s="3"/>
      <c r="FS276" s="3"/>
      <c r="FT276" s="3"/>
      <c r="FU276" s="3"/>
      <c r="FV276" s="3"/>
      <c r="FW276" s="3"/>
      <c r="FX276" s="3"/>
      <c r="FY276" s="3"/>
      <c r="FZ276" s="3"/>
      <c r="GA276" s="3"/>
      <c r="GB276" s="3"/>
      <c r="GC276" s="3"/>
      <c r="GD276" s="3"/>
      <c r="GE276" s="3"/>
      <c r="GF276" s="3"/>
      <c r="GG276" s="3"/>
      <c r="GH276" s="3"/>
      <c r="GI276" s="3"/>
      <c r="GJ276" s="3"/>
      <c r="GK276" s="3"/>
      <c r="GL276" s="3"/>
      <c r="GM276" s="3"/>
      <c r="GN276" s="3"/>
      <c r="GO276" s="3"/>
      <c r="GP276" s="3"/>
      <c r="GQ276" s="3"/>
      <c r="GR276" s="3"/>
      <c r="GS276" s="3"/>
      <c r="GT276" s="3"/>
      <c r="GU276" s="3"/>
      <c r="GV276" s="3"/>
      <c r="GW276" s="3"/>
      <c r="GX276" s="3">
        <v>0</v>
      </c>
    </row>
    <row r="278" spans="1:206">
      <c r="A278" s="4">
        <v>50</v>
      </c>
      <c r="B278" s="4">
        <v>0</v>
      </c>
      <c r="C278" s="4">
        <v>0</v>
      </c>
      <c r="D278" s="4">
        <v>1</v>
      </c>
      <c r="E278" s="4">
        <v>201</v>
      </c>
      <c r="F278" s="4">
        <f>ROUND(Source!O276,O278)</f>
        <v>457023.42</v>
      </c>
      <c r="G278" s="4" t="s">
        <v>66</v>
      </c>
      <c r="H278" s="4" t="s">
        <v>67</v>
      </c>
      <c r="I278" s="4"/>
      <c r="J278" s="4"/>
      <c r="K278" s="4">
        <v>201</v>
      </c>
      <c r="L278" s="4">
        <v>1</v>
      </c>
      <c r="M278" s="4">
        <v>3</v>
      </c>
      <c r="N278" s="4" t="s">
        <v>3</v>
      </c>
      <c r="O278" s="4">
        <v>2</v>
      </c>
      <c r="P278" s="4"/>
      <c r="Q278" s="4"/>
      <c r="R278" s="4"/>
      <c r="S278" s="4"/>
      <c r="T278" s="4"/>
      <c r="U278" s="4"/>
      <c r="V278" s="4"/>
      <c r="W278" s="4"/>
    </row>
    <row r="279" spans="1:206">
      <c r="A279" s="4">
        <v>50</v>
      </c>
      <c r="B279" s="4">
        <v>0</v>
      </c>
      <c r="C279" s="4">
        <v>0</v>
      </c>
      <c r="D279" s="4">
        <v>1</v>
      </c>
      <c r="E279" s="4">
        <v>202</v>
      </c>
      <c r="F279" s="4">
        <f>ROUND(Source!P276,O279)</f>
        <v>306110.12</v>
      </c>
      <c r="G279" s="4" t="s">
        <v>68</v>
      </c>
      <c r="H279" s="4" t="s">
        <v>69</v>
      </c>
      <c r="I279" s="4"/>
      <c r="J279" s="4"/>
      <c r="K279" s="4">
        <v>202</v>
      </c>
      <c r="L279" s="4">
        <v>2</v>
      </c>
      <c r="M279" s="4">
        <v>3</v>
      </c>
      <c r="N279" s="4" t="s">
        <v>3</v>
      </c>
      <c r="O279" s="4">
        <v>2</v>
      </c>
      <c r="P279" s="4"/>
      <c r="Q279" s="4"/>
      <c r="R279" s="4"/>
      <c r="S279" s="4"/>
      <c r="T279" s="4"/>
      <c r="U279" s="4"/>
      <c r="V279" s="4"/>
      <c r="W279" s="4"/>
    </row>
    <row r="280" spans="1:206">
      <c r="A280" s="4">
        <v>50</v>
      </c>
      <c r="B280" s="4">
        <v>0</v>
      </c>
      <c r="C280" s="4">
        <v>0</v>
      </c>
      <c r="D280" s="4">
        <v>1</v>
      </c>
      <c r="E280" s="4">
        <v>222</v>
      </c>
      <c r="F280" s="4">
        <f>ROUND(Source!AO276,O280)</f>
        <v>0</v>
      </c>
      <c r="G280" s="4" t="s">
        <v>70</v>
      </c>
      <c r="H280" s="4" t="s">
        <v>71</v>
      </c>
      <c r="I280" s="4"/>
      <c r="J280" s="4"/>
      <c r="K280" s="4">
        <v>222</v>
      </c>
      <c r="L280" s="4">
        <v>3</v>
      </c>
      <c r="M280" s="4">
        <v>3</v>
      </c>
      <c r="N280" s="4" t="s">
        <v>3</v>
      </c>
      <c r="O280" s="4">
        <v>2</v>
      </c>
      <c r="P280" s="4"/>
      <c r="Q280" s="4"/>
      <c r="R280" s="4"/>
      <c r="S280" s="4"/>
      <c r="T280" s="4"/>
      <c r="U280" s="4"/>
      <c r="V280" s="4"/>
      <c r="W280" s="4"/>
    </row>
    <row r="281" spans="1:206">
      <c r="A281" s="4">
        <v>50</v>
      </c>
      <c r="B281" s="4">
        <v>0</v>
      </c>
      <c r="C281" s="4">
        <v>0</v>
      </c>
      <c r="D281" s="4">
        <v>1</v>
      </c>
      <c r="E281" s="4">
        <v>225</v>
      </c>
      <c r="F281" s="4">
        <f>ROUND(Source!AV276,O281)</f>
        <v>306110.12</v>
      </c>
      <c r="G281" s="4" t="s">
        <v>72</v>
      </c>
      <c r="H281" s="4" t="s">
        <v>73</v>
      </c>
      <c r="I281" s="4"/>
      <c r="J281" s="4"/>
      <c r="K281" s="4">
        <v>225</v>
      </c>
      <c r="L281" s="4">
        <v>4</v>
      </c>
      <c r="M281" s="4">
        <v>3</v>
      </c>
      <c r="N281" s="4" t="s">
        <v>3</v>
      </c>
      <c r="O281" s="4">
        <v>2</v>
      </c>
      <c r="P281" s="4"/>
      <c r="Q281" s="4"/>
      <c r="R281" s="4"/>
      <c r="S281" s="4"/>
      <c r="T281" s="4"/>
      <c r="U281" s="4"/>
      <c r="V281" s="4"/>
      <c r="W281" s="4"/>
    </row>
    <row r="282" spans="1:206">
      <c r="A282" s="4">
        <v>50</v>
      </c>
      <c r="B282" s="4">
        <v>0</v>
      </c>
      <c r="C282" s="4">
        <v>0</v>
      </c>
      <c r="D282" s="4">
        <v>1</v>
      </c>
      <c r="E282" s="4">
        <v>226</v>
      </c>
      <c r="F282" s="4">
        <f>ROUND(Source!AW276,O282)</f>
        <v>306110.12</v>
      </c>
      <c r="G282" s="4" t="s">
        <v>74</v>
      </c>
      <c r="H282" s="4" t="s">
        <v>75</v>
      </c>
      <c r="I282" s="4"/>
      <c r="J282" s="4"/>
      <c r="K282" s="4">
        <v>226</v>
      </c>
      <c r="L282" s="4">
        <v>5</v>
      </c>
      <c r="M282" s="4">
        <v>3</v>
      </c>
      <c r="N282" s="4" t="s">
        <v>3</v>
      </c>
      <c r="O282" s="4">
        <v>2</v>
      </c>
      <c r="P282" s="4"/>
      <c r="Q282" s="4"/>
      <c r="R282" s="4"/>
      <c r="S282" s="4"/>
      <c r="T282" s="4"/>
      <c r="U282" s="4"/>
      <c r="V282" s="4"/>
      <c r="W282" s="4"/>
    </row>
    <row r="283" spans="1:206">
      <c r="A283" s="4">
        <v>50</v>
      </c>
      <c r="B283" s="4">
        <v>0</v>
      </c>
      <c r="C283" s="4">
        <v>0</v>
      </c>
      <c r="D283" s="4">
        <v>1</v>
      </c>
      <c r="E283" s="4">
        <v>227</v>
      </c>
      <c r="F283" s="4">
        <f>ROUND(Source!AX276,O283)</f>
        <v>0</v>
      </c>
      <c r="G283" s="4" t="s">
        <v>76</v>
      </c>
      <c r="H283" s="4" t="s">
        <v>77</v>
      </c>
      <c r="I283" s="4"/>
      <c r="J283" s="4"/>
      <c r="K283" s="4">
        <v>227</v>
      </c>
      <c r="L283" s="4">
        <v>6</v>
      </c>
      <c r="M283" s="4">
        <v>3</v>
      </c>
      <c r="N283" s="4" t="s">
        <v>3</v>
      </c>
      <c r="O283" s="4">
        <v>2</v>
      </c>
      <c r="P283" s="4"/>
      <c r="Q283" s="4"/>
      <c r="R283" s="4"/>
      <c r="S283" s="4"/>
      <c r="T283" s="4"/>
      <c r="U283" s="4"/>
      <c r="V283" s="4"/>
      <c r="W283" s="4"/>
    </row>
    <row r="284" spans="1:206">
      <c r="A284" s="4">
        <v>50</v>
      </c>
      <c r="B284" s="4">
        <v>0</v>
      </c>
      <c r="C284" s="4">
        <v>0</v>
      </c>
      <c r="D284" s="4">
        <v>1</v>
      </c>
      <c r="E284" s="4">
        <v>228</v>
      </c>
      <c r="F284" s="4">
        <f>ROUND(Source!AY276,O284)</f>
        <v>306110.12</v>
      </c>
      <c r="G284" s="4" t="s">
        <v>78</v>
      </c>
      <c r="H284" s="4" t="s">
        <v>79</v>
      </c>
      <c r="I284" s="4"/>
      <c r="J284" s="4"/>
      <c r="K284" s="4">
        <v>228</v>
      </c>
      <c r="L284" s="4">
        <v>7</v>
      </c>
      <c r="M284" s="4">
        <v>3</v>
      </c>
      <c r="N284" s="4" t="s">
        <v>3</v>
      </c>
      <c r="O284" s="4">
        <v>2</v>
      </c>
      <c r="P284" s="4"/>
      <c r="Q284" s="4"/>
      <c r="R284" s="4"/>
      <c r="S284" s="4"/>
      <c r="T284" s="4"/>
      <c r="U284" s="4"/>
      <c r="V284" s="4"/>
      <c r="W284" s="4"/>
    </row>
    <row r="285" spans="1:206">
      <c r="A285" s="4">
        <v>50</v>
      </c>
      <c r="B285" s="4">
        <v>0</v>
      </c>
      <c r="C285" s="4">
        <v>0</v>
      </c>
      <c r="D285" s="4">
        <v>1</v>
      </c>
      <c r="E285" s="4">
        <v>216</v>
      </c>
      <c r="F285" s="4">
        <f>ROUND(Source!AP276,O285)</f>
        <v>0</v>
      </c>
      <c r="G285" s="4" t="s">
        <v>80</v>
      </c>
      <c r="H285" s="4" t="s">
        <v>81</v>
      </c>
      <c r="I285" s="4"/>
      <c r="J285" s="4"/>
      <c r="K285" s="4">
        <v>216</v>
      </c>
      <c r="L285" s="4">
        <v>8</v>
      </c>
      <c r="M285" s="4">
        <v>3</v>
      </c>
      <c r="N285" s="4" t="s">
        <v>3</v>
      </c>
      <c r="O285" s="4">
        <v>2</v>
      </c>
      <c r="P285" s="4"/>
      <c r="Q285" s="4"/>
      <c r="R285" s="4"/>
      <c r="S285" s="4"/>
      <c r="T285" s="4"/>
      <c r="U285" s="4"/>
      <c r="V285" s="4"/>
      <c r="W285" s="4"/>
    </row>
    <row r="286" spans="1:206">
      <c r="A286" s="4">
        <v>50</v>
      </c>
      <c r="B286" s="4">
        <v>0</v>
      </c>
      <c r="C286" s="4">
        <v>0</v>
      </c>
      <c r="D286" s="4">
        <v>1</v>
      </c>
      <c r="E286" s="4">
        <v>223</v>
      </c>
      <c r="F286" s="4">
        <f>ROUND(Source!AQ276,O286)</f>
        <v>0</v>
      </c>
      <c r="G286" s="4" t="s">
        <v>82</v>
      </c>
      <c r="H286" s="4" t="s">
        <v>83</v>
      </c>
      <c r="I286" s="4"/>
      <c r="J286" s="4"/>
      <c r="K286" s="4">
        <v>223</v>
      </c>
      <c r="L286" s="4">
        <v>9</v>
      </c>
      <c r="M286" s="4">
        <v>3</v>
      </c>
      <c r="N286" s="4" t="s">
        <v>3</v>
      </c>
      <c r="O286" s="4">
        <v>2</v>
      </c>
      <c r="P286" s="4"/>
      <c r="Q286" s="4"/>
      <c r="R286" s="4"/>
      <c r="S286" s="4"/>
      <c r="T286" s="4"/>
      <c r="U286" s="4"/>
      <c r="V286" s="4"/>
      <c r="W286" s="4"/>
    </row>
    <row r="287" spans="1:206">
      <c r="A287" s="4">
        <v>50</v>
      </c>
      <c r="B287" s="4">
        <v>0</v>
      </c>
      <c r="C287" s="4">
        <v>0</v>
      </c>
      <c r="D287" s="4">
        <v>1</v>
      </c>
      <c r="E287" s="4">
        <v>229</v>
      </c>
      <c r="F287" s="4">
        <f>ROUND(Source!AZ276,O287)</f>
        <v>0</v>
      </c>
      <c r="G287" s="4" t="s">
        <v>84</v>
      </c>
      <c r="H287" s="4" t="s">
        <v>85</v>
      </c>
      <c r="I287" s="4"/>
      <c r="J287" s="4"/>
      <c r="K287" s="4">
        <v>229</v>
      </c>
      <c r="L287" s="4">
        <v>10</v>
      </c>
      <c r="M287" s="4">
        <v>3</v>
      </c>
      <c r="N287" s="4" t="s">
        <v>3</v>
      </c>
      <c r="O287" s="4">
        <v>2</v>
      </c>
      <c r="P287" s="4"/>
      <c r="Q287" s="4"/>
      <c r="R287" s="4"/>
      <c r="S287" s="4"/>
      <c r="T287" s="4"/>
      <c r="U287" s="4"/>
      <c r="V287" s="4"/>
      <c r="W287" s="4"/>
    </row>
    <row r="288" spans="1:206">
      <c r="A288" s="4">
        <v>50</v>
      </c>
      <c r="B288" s="4">
        <v>0</v>
      </c>
      <c r="C288" s="4">
        <v>0</v>
      </c>
      <c r="D288" s="4">
        <v>1</v>
      </c>
      <c r="E288" s="4">
        <v>203</v>
      </c>
      <c r="F288" s="4">
        <f>ROUND(Source!Q276,O288)</f>
        <v>9881.35</v>
      </c>
      <c r="G288" s="4" t="s">
        <v>86</v>
      </c>
      <c r="H288" s="4" t="s">
        <v>87</v>
      </c>
      <c r="I288" s="4"/>
      <c r="J288" s="4"/>
      <c r="K288" s="4">
        <v>203</v>
      </c>
      <c r="L288" s="4">
        <v>11</v>
      </c>
      <c r="M288" s="4">
        <v>3</v>
      </c>
      <c r="N288" s="4" t="s">
        <v>3</v>
      </c>
      <c r="O288" s="4">
        <v>2</v>
      </c>
      <c r="P288" s="4"/>
      <c r="Q288" s="4"/>
      <c r="R288" s="4"/>
      <c r="S288" s="4"/>
      <c r="T288" s="4"/>
      <c r="U288" s="4"/>
      <c r="V288" s="4"/>
      <c r="W288" s="4"/>
    </row>
    <row r="289" spans="1:23">
      <c r="A289" s="4">
        <v>50</v>
      </c>
      <c r="B289" s="4">
        <v>0</v>
      </c>
      <c r="C289" s="4">
        <v>0</v>
      </c>
      <c r="D289" s="4">
        <v>1</v>
      </c>
      <c r="E289" s="4">
        <v>231</v>
      </c>
      <c r="F289" s="4">
        <f>ROUND(Source!BB276,O289)</f>
        <v>0</v>
      </c>
      <c r="G289" s="4" t="s">
        <v>88</v>
      </c>
      <c r="H289" s="4" t="s">
        <v>89</v>
      </c>
      <c r="I289" s="4"/>
      <c r="J289" s="4"/>
      <c r="K289" s="4">
        <v>231</v>
      </c>
      <c r="L289" s="4">
        <v>12</v>
      </c>
      <c r="M289" s="4">
        <v>3</v>
      </c>
      <c r="N289" s="4" t="s">
        <v>3</v>
      </c>
      <c r="O289" s="4">
        <v>2</v>
      </c>
      <c r="P289" s="4"/>
      <c r="Q289" s="4"/>
      <c r="R289" s="4"/>
      <c r="S289" s="4"/>
      <c r="T289" s="4"/>
      <c r="U289" s="4"/>
      <c r="V289" s="4"/>
      <c r="W289" s="4"/>
    </row>
    <row r="290" spans="1:23">
      <c r="A290" s="4">
        <v>50</v>
      </c>
      <c r="B290" s="4">
        <v>0</v>
      </c>
      <c r="C290" s="4">
        <v>0</v>
      </c>
      <c r="D290" s="4">
        <v>1</v>
      </c>
      <c r="E290" s="4">
        <v>204</v>
      </c>
      <c r="F290" s="4">
        <f>ROUND(Source!R276,O290)</f>
        <v>4092.97</v>
      </c>
      <c r="G290" s="4" t="s">
        <v>90</v>
      </c>
      <c r="H290" s="4" t="s">
        <v>91</v>
      </c>
      <c r="I290" s="4"/>
      <c r="J290" s="4"/>
      <c r="K290" s="4">
        <v>204</v>
      </c>
      <c r="L290" s="4">
        <v>13</v>
      </c>
      <c r="M290" s="4">
        <v>3</v>
      </c>
      <c r="N290" s="4" t="s">
        <v>3</v>
      </c>
      <c r="O290" s="4">
        <v>2</v>
      </c>
      <c r="P290" s="4"/>
      <c r="Q290" s="4"/>
      <c r="R290" s="4"/>
      <c r="S290" s="4"/>
      <c r="T290" s="4"/>
      <c r="U290" s="4"/>
      <c r="V290" s="4"/>
      <c r="W290" s="4"/>
    </row>
    <row r="291" spans="1:23">
      <c r="A291" s="4">
        <v>50</v>
      </c>
      <c r="B291" s="4">
        <v>0</v>
      </c>
      <c r="C291" s="4">
        <v>0</v>
      </c>
      <c r="D291" s="4">
        <v>1</v>
      </c>
      <c r="E291" s="4">
        <v>205</v>
      </c>
      <c r="F291" s="4">
        <f>ROUND(Source!S276,O291)</f>
        <v>141031.95000000001</v>
      </c>
      <c r="G291" s="4" t="s">
        <v>92</v>
      </c>
      <c r="H291" s="4" t="s">
        <v>93</v>
      </c>
      <c r="I291" s="4"/>
      <c r="J291" s="4"/>
      <c r="K291" s="4">
        <v>205</v>
      </c>
      <c r="L291" s="4">
        <v>14</v>
      </c>
      <c r="M291" s="4">
        <v>3</v>
      </c>
      <c r="N291" s="4" t="s">
        <v>3</v>
      </c>
      <c r="O291" s="4">
        <v>2</v>
      </c>
      <c r="P291" s="4"/>
      <c r="Q291" s="4"/>
      <c r="R291" s="4"/>
      <c r="S291" s="4"/>
      <c r="T291" s="4"/>
      <c r="U291" s="4"/>
      <c r="V291" s="4"/>
      <c r="W291" s="4"/>
    </row>
    <row r="292" spans="1:23">
      <c r="A292" s="4">
        <v>50</v>
      </c>
      <c r="B292" s="4">
        <v>0</v>
      </c>
      <c r="C292" s="4">
        <v>0</v>
      </c>
      <c r="D292" s="4">
        <v>1</v>
      </c>
      <c r="E292" s="4">
        <v>232</v>
      </c>
      <c r="F292" s="4">
        <f>ROUND(Source!BC276,O292)</f>
        <v>0</v>
      </c>
      <c r="G292" s="4" t="s">
        <v>94</v>
      </c>
      <c r="H292" s="4" t="s">
        <v>95</v>
      </c>
      <c r="I292" s="4"/>
      <c r="J292" s="4"/>
      <c r="K292" s="4">
        <v>232</v>
      </c>
      <c r="L292" s="4">
        <v>15</v>
      </c>
      <c r="M292" s="4">
        <v>3</v>
      </c>
      <c r="N292" s="4" t="s">
        <v>3</v>
      </c>
      <c r="O292" s="4">
        <v>2</v>
      </c>
      <c r="P292" s="4"/>
      <c r="Q292" s="4"/>
      <c r="R292" s="4"/>
      <c r="S292" s="4"/>
      <c r="T292" s="4"/>
      <c r="U292" s="4"/>
      <c r="V292" s="4"/>
      <c r="W292" s="4"/>
    </row>
    <row r="293" spans="1:23">
      <c r="A293" s="4">
        <v>50</v>
      </c>
      <c r="B293" s="4">
        <v>0</v>
      </c>
      <c r="C293" s="4">
        <v>0</v>
      </c>
      <c r="D293" s="4">
        <v>1</v>
      </c>
      <c r="E293" s="4">
        <v>214</v>
      </c>
      <c r="F293" s="4">
        <f>ROUND(Source!AS276,O293)</f>
        <v>659421.43000000005</v>
      </c>
      <c r="G293" s="4" t="s">
        <v>96</v>
      </c>
      <c r="H293" s="4" t="s">
        <v>97</v>
      </c>
      <c r="I293" s="4"/>
      <c r="J293" s="4"/>
      <c r="K293" s="4">
        <v>214</v>
      </c>
      <c r="L293" s="4">
        <v>16</v>
      </c>
      <c r="M293" s="4">
        <v>3</v>
      </c>
      <c r="N293" s="4" t="s">
        <v>3</v>
      </c>
      <c r="O293" s="4">
        <v>2</v>
      </c>
      <c r="P293" s="4"/>
      <c r="Q293" s="4"/>
      <c r="R293" s="4"/>
      <c r="S293" s="4"/>
      <c r="T293" s="4"/>
      <c r="U293" s="4"/>
      <c r="V293" s="4"/>
      <c r="W293" s="4"/>
    </row>
    <row r="294" spans="1:23">
      <c r="A294" s="4">
        <v>50</v>
      </c>
      <c r="B294" s="4">
        <v>0</v>
      </c>
      <c r="C294" s="4">
        <v>0</v>
      </c>
      <c r="D294" s="4">
        <v>1</v>
      </c>
      <c r="E294" s="4">
        <v>215</v>
      </c>
      <c r="F294" s="4">
        <f>ROUND(Source!AT276,O294)</f>
        <v>21366.1</v>
      </c>
      <c r="G294" s="4" t="s">
        <v>98</v>
      </c>
      <c r="H294" s="4" t="s">
        <v>99</v>
      </c>
      <c r="I294" s="4"/>
      <c r="J294" s="4"/>
      <c r="K294" s="4">
        <v>215</v>
      </c>
      <c r="L294" s="4">
        <v>17</v>
      </c>
      <c r="M294" s="4">
        <v>3</v>
      </c>
      <c r="N294" s="4" t="s">
        <v>3</v>
      </c>
      <c r="O294" s="4">
        <v>2</v>
      </c>
      <c r="P294" s="4"/>
      <c r="Q294" s="4"/>
      <c r="R294" s="4"/>
      <c r="S294" s="4"/>
      <c r="T294" s="4"/>
      <c r="U294" s="4"/>
      <c r="V294" s="4"/>
      <c r="W294" s="4"/>
    </row>
    <row r="295" spans="1:23">
      <c r="A295" s="4">
        <v>50</v>
      </c>
      <c r="B295" s="4">
        <v>0</v>
      </c>
      <c r="C295" s="4">
        <v>0</v>
      </c>
      <c r="D295" s="4">
        <v>1</v>
      </c>
      <c r="E295" s="4">
        <v>217</v>
      </c>
      <c r="F295" s="4">
        <f>ROUND(Source!AU276,O295)</f>
        <v>0</v>
      </c>
      <c r="G295" s="4" t="s">
        <v>100</v>
      </c>
      <c r="H295" s="4" t="s">
        <v>101</v>
      </c>
      <c r="I295" s="4"/>
      <c r="J295" s="4"/>
      <c r="K295" s="4">
        <v>217</v>
      </c>
      <c r="L295" s="4">
        <v>18</v>
      </c>
      <c r="M295" s="4">
        <v>3</v>
      </c>
      <c r="N295" s="4" t="s">
        <v>3</v>
      </c>
      <c r="O295" s="4">
        <v>2</v>
      </c>
      <c r="P295" s="4"/>
      <c r="Q295" s="4"/>
      <c r="R295" s="4"/>
      <c r="S295" s="4"/>
      <c r="T295" s="4"/>
      <c r="U295" s="4"/>
      <c r="V295" s="4"/>
      <c r="W295" s="4"/>
    </row>
    <row r="296" spans="1:23">
      <c r="A296" s="4">
        <v>50</v>
      </c>
      <c r="B296" s="4">
        <v>0</v>
      </c>
      <c r="C296" s="4">
        <v>0</v>
      </c>
      <c r="D296" s="4">
        <v>1</v>
      </c>
      <c r="E296" s="4">
        <v>230</v>
      </c>
      <c r="F296" s="4">
        <f>ROUND(Source!BA276,O296)</f>
        <v>0</v>
      </c>
      <c r="G296" s="4" t="s">
        <v>102</v>
      </c>
      <c r="H296" s="4" t="s">
        <v>103</v>
      </c>
      <c r="I296" s="4"/>
      <c r="J296" s="4"/>
      <c r="K296" s="4">
        <v>230</v>
      </c>
      <c r="L296" s="4">
        <v>19</v>
      </c>
      <c r="M296" s="4">
        <v>3</v>
      </c>
      <c r="N296" s="4" t="s">
        <v>3</v>
      </c>
      <c r="O296" s="4">
        <v>2</v>
      </c>
      <c r="P296" s="4"/>
      <c r="Q296" s="4"/>
      <c r="R296" s="4"/>
      <c r="S296" s="4"/>
      <c r="T296" s="4"/>
      <c r="U296" s="4"/>
      <c r="V296" s="4"/>
      <c r="W296" s="4"/>
    </row>
    <row r="297" spans="1:23">
      <c r="A297" s="4">
        <v>50</v>
      </c>
      <c r="B297" s="4">
        <v>0</v>
      </c>
      <c r="C297" s="4">
        <v>0</v>
      </c>
      <c r="D297" s="4">
        <v>1</v>
      </c>
      <c r="E297" s="4">
        <v>206</v>
      </c>
      <c r="F297" s="4">
        <f>ROUND(Source!T276,O297)</f>
        <v>0</v>
      </c>
      <c r="G297" s="4" t="s">
        <v>104</v>
      </c>
      <c r="H297" s="4" t="s">
        <v>105</v>
      </c>
      <c r="I297" s="4"/>
      <c r="J297" s="4"/>
      <c r="K297" s="4">
        <v>206</v>
      </c>
      <c r="L297" s="4">
        <v>20</v>
      </c>
      <c r="M297" s="4">
        <v>3</v>
      </c>
      <c r="N297" s="4" t="s">
        <v>3</v>
      </c>
      <c r="O297" s="4">
        <v>2</v>
      </c>
      <c r="P297" s="4"/>
      <c r="Q297" s="4"/>
      <c r="R297" s="4"/>
      <c r="S297" s="4"/>
      <c r="T297" s="4"/>
      <c r="U297" s="4"/>
      <c r="V297" s="4"/>
      <c r="W297" s="4"/>
    </row>
    <row r="298" spans="1:23">
      <c r="A298" s="4">
        <v>50</v>
      </c>
      <c r="B298" s="4">
        <v>0</v>
      </c>
      <c r="C298" s="4">
        <v>0</v>
      </c>
      <c r="D298" s="4">
        <v>1</v>
      </c>
      <c r="E298" s="4">
        <v>207</v>
      </c>
      <c r="F298" s="4">
        <f>Source!U276</f>
        <v>483.70988299999999</v>
      </c>
      <c r="G298" s="4" t="s">
        <v>106</v>
      </c>
      <c r="H298" s="4" t="s">
        <v>107</v>
      </c>
      <c r="I298" s="4"/>
      <c r="J298" s="4"/>
      <c r="K298" s="4">
        <v>207</v>
      </c>
      <c r="L298" s="4">
        <v>21</v>
      </c>
      <c r="M298" s="4">
        <v>3</v>
      </c>
      <c r="N298" s="4" t="s">
        <v>3</v>
      </c>
      <c r="O298" s="4">
        <v>-1</v>
      </c>
      <c r="P298" s="4"/>
      <c r="Q298" s="4"/>
      <c r="R298" s="4"/>
      <c r="S298" s="4"/>
      <c r="T298" s="4"/>
      <c r="U298" s="4"/>
      <c r="V298" s="4"/>
      <c r="W298" s="4"/>
    </row>
    <row r="299" spans="1:23">
      <c r="A299" s="4">
        <v>50</v>
      </c>
      <c r="B299" s="4">
        <v>0</v>
      </c>
      <c r="C299" s="4">
        <v>0</v>
      </c>
      <c r="D299" s="4">
        <v>1</v>
      </c>
      <c r="E299" s="4">
        <v>208</v>
      </c>
      <c r="F299" s="4">
        <f>Source!V276</f>
        <v>11.583264999999997</v>
      </c>
      <c r="G299" s="4" t="s">
        <v>108</v>
      </c>
      <c r="H299" s="4" t="s">
        <v>109</v>
      </c>
      <c r="I299" s="4"/>
      <c r="J299" s="4"/>
      <c r="K299" s="4">
        <v>208</v>
      </c>
      <c r="L299" s="4">
        <v>22</v>
      </c>
      <c r="M299" s="4">
        <v>3</v>
      </c>
      <c r="N299" s="4" t="s">
        <v>3</v>
      </c>
      <c r="O299" s="4">
        <v>-1</v>
      </c>
      <c r="P299" s="4"/>
      <c r="Q299" s="4"/>
      <c r="R299" s="4"/>
      <c r="S299" s="4"/>
      <c r="T299" s="4"/>
      <c r="U299" s="4"/>
      <c r="V299" s="4"/>
      <c r="W299" s="4"/>
    </row>
    <row r="300" spans="1:23">
      <c r="A300" s="4">
        <v>50</v>
      </c>
      <c r="B300" s="4">
        <v>0</v>
      </c>
      <c r="C300" s="4">
        <v>0</v>
      </c>
      <c r="D300" s="4">
        <v>1</v>
      </c>
      <c r="E300" s="4">
        <v>209</v>
      </c>
      <c r="F300" s="4">
        <f>ROUND(Source!W276,O300)</f>
        <v>2190.69</v>
      </c>
      <c r="G300" s="4" t="s">
        <v>110</v>
      </c>
      <c r="H300" s="4" t="s">
        <v>111</v>
      </c>
      <c r="I300" s="4"/>
      <c r="J300" s="4"/>
      <c r="K300" s="4">
        <v>209</v>
      </c>
      <c r="L300" s="4">
        <v>23</v>
      </c>
      <c r="M300" s="4">
        <v>3</v>
      </c>
      <c r="N300" s="4" t="s">
        <v>3</v>
      </c>
      <c r="O300" s="4">
        <v>2</v>
      </c>
      <c r="P300" s="4"/>
      <c r="Q300" s="4"/>
      <c r="R300" s="4"/>
      <c r="S300" s="4"/>
      <c r="T300" s="4"/>
      <c r="U300" s="4"/>
      <c r="V300" s="4"/>
      <c r="W300" s="4"/>
    </row>
    <row r="301" spans="1:23">
      <c r="A301" s="4">
        <v>50</v>
      </c>
      <c r="B301" s="4">
        <v>0</v>
      </c>
      <c r="C301" s="4">
        <v>0</v>
      </c>
      <c r="D301" s="4">
        <v>1</v>
      </c>
      <c r="E301" s="4">
        <v>233</v>
      </c>
      <c r="F301" s="4">
        <f>ROUND(Source!BD276,O301)</f>
        <v>1189.56</v>
      </c>
      <c r="G301" s="4" t="s">
        <v>112</v>
      </c>
      <c r="H301" s="4" t="s">
        <v>113</v>
      </c>
      <c r="I301" s="4"/>
      <c r="J301" s="4"/>
      <c r="K301" s="4">
        <v>233</v>
      </c>
      <c r="L301" s="4">
        <v>24</v>
      </c>
      <c r="M301" s="4">
        <v>3</v>
      </c>
      <c r="N301" s="4" t="s">
        <v>3</v>
      </c>
      <c r="O301" s="4">
        <v>2</v>
      </c>
      <c r="P301" s="4"/>
      <c r="Q301" s="4"/>
      <c r="R301" s="4"/>
      <c r="S301" s="4"/>
      <c r="T301" s="4"/>
      <c r="U301" s="4"/>
      <c r="V301" s="4"/>
      <c r="W301" s="4"/>
    </row>
    <row r="302" spans="1:23">
      <c r="A302" s="4">
        <v>50</v>
      </c>
      <c r="B302" s="4">
        <v>0</v>
      </c>
      <c r="C302" s="4">
        <v>0</v>
      </c>
      <c r="D302" s="4">
        <v>1</v>
      </c>
      <c r="E302" s="4">
        <v>210</v>
      </c>
      <c r="F302" s="4">
        <f>ROUND(Source!X276,O302)</f>
        <v>140294.04</v>
      </c>
      <c r="G302" s="4" t="s">
        <v>114</v>
      </c>
      <c r="H302" s="4" t="s">
        <v>115</v>
      </c>
      <c r="I302" s="4"/>
      <c r="J302" s="4"/>
      <c r="K302" s="4">
        <v>210</v>
      </c>
      <c r="L302" s="4">
        <v>25</v>
      </c>
      <c r="M302" s="4">
        <v>3</v>
      </c>
      <c r="N302" s="4" t="s">
        <v>3</v>
      </c>
      <c r="O302" s="4">
        <v>2</v>
      </c>
      <c r="P302" s="4"/>
      <c r="Q302" s="4"/>
      <c r="R302" s="4"/>
      <c r="S302" s="4"/>
      <c r="T302" s="4"/>
      <c r="U302" s="4"/>
      <c r="V302" s="4"/>
      <c r="W302" s="4"/>
    </row>
    <row r="303" spans="1:23">
      <c r="A303" s="4">
        <v>50</v>
      </c>
      <c r="B303" s="4">
        <v>0</v>
      </c>
      <c r="C303" s="4">
        <v>0</v>
      </c>
      <c r="D303" s="4">
        <v>1</v>
      </c>
      <c r="E303" s="4">
        <v>211</v>
      </c>
      <c r="F303" s="4">
        <f>ROUND(Source!Y276,O303)</f>
        <v>83470.070000000007</v>
      </c>
      <c r="G303" s="4" t="s">
        <v>116</v>
      </c>
      <c r="H303" s="4" t="s">
        <v>117</v>
      </c>
      <c r="I303" s="4"/>
      <c r="J303" s="4"/>
      <c r="K303" s="4">
        <v>211</v>
      </c>
      <c r="L303" s="4">
        <v>26</v>
      </c>
      <c r="M303" s="4">
        <v>3</v>
      </c>
      <c r="N303" s="4" t="s">
        <v>3</v>
      </c>
      <c r="O303" s="4">
        <v>2</v>
      </c>
      <c r="P303" s="4"/>
      <c r="Q303" s="4"/>
      <c r="R303" s="4"/>
      <c r="S303" s="4"/>
      <c r="T303" s="4"/>
      <c r="U303" s="4"/>
      <c r="V303" s="4"/>
      <c r="W303" s="4"/>
    </row>
    <row r="304" spans="1:23">
      <c r="A304" s="4">
        <v>50</v>
      </c>
      <c r="B304" s="4">
        <v>0</v>
      </c>
      <c r="C304" s="4">
        <v>0</v>
      </c>
      <c r="D304" s="4">
        <v>1</v>
      </c>
      <c r="E304" s="4">
        <v>224</v>
      </c>
      <c r="F304" s="4">
        <f>ROUND(Source!AR276,O304)</f>
        <v>680787.53</v>
      </c>
      <c r="G304" s="4" t="s">
        <v>118</v>
      </c>
      <c r="H304" s="4" t="s">
        <v>119</v>
      </c>
      <c r="I304" s="4"/>
      <c r="J304" s="4"/>
      <c r="K304" s="4">
        <v>224</v>
      </c>
      <c r="L304" s="4">
        <v>27</v>
      </c>
      <c r="M304" s="4">
        <v>3</v>
      </c>
      <c r="N304" s="4" t="s">
        <v>3</v>
      </c>
      <c r="O304" s="4">
        <v>2</v>
      </c>
      <c r="P304" s="4"/>
      <c r="Q304" s="4"/>
      <c r="R304" s="4"/>
      <c r="S304" s="4"/>
      <c r="T304" s="4"/>
      <c r="U304" s="4"/>
      <c r="V304" s="4"/>
      <c r="W304" s="4"/>
    </row>
    <row r="305" spans="1:23">
      <c r="A305" s="4">
        <v>50</v>
      </c>
      <c r="B305" s="4">
        <v>1</v>
      </c>
      <c r="C305" s="4">
        <v>0</v>
      </c>
      <c r="D305" s="4">
        <v>2</v>
      </c>
      <c r="E305" s="4">
        <v>0</v>
      </c>
      <c r="F305" s="4">
        <f>ROUND(F304*0.2,O305)</f>
        <v>136157.51</v>
      </c>
      <c r="G305" s="4" t="s">
        <v>296</v>
      </c>
      <c r="H305" s="4" t="s">
        <v>297</v>
      </c>
      <c r="I305" s="4"/>
      <c r="J305" s="4"/>
      <c r="K305" s="4">
        <v>212</v>
      </c>
      <c r="L305" s="4">
        <v>28</v>
      </c>
      <c r="M305" s="4">
        <v>0</v>
      </c>
      <c r="N305" s="4" t="s">
        <v>3</v>
      </c>
      <c r="O305" s="4">
        <v>2</v>
      </c>
      <c r="P305" s="4"/>
      <c r="Q305" s="4"/>
      <c r="R305" s="4"/>
      <c r="S305" s="4"/>
      <c r="T305" s="4"/>
      <c r="U305" s="4"/>
      <c r="V305" s="4"/>
      <c r="W305" s="4"/>
    </row>
    <row r="306" spans="1:23">
      <c r="A306" s="4">
        <v>50</v>
      </c>
      <c r="B306" s="4">
        <v>1</v>
      </c>
      <c r="C306" s="4">
        <v>0</v>
      </c>
      <c r="D306" s="4">
        <v>2</v>
      </c>
      <c r="E306" s="4">
        <v>213</v>
      </c>
      <c r="F306" s="4">
        <f>ROUND(F304+F305,O306)</f>
        <v>816945.04</v>
      </c>
      <c r="G306" s="4" t="s">
        <v>298</v>
      </c>
      <c r="H306" s="4" t="s">
        <v>299</v>
      </c>
      <c r="I306" s="4"/>
      <c r="J306" s="4"/>
      <c r="K306" s="4">
        <v>212</v>
      </c>
      <c r="L306" s="4">
        <v>29</v>
      </c>
      <c r="M306" s="4">
        <v>0</v>
      </c>
      <c r="N306" s="4" t="s">
        <v>3</v>
      </c>
      <c r="O306" s="4">
        <v>2</v>
      </c>
      <c r="P306" s="4"/>
      <c r="Q306" s="4"/>
      <c r="R306" s="4"/>
      <c r="S306" s="4"/>
      <c r="T306" s="4"/>
      <c r="U306" s="4"/>
      <c r="V306" s="4"/>
      <c r="W306" s="4"/>
    </row>
    <row r="309" spans="1:23">
      <c r="A309">
        <v>70</v>
      </c>
      <c r="B309">
        <v>1</v>
      </c>
      <c r="D309">
        <v>1</v>
      </c>
      <c r="E309" t="s">
        <v>300</v>
      </c>
      <c r="F309" t="s">
        <v>301</v>
      </c>
      <c r="G309">
        <v>0</v>
      </c>
      <c r="H309">
        <v>0</v>
      </c>
      <c r="I309" t="s">
        <v>3</v>
      </c>
      <c r="J309">
        <v>1</v>
      </c>
      <c r="K309">
        <v>0</v>
      </c>
      <c r="L309" t="s">
        <v>3</v>
      </c>
      <c r="M309" t="s">
        <v>3</v>
      </c>
      <c r="N309">
        <v>0</v>
      </c>
    </row>
    <row r="310" spans="1:23">
      <c r="A310">
        <v>70</v>
      </c>
      <c r="B310">
        <v>1</v>
      </c>
      <c r="D310">
        <v>2</v>
      </c>
      <c r="E310" t="s">
        <v>302</v>
      </c>
      <c r="F310" t="s">
        <v>303</v>
      </c>
      <c r="G310">
        <v>1</v>
      </c>
      <c r="H310">
        <v>0</v>
      </c>
      <c r="I310" t="s">
        <v>3</v>
      </c>
      <c r="J310">
        <v>1</v>
      </c>
      <c r="K310">
        <v>0</v>
      </c>
      <c r="L310" t="s">
        <v>3</v>
      </c>
      <c r="M310" t="s">
        <v>3</v>
      </c>
      <c r="N310">
        <v>1</v>
      </c>
    </row>
    <row r="311" spans="1:23">
      <c r="A311">
        <v>70</v>
      </c>
      <c r="B311">
        <v>1</v>
      </c>
      <c r="D311">
        <v>3</v>
      </c>
      <c r="E311" t="s">
        <v>304</v>
      </c>
      <c r="F311" t="s">
        <v>305</v>
      </c>
      <c r="G311">
        <v>0</v>
      </c>
      <c r="H311">
        <v>0</v>
      </c>
      <c r="I311" t="s">
        <v>3</v>
      </c>
      <c r="J311">
        <v>1</v>
      </c>
      <c r="K311">
        <v>0</v>
      </c>
      <c r="L311" t="s">
        <v>3</v>
      </c>
      <c r="M311" t="s">
        <v>3</v>
      </c>
      <c r="N311">
        <v>0</v>
      </c>
    </row>
    <row r="312" spans="1:23">
      <c r="A312">
        <v>70</v>
      </c>
      <c r="B312">
        <v>1</v>
      </c>
      <c r="D312">
        <v>4</v>
      </c>
      <c r="E312" t="s">
        <v>306</v>
      </c>
      <c r="F312" t="s">
        <v>307</v>
      </c>
      <c r="G312">
        <v>0</v>
      </c>
      <c r="H312">
        <v>0</v>
      </c>
      <c r="I312" t="s">
        <v>308</v>
      </c>
      <c r="J312">
        <v>0</v>
      </c>
      <c r="K312">
        <v>0</v>
      </c>
      <c r="L312" t="s">
        <v>3</v>
      </c>
      <c r="M312" t="s">
        <v>3</v>
      </c>
      <c r="N312">
        <v>0</v>
      </c>
    </row>
    <row r="313" spans="1:23">
      <c r="A313">
        <v>70</v>
      </c>
      <c r="B313">
        <v>1</v>
      </c>
      <c r="D313">
        <v>5</v>
      </c>
      <c r="E313" t="s">
        <v>309</v>
      </c>
      <c r="F313" t="s">
        <v>310</v>
      </c>
      <c r="G313">
        <v>0</v>
      </c>
      <c r="H313">
        <v>0</v>
      </c>
      <c r="I313" t="s">
        <v>311</v>
      </c>
      <c r="J313">
        <v>0</v>
      </c>
      <c r="K313">
        <v>0</v>
      </c>
      <c r="L313" t="s">
        <v>3</v>
      </c>
      <c r="M313" t="s">
        <v>3</v>
      </c>
      <c r="N313">
        <v>0</v>
      </c>
    </row>
    <row r="314" spans="1:23">
      <c r="A314">
        <v>70</v>
      </c>
      <c r="B314">
        <v>1</v>
      </c>
      <c r="D314">
        <v>6</v>
      </c>
      <c r="E314" t="s">
        <v>312</v>
      </c>
      <c r="F314" t="s">
        <v>313</v>
      </c>
      <c r="G314">
        <v>0</v>
      </c>
      <c r="H314">
        <v>0</v>
      </c>
      <c r="I314" t="s">
        <v>314</v>
      </c>
      <c r="J314">
        <v>0</v>
      </c>
      <c r="K314">
        <v>0</v>
      </c>
      <c r="L314" t="s">
        <v>3</v>
      </c>
      <c r="M314" t="s">
        <v>3</v>
      </c>
      <c r="N314">
        <v>0</v>
      </c>
    </row>
    <row r="315" spans="1:23">
      <c r="A315">
        <v>70</v>
      </c>
      <c r="B315">
        <v>1</v>
      </c>
      <c r="D315">
        <v>7</v>
      </c>
      <c r="E315" t="s">
        <v>315</v>
      </c>
      <c r="F315" t="s">
        <v>316</v>
      </c>
      <c r="G315">
        <v>1</v>
      </c>
      <c r="H315">
        <v>0</v>
      </c>
      <c r="I315" t="s">
        <v>3</v>
      </c>
      <c r="J315">
        <v>0</v>
      </c>
      <c r="K315">
        <v>0</v>
      </c>
      <c r="L315" t="s">
        <v>3</v>
      </c>
      <c r="M315" t="s">
        <v>3</v>
      </c>
      <c r="N315">
        <v>0</v>
      </c>
    </row>
    <row r="316" spans="1:23">
      <c r="A316">
        <v>70</v>
      </c>
      <c r="B316">
        <v>1</v>
      </c>
      <c r="D316">
        <v>8</v>
      </c>
      <c r="E316" t="s">
        <v>317</v>
      </c>
      <c r="F316" t="s">
        <v>318</v>
      </c>
      <c r="G316">
        <v>0</v>
      </c>
      <c r="H316">
        <v>0</v>
      </c>
      <c r="I316" t="s">
        <v>319</v>
      </c>
      <c r="J316">
        <v>0</v>
      </c>
      <c r="K316">
        <v>0</v>
      </c>
      <c r="L316" t="s">
        <v>3</v>
      </c>
      <c r="M316" t="s">
        <v>3</v>
      </c>
      <c r="N316">
        <v>0</v>
      </c>
    </row>
    <row r="317" spans="1:23">
      <c r="A317">
        <v>70</v>
      </c>
      <c r="B317">
        <v>1</v>
      </c>
      <c r="D317">
        <v>9</v>
      </c>
      <c r="E317" t="s">
        <v>320</v>
      </c>
      <c r="F317" t="s">
        <v>321</v>
      </c>
      <c r="G317">
        <v>0</v>
      </c>
      <c r="H317">
        <v>0</v>
      </c>
      <c r="I317" t="s">
        <v>322</v>
      </c>
      <c r="J317">
        <v>0</v>
      </c>
      <c r="K317">
        <v>0</v>
      </c>
      <c r="L317" t="s">
        <v>3</v>
      </c>
      <c r="M317" t="s">
        <v>3</v>
      </c>
      <c r="N317">
        <v>0</v>
      </c>
    </row>
    <row r="318" spans="1:23">
      <c r="A318">
        <v>70</v>
      </c>
      <c r="B318">
        <v>1</v>
      </c>
      <c r="D318">
        <v>10</v>
      </c>
      <c r="E318" t="s">
        <v>323</v>
      </c>
      <c r="F318" t="s">
        <v>324</v>
      </c>
      <c r="G318">
        <v>0</v>
      </c>
      <c r="H318">
        <v>0</v>
      </c>
      <c r="I318" t="s">
        <v>325</v>
      </c>
      <c r="J318">
        <v>0</v>
      </c>
      <c r="K318">
        <v>0</v>
      </c>
      <c r="L318" t="s">
        <v>3</v>
      </c>
      <c r="M318" t="s">
        <v>3</v>
      </c>
      <c r="N318">
        <v>0</v>
      </c>
    </row>
    <row r="319" spans="1:23">
      <c r="A319">
        <v>70</v>
      </c>
      <c r="B319">
        <v>1</v>
      </c>
      <c r="D319">
        <v>11</v>
      </c>
      <c r="E319" t="s">
        <v>326</v>
      </c>
      <c r="F319" t="s">
        <v>327</v>
      </c>
      <c r="G319">
        <v>0</v>
      </c>
      <c r="H319">
        <v>0</v>
      </c>
      <c r="I319" t="s">
        <v>328</v>
      </c>
      <c r="J319">
        <v>0</v>
      </c>
      <c r="K319">
        <v>0</v>
      </c>
      <c r="L319" t="s">
        <v>3</v>
      </c>
      <c r="M319" t="s">
        <v>3</v>
      </c>
      <c r="N319">
        <v>0</v>
      </c>
    </row>
    <row r="320" spans="1:23">
      <c r="A320">
        <v>70</v>
      </c>
      <c r="B320">
        <v>1</v>
      </c>
      <c r="D320">
        <v>12</v>
      </c>
      <c r="E320" t="s">
        <v>329</v>
      </c>
      <c r="F320" t="s">
        <v>330</v>
      </c>
      <c r="G320">
        <v>0</v>
      </c>
      <c r="H320">
        <v>0</v>
      </c>
      <c r="I320" t="s">
        <v>3</v>
      </c>
      <c r="J320">
        <v>0</v>
      </c>
      <c r="K320">
        <v>0</v>
      </c>
      <c r="L320" t="s">
        <v>3</v>
      </c>
      <c r="M320" t="s">
        <v>3</v>
      </c>
      <c r="N320">
        <v>0</v>
      </c>
    </row>
    <row r="321" spans="1:14">
      <c r="A321">
        <v>70</v>
      </c>
      <c r="B321">
        <v>1</v>
      </c>
      <c r="D321">
        <v>1</v>
      </c>
      <c r="E321" t="s">
        <v>331</v>
      </c>
      <c r="F321" t="s">
        <v>332</v>
      </c>
      <c r="G321">
        <v>0.9</v>
      </c>
      <c r="H321">
        <v>1</v>
      </c>
      <c r="I321" t="s">
        <v>333</v>
      </c>
      <c r="J321">
        <v>0</v>
      </c>
      <c r="K321">
        <v>0</v>
      </c>
      <c r="L321" t="s">
        <v>3</v>
      </c>
      <c r="M321" t="s">
        <v>3</v>
      </c>
      <c r="N321">
        <v>0</v>
      </c>
    </row>
    <row r="322" spans="1:14">
      <c r="A322">
        <v>70</v>
      </c>
      <c r="B322">
        <v>1</v>
      </c>
      <c r="D322">
        <v>2</v>
      </c>
      <c r="E322" t="s">
        <v>334</v>
      </c>
      <c r="F322" t="s">
        <v>335</v>
      </c>
      <c r="G322">
        <v>0.85</v>
      </c>
      <c r="H322">
        <v>1</v>
      </c>
      <c r="I322" t="s">
        <v>336</v>
      </c>
      <c r="J322">
        <v>0</v>
      </c>
      <c r="K322">
        <v>0</v>
      </c>
      <c r="L322" t="s">
        <v>3</v>
      </c>
      <c r="M322" t="s">
        <v>3</v>
      </c>
      <c r="N322">
        <v>0</v>
      </c>
    </row>
    <row r="323" spans="1:14">
      <c r="A323">
        <v>70</v>
      </c>
      <c r="B323">
        <v>1</v>
      </c>
      <c r="D323">
        <v>3</v>
      </c>
      <c r="E323" t="s">
        <v>337</v>
      </c>
      <c r="F323" t="s">
        <v>338</v>
      </c>
      <c r="G323">
        <v>1</v>
      </c>
      <c r="H323">
        <v>0.85</v>
      </c>
      <c r="I323" t="s">
        <v>339</v>
      </c>
      <c r="J323">
        <v>0</v>
      </c>
      <c r="K323">
        <v>0</v>
      </c>
      <c r="L323" t="s">
        <v>3</v>
      </c>
      <c r="M323" t="s">
        <v>3</v>
      </c>
      <c r="N323">
        <v>0</v>
      </c>
    </row>
    <row r="324" spans="1:14">
      <c r="A324">
        <v>70</v>
      </c>
      <c r="B324">
        <v>1</v>
      </c>
      <c r="D324">
        <v>4</v>
      </c>
      <c r="E324" t="s">
        <v>340</v>
      </c>
      <c r="F324" t="s">
        <v>341</v>
      </c>
      <c r="G324">
        <v>1</v>
      </c>
      <c r="H324">
        <v>0</v>
      </c>
      <c r="I324" t="s">
        <v>3</v>
      </c>
      <c r="J324">
        <v>0</v>
      </c>
      <c r="K324">
        <v>0</v>
      </c>
      <c r="L324" t="s">
        <v>3</v>
      </c>
      <c r="M324" t="s">
        <v>3</v>
      </c>
      <c r="N324">
        <v>0</v>
      </c>
    </row>
    <row r="325" spans="1:14">
      <c r="A325">
        <v>70</v>
      </c>
      <c r="B325">
        <v>1</v>
      </c>
      <c r="D325">
        <v>5</v>
      </c>
      <c r="E325" t="s">
        <v>342</v>
      </c>
      <c r="F325" t="s">
        <v>343</v>
      </c>
      <c r="G325">
        <v>1</v>
      </c>
      <c r="H325">
        <v>0.8</v>
      </c>
      <c r="I325" t="s">
        <v>344</v>
      </c>
      <c r="J325">
        <v>0</v>
      </c>
      <c r="K325">
        <v>0</v>
      </c>
      <c r="L325" t="s">
        <v>3</v>
      </c>
      <c r="M325" t="s">
        <v>3</v>
      </c>
      <c r="N325">
        <v>0</v>
      </c>
    </row>
    <row r="326" spans="1:14">
      <c r="A326">
        <v>70</v>
      </c>
      <c r="B326">
        <v>1</v>
      </c>
      <c r="D326">
        <v>6</v>
      </c>
      <c r="E326" t="s">
        <v>345</v>
      </c>
      <c r="F326" t="s">
        <v>346</v>
      </c>
      <c r="G326">
        <v>0.85</v>
      </c>
      <c r="H326">
        <v>0</v>
      </c>
      <c r="I326" t="s">
        <v>3</v>
      </c>
      <c r="J326">
        <v>0</v>
      </c>
      <c r="K326">
        <v>0</v>
      </c>
      <c r="L326" t="s">
        <v>3</v>
      </c>
      <c r="M326" t="s">
        <v>3</v>
      </c>
      <c r="N326">
        <v>0</v>
      </c>
    </row>
    <row r="327" spans="1:14">
      <c r="A327">
        <v>70</v>
      </c>
      <c r="B327">
        <v>1</v>
      </c>
      <c r="D327">
        <v>7</v>
      </c>
      <c r="E327" t="s">
        <v>347</v>
      </c>
      <c r="F327" t="s">
        <v>348</v>
      </c>
      <c r="G327">
        <v>0.8</v>
      </c>
      <c r="H327">
        <v>0</v>
      </c>
      <c r="I327" t="s">
        <v>3</v>
      </c>
      <c r="J327">
        <v>0</v>
      </c>
      <c r="K327">
        <v>0</v>
      </c>
      <c r="L327" t="s">
        <v>3</v>
      </c>
      <c r="M327" t="s">
        <v>3</v>
      </c>
      <c r="N327">
        <v>0</v>
      </c>
    </row>
    <row r="328" spans="1:14">
      <c r="A328">
        <v>70</v>
      </c>
      <c r="B328">
        <v>1</v>
      </c>
      <c r="D328">
        <v>8</v>
      </c>
      <c r="E328" t="s">
        <v>349</v>
      </c>
      <c r="F328" t="s">
        <v>350</v>
      </c>
      <c r="G328">
        <v>0.7</v>
      </c>
      <c r="H328">
        <v>0</v>
      </c>
      <c r="I328" t="s">
        <v>3</v>
      </c>
      <c r="J328">
        <v>0</v>
      </c>
      <c r="K328">
        <v>0</v>
      </c>
      <c r="L328" t="s">
        <v>3</v>
      </c>
      <c r="M328" t="s">
        <v>3</v>
      </c>
      <c r="N328">
        <v>0</v>
      </c>
    </row>
    <row r="329" spans="1:14">
      <c r="A329">
        <v>70</v>
      </c>
      <c r="B329">
        <v>1</v>
      </c>
      <c r="D329">
        <v>9</v>
      </c>
      <c r="E329" t="s">
        <v>351</v>
      </c>
      <c r="F329" t="s">
        <v>352</v>
      </c>
      <c r="G329">
        <v>0.9</v>
      </c>
      <c r="H329">
        <v>0</v>
      </c>
      <c r="I329" t="s">
        <v>3</v>
      </c>
      <c r="J329">
        <v>0</v>
      </c>
      <c r="K329">
        <v>0</v>
      </c>
      <c r="L329" t="s">
        <v>3</v>
      </c>
      <c r="M329" t="s">
        <v>3</v>
      </c>
      <c r="N329">
        <v>0</v>
      </c>
    </row>
    <row r="330" spans="1:14">
      <c r="A330">
        <v>70</v>
      </c>
      <c r="B330">
        <v>1</v>
      </c>
      <c r="D330">
        <v>10</v>
      </c>
      <c r="E330" t="s">
        <v>353</v>
      </c>
      <c r="F330" t="s">
        <v>354</v>
      </c>
      <c r="G330">
        <v>0.6</v>
      </c>
      <c r="H330">
        <v>0</v>
      </c>
      <c r="I330" t="s">
        <v>3</v>
      </c>
      <c r="J330">
        <v>0</v>
      </c>
      <c r="K330">
        <v>0</v>
      </c>
      <c r="L330" t="s">
        <v>3</v>
      </c>
      <c r="M330" t="s">
        <v>3</v>
      </c>
      <c r="N330">
        <v>0</v>
      </c>
    </row>
    <row r="331" spans="1:14">
      <c r="A331">
        <v>70</v>
      </c>
      <c r="B331">
        <v>1</v>
      </c>
      <c r="D331">
        <v>11</v>
      </c>
      <c r="E331" t="s">
        <v>355</v>
      </c>
      <c r="F331" t="s">
        <v>356</v>
      </c>
      <c r="G331">
        <v>1.2</v>
      </c>
      <c r="H331">
        <v>0</v>
      </c>
      <c r="I331" t="s">
        <v>3</v>
      </c>
      <c r="J331">
        <v>0</v>
      </c>
      <c r="K331">
        <v>0</v>
      </c>
      <c r="L331" t="s">
        <v>3</v>
      </c>
      <c r="M331" t="s">
        <v>3</v>
      </c>
      <c r="N331">
        <v>0</v>
      </c>
    </row>
    <row r="332" spans="1:14">
      <c r="A332">
        <v>70</v>
      </c>
      <c r="B332">
        <v>1</v>
      </c>
      <c r="D332">
        <v>12</v>
      </c>
      <c r="E332" t="s">
        <v>357</v>
      </c>
      <c r="F332" t="s">
        <v>358</v>
      </c>
      <c r="G332">
        <v>0</v>
      </c>
      <c r="H332">
        <v>0</v>
      </c>
      <c r="I332" t="s">
        <v>3</v>
      </c>
      <c r="J332">
        <v>0</v>
      </c>
      <c r="K332">
        <v>0</v>
      </c>
      <c r="L332" t="s">
        <v>3</v>
      </c>
      <c r="M332" t="s">
        <v>3</v>
      </c>
      <c r="N332">
        <v>0</v>
      </c>
    </row>
    <row r="333" spans="1:14">
      <c r="A333">
        <v>70</v>
      </c>
      <c r="B333">
        <v>1</v>
      </c>
      <c r="D333">
        <v>13</v>
      </c>
      <c r="E333" t="s">
        <v>359</v>
      </c>
      <c r="F333" t="s">
        <v>360</v>
      </c>
      <c r="G333">
        <v>1</v>
      </c>
      <c r="H333">
        <v>0</v>
      </c>
      <c r="I333" t="s">
        <v>3</v>
      </c>
      <c r="J333">
        <v>0</v>
      </c>
      <c r="K333">
        <v>0</v>
      </c>
      <c r="L333" t="s">
        <v>3</v>
      </c>
      <c r="M333" t="s">
        <v>3</v>
      </c>
      <c r="N333">
        <v>0</v>
      </c>
    </row>
    <row r="335" spans="1:14">
      <c r="A335">
        <v>-1</v>
      </c>
    </row>
    <row r="337" spans="1:40">
      <c r="A337" s="3">
        <v>75</v>
      </c>
      <c r="B337" s="3" t="s">
        <v>361</v>
      </c>
      <c r="C337" s="3">
        <v>2021</v>
      </c>
      <c r="D337" s="3">
        <v>0</v>
      </c>
      <c r="E337" s="3">
        <v>2</v>
      </c>
      <c r="F337" s="3"/>
      <c r="G337" s="3">
        <v>0</v>
      </c>
      <c r="H337" s="3">
        <v>1</v>
      </c>
      <c r="I337" s="3">
        <v>0</v>
      </c>
      <c r="J337" s="3">
        <v>3</v>
      </c>
      <c r="K337" s="3">
        <v>0</v>
      </c>
      <c r="L337" s="3">
        <v>0</v>
      </c>
      <c r="M337" s="3">
        <v>0</v>
      </c>
      <c r="N337" s="3">
        <v>35841400</v>
      </c>
      <c r="O337" s="3">
        <v>1</v>
      </c>
    </row>
    <row r="338" spans="1:40">
      <c r="A338" s="5">
        <v>1</v>
      </c>
      <c r="B338" s="5" t="s">
        <v>362</v>
      </c>
      <c r="C338" s="5" t="s">
        <v>363</v>
      </c>
      <c r="D338" s="5">
        <v>2021</v>
      </c>
      <c r="E338" s="5">
        <v>2</v>
      </c>
      <c r="F338" s="5">
        <v>1</v>
      </c>
      <c r="G338" s="5">
        <v>1</v>
      </c>
      <c r="H338" s="5">
        <v>0</v>
      </c>
      <c r="I338" s="5">
        <v>2</v>
      </c>
      <c r="J338" s="5">
        <v>1</v>
      </c>
      <c r="K338" s="5">
        <v>1</v>
      </c>
      <c r="L338" s="5">
        <v>1</v>
      </c>
      <c r="M338" s="5">
        <v>1</v>
      </c>
      <c r="N338" s="5">
        <v>1</v>
      </c>
      <c r="O338" s="5">
        <v>1</v>
      </c>
      <c r="P338" s="5">
        <v>1</v>
      </c>
      <c r="Q338" s="5">
        <v>1</v>
      </c>
      <c r="R338" s="5" t="s">
        <v>3</v>
      </c>
      <c r="S338" s="5" t="s">
        <v>3</v>
      </c>
      <c r="T338" s="5" t="s">
        <v>3</v>
      </c>
      <c r="U338" s="5" t="s">
        <v>3</v>
      </c>
      <c r="V338" s="5" t="s">
        <v>3</v>
      </c>
      <c r="W338" s="5" t="s">
        <v>3</v>
      </c>
      <c r="X338" s="5" t="s">
        <v>3</v>
      </c>
      <c r="Y338" s="5" t="s">
        <v>3</v>
      </c>
      <c r="Z338" s="5" t="s">
        <v>3</v>
      </c>
      <c r="AA338" s="5" t="s">
        <v>3</v>
      </c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>
        <v>35841401</v>
      </c>
    </row>
    <row r="339" spans="1:40">
      <c r="A339" s="5">
        <v>2</v>
      </c>
      <c r="B339" s="5" t="s">
        <v>364</v>
      </c>
      <c r="C339" s="5" t="s">
        <v>365</v>
      </c>
      <c r="D339" s="5">
        <v>0</v>
      </c>
      <c r="E339" s="5">
        <v>0</v>
      </c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>
        <v>35841402</v>
      </c>
    </row>
    <row r="343" spans="1:40">
      <c r="A343">
        <v>65</v>
      </c>
      <c r="C343">
        <v>1</v>
      </c>
      <c r="D343">
        <v>0</v>
      </c>
      <c r="E343">
        <v>245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EC55"/>
  <sheetViews>
    <sheetView workbookViewId="0"/>
  </sheetViews>
  <sheetFormatPr defaultColWidth="9.140625" defaultRowHeight="12.75"/>
  <cols>
    <col min="1" max="256" width="9.140625" customWidth="1"/>
  </cols>
  <sheetData>
    <row r="1" spans="1:133">
      <c r="A1">
        <v>0</v>
      </c>
      <c r="B1" t="s">
        <v>0</v>
      </c>
      <c r="D1" t="s">
        <v>366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58436</v>
      </c>
      <c r="M1">
        <v>10</v>
      </c>
      <c r="N1">
        <v>11</v>
      </c>
      <c r="O1">
        <v>3</v>
      </c>
      <c r="P1">
        <v>0</v>
      </c>
      <c r="Q1">
        <v>0</v>
      </c>
    </row>
    <row r="12" spans="1:133">
      <c r="A12" s="1">
        <v>1</v>
      </c>
      <c r="B12" s="1">
        <v>53</v>
      </c>
      <c r="C12" s="1">
        <v>0</v>
      </c>
      <c r="D12" s="1"/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>
        <v>0</v>
      </c>
      <c r="M12" s="1">
        <v>2</v>
      </c>
      <c r="N12" s="1"/>
      <c r="O12" s="1">
        <v>0</v>
      </c>
      <c r="P12" s="1">
        <v>0</v>
      </c>
      <c r="Q12" s="1">
        <v>0</v>
      </c>
      <c r="R12" s="1">
        <v>0</v>
      </c>
      <c r="S12" s="1"/>
      <c r="T12" s="1">
        <v>1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6</v>
      </c>
      <c r="BI12" s="1" t="s">
        <v>7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8</v>
      </c>
      <c r="BZ12" s="1" t="s">
        <v>9</v>
      </c>
      <c r="CA12" s="1" t="s">
        <v>10</v>
      </c>
      <c r="CB12" s="1" t="s">
        <v>10</v>
      </c>
      <c r="CC12" s="1" t="s">
        <v>10</v>
      </c>
      <c r="CD12" s="1" t="s">
        <v>10</v>
      </c>
      <c r="CE12" s="1" t="s">
        <v>11</v>
      </c>
      <c r="CF12" s="1">
        <v>0</v>
      </c>
      <c r="CG12" s="1">
        <v>0</v>
      </c>
      <c r="CH12" s="1">
        <v>8200</v>
      </c>
      <c r="CI12" s="1" t="s">
        <v>3</v>
      </c>
      <c r="CJ12" s="1" t="s">
        <v>3</v>
      </c>
      <c r="CK12" s="1">
        <v>1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4" spans="1:133">
      <c r="A14" s="1">
        <v>22</v>
      </c>
      <c r="B14" s="1">
        <v>0</v>
      </c>
      <c r="C14" s="1">
        <v>0</v>
      </c>
      <c r="D14" s="1">
        <v>35841400</v>
      </c>
      <c r="E14" s="1">
        <v>0</v>
      </c>
      <c r="F14" s="1">
        <v>3</v>
      </c>
      <c r="G14" s="1"/>
      <c r="H14" s="1"/>
      <c r="I14" s="1"/>
      <c r="J14" s="1"/>
      <c r="K14" s="1"/>
      <c r="L14" s="1"/>
      <c r="M14" s="1"/>
      <c r="N14" s="1"/>
      <c r="O14" s="1"/>
    </row>
    <row r="16" spans="1:133">
      <c r="A16" s="6">
        <v>3</v>
      </c>
      <c r="B16" s="6">
        <v>1</v>
      </c>
      <c r="C16" s="6" t="s">
        <v>12</v>
      </c>
      <c r="D16" s="6" t="s">
        <v>12</v>
      </c>
      <c r="E16" s="7">
        <f>(Source!F263)/1000</f>
        <v>659.4214300000001</v>
      </c>
      <c r="F16" s="7">
        <f>(Source!F264)/1000</f>
        <v>21.366099999999999</v>
      </c>
      <c r="G16" s="7">
        <f>(Source!F255)/1000</f>
        <v>0</v>
      </c>
      <c r="H16" s="7">
        <f>(Source!F265)/1000+(Source!F266)/1000</f>
        <v>0</v>
      </c>
      <c r="I16" s="7">
        <f>E16+F16+G16+H16</f>
        <v>680.78753000000006</v>
      </c>
      <c r="J16" s="7">
        <f>(Source!F261)/1000</f>
        <v>141.03195000000002</v>
      </c>
      <c r="AI16" s="6">
        <v>0</v>
      </c>
      <c r="AJ16" s="6">
        <v>0</v>
      </c>
      <c r="AK16" s="6" t="s">
        <v>3</v>
      </c>
      <c r="AL16" s="6" t="s">
        <v>3</v>
      </c>
      <c r="AM16" s="6" t="s">
        <v>3</v>
      </c>
      <c r="AN16" s="6">
        <v>0</v>
      </c>
      <c r="AO16" s="6" t="s">
        <v>3</v>
      </c>
      <c r="AP16" s="6" t="s">
        <v>3</v>
      </c>
      <c r="AT16" s="7">
        <v>457023.42</v>
      </c>
      <c r="AU16" s="7">
        <v>306110.12</v>
      </c>
      <c r="AV16" s="7">
        <v>0</v>
      </c>
      <c r="AW16" s="7">
        <v>0</v>
      </c>
      <c r="AX16" s="7">
        <v>0</v>
      </c>
      <c r="AY16" s="7">
        <v>9881.35</v>
      </c>
      <c r="AZ16" s="7">
        <v>4092.97</v>
      </c>
      <c r="BA16" s="7">
        <v>141031.95000000001</v>
      </c>
      <c r="BB16" s="7">
        <v>659421.43000000005</v>
      </c>
      <c r="BC16" s="7">
        <v>21366.1</v>
      </c>
      <c r="BD16" s="7">
        <v>0</v>
      </c>
      <c r="BE16" s="7">
        <v>0</v>
      </c>
      <c r="BF16" s="7">
        <v>483.70988299999999</v>
      </c>
      <c r="BG16" s="7">
        <v>11.583265000000001</v>
      </c>
      <c r="BH16" s="7">
        <v>2190.69</v>
      </c>
      <c r="BI16" s="7">
        <v>140294.04</v>
      </c>
      <c r="BJ16" s="7">
        <v>83470.070000000007</v>
      </c>
      <c r="BK16" s="7">
        <v>680787.53</v>
      </c>
    </row>
    <row r="18" spans="1:19">
      <c r="A18">
        <v>51</v>
      </c>
      <c r="E18" s="8">
        <f>SUMIF(A16:A17,3,E16:E17)</f>
        <v>659.4214300000001</v>
      </c>
      <c r="F18" s="8">
        <f>SUMIF(A16:A17,3,F16:F17)</f>
        <v>21.366099999999999</v>
      </c>
      <c r="G18" s="8">
        <f>SUMIF(A16:A17,3,G16:G17)</f>
        <v>0</v>
      </c>
      <c r="H18" s="8">
        <f>SUMIF(A16:A17,3,H16:H17)</f>
        <v>0</v>
      </c>
      <c r="I18" s="8">
        <f>SUMIF(A16:A17,3,I16:I17)</f>
        <v>680.78753000000006</v>
      </c>
      <c r="J18" s="8">
        <f>SUMIF(A16:A17,3,J16:J17)</f>
        <v>141.03195000000002</v>
      </c>
      <c r="K18" s="8"/>
      <c r="L18" s="8"/>
      <c r="M18" s="8"/>
      <c r="N18" s="8"/>
      <c r="O18" s="8"/>
      <c r="P18" s="8"/>
      <c r="Q18" s="8"/>
      <c r="R18" s="8"/>
      <c r="S18" s="8"/>
    </row>
    <row r="20" spans="1:19">
      <c r="A20" s="4">
        <v>50</v>
      </c>
      <c r="B20" s="4">
        <v>0</v>
      </c>
      <c r="C20" s="4">
        <v>0</v>
      </c>
      <c r="D20" s="4">
        <v>1</v>
      </c>
      <c r="E20" s="4">
        <v>201</v>
      </c>
      <c r="F20" s="4">
        <v>457023.42</v>
      </c>
      <c r="G20" s="4" t="s">
        <v>66</v>
      </c>
      <c r="H20" s="4" t="s">
        <v>67</v>
      </c>
      <c r="I20" s="4"/>
      <c r="J20" s="4"/>
      <c r="K20" s="4">
        <v>201</v>
      </c>
      <c r="L20" s="4">
        <v>1</v>
      </c>
      <c r="M20" s="4">
        <v>3</v>
      </c>
      <c r="N20" s="4" t="s">
        <v>3</v>
      </c>
      <c r="O20" s="4">
        <v>2</v>
      </c>
      <c r="P20" s="4"/>
    </row>
    <row r="21" spans="1:19">
      <c r="A21" s="4">
        <v>50</v>
      </c>
      <c r="B21" s="4">
        <v>0</v>
      </c>
      <c r="C21" s="4">
        <v>0</v>
      </c>
      <c r="D21" s="4">
        <v>1</v>
      </c>
      <c r="E21" s="4">
        <v>202</v>
      </c>
      <c r="F21" s="4">
        <v>306110.12</v>
      </c>
      <c r="G21" s="4" t="s">
        <v>68</v>
      </c>
      <c r="H21" s="4" t="s">
        <v>69</v>
      </c>
      <c r="I21" s="4"/>
      <c r="J21" s="4"/>
      <c r="K21" s="4">
        <v>202</v>
      </c>
      <c r="L21" s="4">
        <v>2</v>
      </c>
      <c r="M21" s="4">
        <v>3</v>
      </c>
      <c r="N21" s="4" t="s">
        <v>3</v>
      </c>
      <c r="O21" s="4">
        <v>2</v>
      </c>
      <c r="P21" s="4"/>
    </row>
    <row r="22" spans="1:19">
      <c r="A22" s="4">
        <v>50</v>
      </c>
      <c r="B22" s="4">
        <v>0</v>
      </c>
      <c r="C22" s="4">
        <v>0</v>
      </c>
      <c r="D22" s="4">
        <v>1</v>
      </c>
      <c r="E22" s="4">
        <v>222</v>
      </c>
      <c r="F22" s="4">
        <v>0</v>
      </c>
      <c r="G22" s="4" t="s">
        <v>70</v>
      </c>
      <c r="H22" s="4" t="s">
        <v>71</v>
      </c>
      <c r="I22" s="4"/>
      <c r="J22" s="4"/>
      <c r="K22" s="4">
        <v>222</v>
      </c>
      <c r="L22" s="4">
        <v>3</v>
      </c>
      <c r="M22" s="4">
        <v>3</v>
      </c>
      <c r="N22" s="4" t="s">
        <v>3</v>
      </c>
      <c r="O22" s="4">
        <v>2</v>
      </c>
      <c r="P22" s="4"/>
    </row>
    <row r="23" spans="1:19">
      <c r="A23" s="4">
        <v>50</v>
      </c>
      <c r="B23" s="4">
        <v>0</v>
      </c>
      <c r="C23" s="4">
        <v>0</v>
      </c>
      <c r="D23" s="4">
        <v>1</v>
      </c>
      <c r="E23" s="4">
        <v>225</v>
      </c>
      <c r="F23" s="4">
        <v>306110.12</v>
      </c>
      <c r="G23" s="4" t="s">
        <v>72</v>
      </c>
      <c r="H23" s="4" t="s">
        <v>73</v>
      </c>
      <c r="I23" s="4"/>
      <c r="J23" s="4"/>
      <c r="K23" s="4">
        <v>225</v>
      </c>
      <c r="L23" s="4">
        <v>4</v>
      </c>
      <c r="M23" s="4">
        <v>3</v>
      </c>
      <c r="N23" s="4" t="s">
        <v>3</v>
      </c>
      <c r="O23" s="4">
        <v>2</v>
      </c>
      <c r="P23" s="4"/>
    </row>
    <row r="24" spans="1:19">
      <c r="A24" s="4">
        <v>50</v>
      </c>
      <c r="B24" s="4">
        <v>0</v>
      </c>
      <c r="C24" s="4">
        <v>0</v>
      </c>
      <c r="D24" s="4">
        <v>1</v>
      </c>
      <c r="E24" s="4">
        <v>226</v>
      </c>
      <c r="F24" s="4">
        <v>306110.12</v>
      </c>
      <c r="G24" s="4" t="s">
        <v>74</v>
      </c>
      <c r="H24" s="4" t="s">
        <v>75</v>
      </c>
      <c r="I24" s="4"/>
      <c r="J24" s="4"/>
      <c r="K24" s="4">
        <v>226</v>
      </c>
      <c r="L24" s="4">
        <v>5</v>
      </c>
      <c r="M24" s="4">
        <v>3</v>
      </c>
      <c r="N24" s="4" t="s">
        <v>3</v>
      </c>
      <c r="O24" s="4">
        <v>2</v>
      </c>
      <c r="P24" s="4"/>
    </row>
    <row r="25" spans="1:19">
      <c r="A25" s="4">
        <v>50</v>
      </c>
      <c r="B25" s="4">
        <v>0</v>
      </c>
      <c r="C25" s="4">
        <v>0</v>
      </c>
      <c r="D25" s="4">
        <v>1</v>
      </c>
      <c r="E25" s="4">
        <v>227</v>
      </c>
      <c r="F25" s="4">
        <v>0</v>
      </c>
      <c r="G25" s="4" t="s">
        <v>76</v>
      </c>
      <c r="H25" s="4" t="s">
        <v>77</v>
      </c>
      <c r="I25" s="4"/>
      <c r="J25" s="4"/>
      <c r="K25" s="4">
        <v>227</v>
      </c>
      <c r="L25" s="4">
        <v>6</v>
      </c>
      <c r="M25" s="4">
        <v>3</v>
      </c>
      <c r="N25" s="4" t="s">
        <v>3</v>
      </c>
      <c r="O25" s="4">
        <v>2</v>
      </c>
      <c r="P25" s="4"/>
    </row>
    <row r="26" spans="1:19">
      <c r="A26" s="4">
        <v>50</v>
      </c>
      <c r="B26" s="4">
        <v>0</v>
      </c>
      <c r="C26" s="4">
        <v>0</v>
      </c>
      <c r="D26" s="4">
        <v>1</v>
      </c>
      <c r="E26" s="4">
        <v>228</v>
      </c>
      <c r="F26" s="4">
        <v>306110.12</v>
      </c>
      <c r="G26" s="4" t="s">
        <v>78</v>
      </c>
      <c r="H26" s="4" t="s">
        <v>79</v>
      </c>
      <c r="I26" s="4"/>
      <c r="J26" s="4"/>
      <c r="K26" s="4">
        <v>228</v>
      </c>
      <c r="L26" s="4">
        <v>7</v>
      </c>
      <c r="M26" s="4">
        <v>3</v>
      </c>
      <c r="N26" s="4" t="s">
        <v>3</v>
      </c>
      <c r="O26" s="4">
        <v>2</v>
      </c>
      <c r="P26" s="4"/>
    </row>
    <row r="27" spans="1:19">
      <c r="A27" s="4">
        <v>50</v>
      </c>
      <c r="B27" s="4">
        <v>0</v>
      </c>
      <c r="C27" s="4">
        <v>0</v>
      </c>
      <c r="D27" s="4">
        <v>1</v>
      </c>
      <c r="E27" s="4">
        <v>216</v>
      </c>
      <c r="F27" s="4">
        <v>0</v>
      </c>
      <c r="G27" s="4" t="s">
        <v>80</v>
      </c>
      <c r="H27" s="4" t="s">
        <v>81</v>
      </c>
      <c r="I27" s="4"/>
      <c r="J27" s="4"/>
      <c r="K27" s="4">
        <v>216</v>
      </c>
      <c r="L27" s="4">
        <v>8</v>
      </c>
      <c r="M27" s="4">
        <v>3</v>
      </c>
      <c r="N27" s="4" t="s">
        <v>3</v>
      </c>
      <c r="O27" s="4">
        <v>2</v>
      </c>
      <c r="P27" s="4"/>
    </row>
    <row r="28" spans="1:19">
      <c r="A28" s="4">
        <v>50</v>
      </c>
      <c r="B28" s="4">
        <v>0</v>
      </c>
      <c r="C28" s="4">
        <v>0</v>
      </c>
      <c r="D28" s="4">
        <v>1</v>
      </c>
      <c r="E28" s="4">
        <v>223</v>
      </c>
      <c r="F28" s="4">
        <v>0</v>
      </c>
      <c r="G28" s="4" t="s">
        <v>82</v>
      </c>
      <c r="H28" s="4" t="s">
        <v>83</v>
      </c>
      <c r="I28" s="4"/>
      <c r="J28" s="4"/>
      <c r="K28" s="4">
        <v>223</v>
      </c>
      <c r="L28" s="4">
        <v>9</v>
      </c>
      <c r="M28" s="4">
        <v>3</v>
      </c>
      <c r="N28" s="4" t="s">
        <v>3</v>
      </c>
      <c r="O28" s="4">
        <v>2</v>
      </c>
      <c r="P28" s="4"/>
    </row>
    <row r="29" spans="1:19">
      <c r="A29" s="4">
        <v>50</v>
      </c>
      <c r="B29" s="4">
        <v>0</v>
      </c>
      <c r="C29" s="4">
        <v>0</v>
      </c>
      <c r="D29" s="4">
        <v>1</v>
      </c>
      <c r="E29" s="4">
        <v>229</v>
      </c>
      <c r="F29" s="4">
        <v>0</v>
      </c>
      <c r="G29" s="4" t="s">
        <v>84</v>
      </c>
      <c r="H29" s="4" t="s">
        <v>85</v>
      </c>
      <c r="I29" s="4"/>
      <c r="J29" s="4"/>
      <c r="K29" s="4">
        <v>229</v>
      </c>
      <c r="L29" s="4">
        <v>10</v>
      </c>
      <c r="M29" s="4">
        <v>3</v>
      </c>
      <c r="N29" s="4" t="s">
        <v>3</v>
      </c>
      <c r="O29" s="4">
        <v>2</v>
      </c>
      <c r="P29" s="4"/>
    </row>
    <row r="30" spans="1:19">
      <c r="A30" s="4">
        <v>50</v>
      </c>
      <c r="B30" s="4">
        <v>0</v>
      </c>
      <c r="C30" s="4">
        <v>0</v>
      </c>
      <c r="D30" s="4">
        <v>1</v>
      </c>
      <c r="E30" s="4">
        <v>203</v>
      </c>
      <c r="F30" s="4">
        <v>9881.35</v>
      </c>
      <c r="G30" s="4" t="s">
        <v>86</v>
      </c>
      <c r="H30" s="4" t="s">
        <v>87</v>
      </c>
      <c r="I30" s="4"/>
      <c r="J30" s="4"/>
      <c r="K30" s="4">
        <v>203</v>
      </c>
      <c r="L30" s="4">
        <v>11</v>
      </c>
      <c r="M30" s="4">
        <v>3</v>
      </c>
      <c r="N30" s="4" t="s">
        <v>3</v>
      </c>
      <c r="O30" s="4">
        <v>2</v>
      </c>
      <c r="P30" s="4"/>
    </row>
    <row r="31" spans="1:19">
      <c r="A31" s="4">
        <v>50</v>
      </c>
      <c r="B31" s="4">
        <v>0</v>
      </c>
      <c r="C31" s="4">
        <v>0</v>
      </c>
      <c r="D31" s="4">
        <v>1</v>
      </c>
      <c r="E31" s="4">
        <v>231</v>
      </c>
      <c r="F31" s="4">
        <v>0</v>
      </c>
      <c r="G31" s="4" t="s">
        <v>88</v>
      </c>
      <c r="H31" s="4" t="s">
        <v>89</v>
      </c>
      <c r="I31" s="4"/>
      <c r="J31" s="4"/>
      <c r="K31" s="4">
        <v>231</v>
      </c>
      <c r="L31" s="4">
        <v>12</v>
      </c>
      <c r="M31" s="4">
        <v>3</v>
      </c>
      <c r="N31" s="4" t="s">
        <v>3</v>
      </c>
      <c r="O31" s="4">
        <v>2</v>
      </c>
      <c r="P31" s="4"/>
    </row>
    <row r="32" spans="1:19">
      <c r="A32" s="4">
        <v>50</v>
      </c>
      <c r="B32" s="4">
        <v>0</v>
      </c>
      <c r="C32" s="4">
        <v>0</v>
      </c>
      <c r="D32" s="4">
        <v>1</v>
      </c>
      <c r="E32" s="4">
        <v>204</v>
      </c>
      <c r="F32" s="4">
        <v>4092.97</v>
      </c>
      <c r="G32" s="4" t="s">
        <v>90</v>
      </c>
      <c r="H32" s="4" t="s">
        <v>91</v>
      </c>
      <c r="I32" s="4"/>
      <c r="J32" s="4"/>
      <c r="K32" s="4">
        <v>204</v>
      </c>
      <c r="L32" s="4">
        <v>13</v>
      </c>
      <c r="M32" s="4">
        <v>3</v>
      </c>
      <c r="N32" s="4" t="s">
        <v>3</v>
      </c>
      <c r="O32" s="4">
        <v>2</v>
      </c>
      <c r="P32" s="4"/>
    </row>
    <row r="33" spans="1:16">
      <c r="A33" s="4">
        <v>50</v>
      </c>
      <c r="B33" s="4">
        <v>0</v>
      </c>
      <c r="C33" s="4">
        <v>0</v>
      </c>
      <c r="D33" s="4">
        <v>1</v>
      </c>
      <c r="E33" s="4">
        <v>205</v>
      </c>
      <c r="F33" s="4">
        <v>141031.95000000001</v>
      </c>
      <c r="G33" s="4" t="s">
        <v>92</v>
      </c>
      <c r="H33" s="4" t="s">
        <v>93</v>
      </c>
      <c r="I33" s="4"/>
      <c r="J33" s="4"/>
      <c r="K33" s="4">
        <v>205</v>
      </c>
      <c r="L33" s="4">
        <v>14</v>
      </c>
      <c r="M33" s="4">
        <v>3</v>
      </c>
      <c r="N33" s="4" t="s">
        <v>3</v>
      </c>
      <c r="O33" s="4">
        <v>2</v>
      </c>
      <c r="P33" s="4"/>
    </row>
    <row r="34" spans="1:16">
      <c r="A34" s="4">
        <v>50</v>
      </c>
      <c r="B34" s="4">
        <v>0</v>
      </c>
      <c r="C34" s="4">
        <v>0</v>
      </c>
      <c r="D34" s="4">
        <v>1</v>
      </c>
      <c r="E34" s="4">
        <v>232</v>
      </c>
      <c r="F34" s="4">
        <v>0</v>
      </c>
      <c r="G34" s="4" t="s">
        <v>94</v>
      </c>
      <c r="H34" s="4" t="s">
        <v>95</v>
      </c>
      <c r="I34" s="4"/>
      <c r="J34" s="4"/>
      <c r="K34" s="4">
        <v>232</v>
      </c>
      <c r="L34" s="4">
        <v>15</v>
      </c>
      <c r="M34" s="4">
        <v>3</v>
      </c>
      <c r="N34" s="4" t="s">
        <v>3</v>
      </c>
      <c r="O34" s="4">
        <v>2</v>
      </c>
      <c r="P34" s="4"/>
    </row>
    <row r="35" spans="1:16">
      <c r="A35" s="4">
        <v>50</v>
      </c>
      <c r="B35" s="4">
        <v>0</v>
      </c>
      <c r="C35" s="4">
        <v>0</v>
      </c>
      <c r="D35" s="4">
        <v>1</v>
      </c>
      <c r="E35" s="4">
        <v>214</v>
      </c>
      <c r="F35" s="4">
        <v>659421.43000000005</v>
      </c>
      <c r="G35" s="4" t="s">
        <v>96</v>
      </c>
      <c r="H35" s="4" t="s">
        <v>97</v>
      </c>
      <c r="I35" s="4"/>
      <c r="J35" s="4"/>
      <c r="K35" s="4">
        <v>214</v>
      </c>
      <c r="L35" s="4">
        <v>16</v>
      </c>
      <c r="M35" s="4">
        <v>3</v>
      </c>
      <c r="N35" s="4" t="s">
        <v>3</v>
      </c>
      <c r="O35" s="4">
        <v>2</v>
      </c>
      <c r="P35" s="4"/>
    </row>
    <row r="36" spans="1:16">
      <c r="A36" s="4">
        <v>50</v>
      </c>
      <c r="B36" s="4">
        <v>0</v>
      </c>
      <c r="C36" s="4">
        <v>0</v>
      </c>
      <c r="D36" s="4">
        <v>1</v>
      </c>
      <c r="E36" s="4">
        <v>215</v>
      </c>
      <c r="F36" s="4">
        <v>21366.1</v>
      </c>
      <c r="G36" s="4" t="s">
        <v>98</v>
      </c>
      <c r="H36" s="4" t="s">
        <v>99</v>
      </c>
      <c r="I36" s="4"/>
      <c r="J36" s="4"/>
      <c r="K36" s="4">
        <v>215</v>
      </c>
      <c r="L36" s="4">
        <v>17</v>
      </c>
      <c r="M36" s="4">
        <v>3</v>
      </c>
      <c r="N36" s="4" t="s">
        <v>3</v>
      </c>
      <c r="O36" s="4">
        <v>2</v>
      </c>
      <c r="P36" s="4"/>
    </row>
    <row r="37" spans="1:16">
      <c r="A37" s="4">
        <v>50</v>
      </c>
      <c r="B37" s="4">
        <v>0</v>
      </c>
      <c r="C37" s="4">
        <v>0</v>
      </c>
      <c r="D37" s="4">
        <v>1</v>
      </c>
      <c r="E37" s="4">
        <v>217</v>
      </c>
      <c r="F37" s="4">
        <v>0</v>
      </c>
      <c r="G37" s="4" t="s">
        <v>100</v>
      </c>
      <c r="H37" s="4" t="s">
        <v>101</v>
      </c>
      <c r="I37" s="4"/>
      <c r="J37" s="4"/>
      <c r="K37" s="4">
        <v>217</v>
      </c>
      <c r="L37" s="4">
        <v>18</v>
      </c>
      <c r="M37" s="4">
        <v>3</v>
      </c>
      <c r="N37" s="4" t="s">
        <v>3</v>
      </c>
      <c r="O37" s="4">
        <v>2</v>
      </c>
      <c r="P37" s="4"/>
    </row>
    <row r="38" spans="1:16">
      <c r="A38" s="4">
        <v>50</v>
      </c>
      <c r="B38" s="4">
        <v>0</v>
      </c>
      <c r="C38" s="4">
        <v>0</v>
      </c>
      <c r="D38" s="4">
        <v>1</v>
      </c>
      <c r="E38" s="4">
        <v>230</v>
      </c>
      <c r="F38" s="4">
        <v>0</v>
      </c>
      <c r="G38" s="4" t="s">
        <v>102</v>
      </c>
      <c r="H38" s="4" t="s">
        <v>103</v>
      </c>
      <c r="I38" s="4"/>
      <c r="J38" s="4"/>
      <c r="K38" s="4">
        <v>230</v>
      </c>
      <c r="L38" s="4">
        <v>19</v>
      </c>
      <c r="M38" s="4">
        <v>3</v>
      </c>
      <c r="N38" s="4" t="s">
        <v>3</v>
      </c>
      <c r="O38" s="4">
        <v>2</v>
      </c>
      <c r="P38" s="4"/>
    </row>
    <row r="39" spans="1:16">
      <c r="A39" s="4">
        <v>50</v>
      </c>
      <c r="B39" s="4">
        <v>0</v>
      </c>
      <c r="C39" s="4">
        <v>0</v>
      </c>
      <c r="D39" s="4">
        <v>1</v>
      </c>
      <c r="E39" s="4">
        <v>206</v>
      </c>
      <c r="F39" s="4">
        <v>0</v>
      </c>
      <c r="G39" s="4" t="s">
        <v>104</v>
      </c>
      <c r="H39" s="4" t="s">
        <v>105</v>
      </c>
      <c r="I39" s="4"/>
      <c r="J39" s="4"/>
      <c r="K39" s="4">
        <v>206</v>
      </c>
      <c r="L39" s="4">
        <v>20</v>
      </c>
      <c r="M39" s="4">
        <v>3</v>
      </c>
      <c r="N39" s="4" t="s">
        <v>3</v>
      </c>
      <c r="O39" s="4">
        <v>2</v>
      </c>
      <c r="P39" s="4"/>
    </row>
    <row r="40" spans="1:16">
      <c r="A40" s="4">
        <v>50</v>
      </c>
      <c r="B40" s="4">
        <v>0</v>
      </c>
      <c r="C40" s="4">
        <v>0</v>
      </c>
      <c r="D40" s="4">
        <v>1</v>
      </c>
      <c r="E40" s="4">
        <v>207</v>
      </c>
      <c r="F40" s="4">
        <v>483.70988299999999</v>
      </c>
      <c r="G40" s="4" t="s">
        <v>106</v>
      </c>
      <c r="H40" s="4" t="s">
        <v>107</v>
      </c>
      <c r="I40" s="4"/>
      <c r="J40" s="4"/>
      <c r="K40" s="4">
        <v>207</v>
      </c>
      <c r="L40" s="4">
        <v>21</v>
      </c>
      <c r="M40" s="4">
        <v>3</v>
      </c>
      <c r="N40" s="4" t="s">
        <v>3</v>
      </c>
      <c r="O40" s="4">
        <v>-1</v>
      </c>
      <c r="P40" s="4"/>
    </row>
    <row r="41" spans="1:16">
      <c r="A41" s="4">
        <v>50</v>
      </c>
      <c r="B41" s="4">
        <v>0</v>
      </c>
      <c r="C41" s="4">
        <v>0</v>
      </c>
      <c r="D41" s="4">
        <v>1</v>
      </c>
      <c r="E41" s="4">
        <v>208</v>
      </c>
      <c r="F41" s="4">
        <v>11.583265000000001</v>
      </c>
      <c r="G41" s="4" t="s">
        <v>108</v>
      </c>
      <c r="H41" s="4" t="s">
        <v>109</v>
      </c>
      <c r="I41" s="4"/>
      <c r="J41" s="4"/>
      <c r="K41" s="4">
        <v>208</v>
      </c>
      <c r="L41" s="4">
        <v>22</v>
      </c>
      <c r="M41" s="4">
        <v>3</v>
      </c>
      <c r="N41" s="4" t="s">
        <v>3</v>
      </c>
      <c r="O41" s="4">
        <v>-1</v>
      </c>
      <c r="P41" s="4"/>
    </row>
    <row r="42" spans="1:16">
      <c r="A42" s="4">
        <v>50</v>
      </c>
      <c r="B42" s="4">
        <v>0</v>
      </c>
      <c r="C42" s="4">
        <v>0</v>
      </c>
      <c r="D42" s="4">
        <v>1</v>
      </c>
      <c r="E42" s="4">
        <v>209</v>
      </c>
      <c r="F42" s="4">
        <v>2190.69</v>
      </c>
      <c r="G42" s="4" t="s">
        <v>110</v>
      </c>
      <c r="H42" s="4" t="s">
        <v>111</v>
      </c>
      <c r="I42" s="4"/>
      <c r="J42" s="4"/>
      <c r="K42" s="4">
        <v>209</v>
      </c>
      <c r="L42" s="4">
        <v>23</v>
      </c>
      <c r="M42" s="4">
        <v>3</v>
      </c>
      <c r="N42" s="4" t="s">
        <v>3</v>
      </c>
      <c r="O42" s="4">
        <v>2</v>
      </c>
      <c r="P42" s="4"/>
    </row>
    <row r="43" spans="1:16">
      <c r="A43" s="4">
        <v>50</v>
      </c>
      <c r="B43" s="4">
        <v>0</v>
      </c>
      <c r="C43" s="4">
        <v>0</v>
      </c>
      <c r="D43" s="4">
        <v>1</v>
      </c>
      <c r="E43" s="4">
        <v>233</v>
      </c>
      <c r="F43" s="4">
        <v>1189.56</v>
      </c>
      <c r="G43" s="4" t="s">
        <v>112</v>
      </c>
      <c r="H43" s="4" t="s">
        <v>113</v>
      </c>
      <c r="I43" s="4"/>
      <c r="J43" s="4"/>
      <c r="K43" s="4">
        <v>233</v>
      </c>
      <c r="L43" s="4">
        <v>24</v>
      </c>
      <c r="M43" s="4">
        <v>3</v>
      </c>
      <c r="N43" s="4" t="s">
        <v>3</v>
      </c>
      <c r="O43" s="4">
        <v>2</v>
      </c>
      <c r="P43" s="4"/>
    </row>
    <row r="44" spans="1:16">
      <c r="A44" s="4">
        <v>50</v>
      </c>
      <c r="B44" s="4">
        <v>0</v>
      </c>
      <c r="C44" s="4">
        <v>0</v>
      </c>
      <c r="D44" s="4">
        <v>1</v>
      </c>
      <c r="E44" s="4">
        <v>210</v>
      </c>
      <c r="F44" s="4">
        <v>140294.04</v>
      </c>
      <c r="G44" s="4" t="s">
        <v>114</v>
      </c>
      <c r="H44" s="4" t="s">
        <v>115</v>
      </c>
      <c r="I44" s="4"/>
      <c r="J44" s="4"/>
      <c r="K44" s="4">
        <v>210</v>
      </c>
      <c r="L44" s="4">
        <v>25</v>
      </c>
      <c r="M44" s="4">
        <v>3</v>
      </c>
      <c r="N44" s="4" t="s">
        <v>3</v>
      </c>
      <c r="O44" s="4">
        <v>2</v>
      </c>
      <c r="P44" s="4"/>
    </row>
    <row r="45" spans="1:16">
      <c r="A45" s="4">
        <v>50</v>
      </c>
      <c r="B45" s="4">
        <v>0</v>
      </c>
      <c r="C45" s="4">
        <v>0</v>
      </c>
      <c r="D45" s="4">
        <v>1</v>
      </c>
      <c r="E45" s="4">
        <v>211</v>
      </c>
      <c r="F45" s="4">
        <v>83470.070000000007</v>
      </c>
      <c r="G45" s="4" t="s">
        <v>116</v>
      </c>
      <c r="H45" s="4" t="s">
        <v>117</v>
      </c>
      <c r="I45" s="4"/>
      <c r="J45" s="4"/>
      <c r="K45" s="4">
        <v>211</v>
      </c>
      <c r="L45" s="4">
        <v>26</v>
      </c>
      <c r="M45" s="4">
        <v>3</v>
      </c>
      <c r="N45" s="4" t="s">
        <v>3</v>
      </c>
      <c r="O45" s="4">
        <v>2</v>
      </c>
      <c r="P45" s="4"/>
    </row>
    <row r="46" spans="1:16">
      <c r="A46" s="4">
        <v>50</v>
      </c>
      <c r="B46" s="4">
        <v>0</v>
      </c>
      <c r="C46" s="4">
        <v>0</v>
      </c>
      <c r="D46" s="4">
        <v>1</v>
      </c>
      <c r="E46" s="4">
        <v>224</v>
      </c>
      <c r="F46" s="4">
        <v>680787.53</v>
      </c>
      <c r="G46" s="4" t="s">
        <v>118</v>
      </c>
      <c r="H46" s="4" t="s">
        <v>119</v>
      </c>
      <c r="I46" s="4"/>
      <c r="J46" s="4"/>
      <c r="K46" s="4">
        <v>224</v>
      </c>
      <c r="L46" s="4">
        <v>27</v>
      </c>
      <c r="M46" s="4">
        <v>3</v>
      </c>
      <c r="N46" s="4" t="s">
        <v>3</v>
      </c>
      <c r="O46" s="4">
        <v>2</v>
      </c>
      <c r="P46" s="4"/>
    </row>
    <row r="47" spans="1:16">
      <c r="A47" s="4">
        <v>50</v>
      </c>
      <c r="B47" s="4">
        <v>1</v>
      </c>
      <c r="C47" s="4">
        <v>0</v>
      </c>
      <c r="D47" s="4">
        <v>2</v>
      </c>
      <c r="E47" s="4">
        <v>0</v>
      </c>
      <c r="F47" s="4">
        <v>136157.51</v>
      </c>
      <c r="G47" s="4" t="s">
        <v>296</v>
      </c>
      <c r="H47" s="4" t="s">
        <v>297</v>
      </c>
      <c r="I47" s="4"/>
      <c r="J47" s="4"/>
      <c r="K47" s="4">
        <v>212</v>
      </c>
      <c r="L47" s="4">
        <v>28</v>
      </c>
      <c r="M47" s="4">
        <v>0</v>
      </c>
      <c r="N47" s="4" t="s">
        <v>3</v>
      </c>
      <c r="O47" s="4">
        <v>2</v>
      </c>
      <c r="P47" s="4"/>
    </row>
    <row r="48" spans="1:16">
      <c r="A48" s="4">
        <v>50</v>
      </c>
      <c r="B48" s="4">
        <v>1</v>
      </c>
      <c r="C48" s="4">
        <v>0</v>
      </c>
      <c r="D48" s="4">
        <v>2</v>
      </c>
      <c r="E48" s="4">
        <v>213</v>
      </c>
      <c r="F48" s="4">
        <v>816945.04</v>
      </c>
      <c r="G48" s="4" t="s">
        <v>298</v>
      </c>
      <c r="H48" s="4" t="s">
        <v>299</v>
      </c>
      <c r="I48" s="4"/>
      <c r="J48" s="4"/>
      <c r="K48" s="4">
        <v>212</v>
      </c>
      <c r="L48" s="4">
        <v>29</v>
      </c>
      <c r="M48" s="4">
        <v>0</v>
      </c>
      <c r="N48" s="4" t="s">
        <v>3</v>
      </c>
      <c r="O48" s="4">
        <v>2</v>
      </c>
      <c r="P48" s="4"/>
    </row>
    <row r="50" spans="1:40">
      <c r="A50">
        <v>-1</v>
      </c>
    </row>
    <row r="53" spans="1:40">
      <c r="A53" s="3">
        <v>75</v>
      </c>
      <c r="B53" s="3" t="s">
        <v>361</v>
      </c>
      <c r="C53" s="3">
        <v>2021</v>
      </c>
      <c r="D53" s="3">
        <v>0</v>
      </c>
      <c r="E53" s="3">
        <v>2</v>
      </c>
      <c r="F53" s="3"/>
      <c r="G53" s="3">
        <v>0</v>
      </c>
      <c r="H53" s="3">
        <v>1</v>
      </c>
      <c r="I53" s="3">
        <v>0</v>
      </c>
      <c r="J53" s="3">
        <v>3</v>
      </c>
      <c r="K53" s="3">
        <v>0</v>
      </c>
      <c r="L53" s="3">
        <v>0</v>
      </c>
      <c r="M53" s="3">
        <v>0</v>
      </c>
      <c r="N53" s="3">
        <v>35841400</v>
      </c>
      <c r="O53" s="3">
        <v>1</v>
      </c>
    </row>
    <row r="54" spans="1:40">
      <c r="A54" s="5">
        <v>1</v>
      </c>
      <c r="B54" s="5" t="s">
        <v>362</v>
      </c>
      <c r="C54" s="5" t="s">
        <v>363</v>
      </c>
      <c r="D54" s="5">
        <v>2021</v>
      </c>
      <c r="E54" s="5">
        <v>2</v>
      </c>
      <c r="F54" s="5">
        <v>1</v>
      </c>
      <c r="G54" s="5">
        <v>1</v>
      </c>
      <c r="H54" s="5">
        <v>0</v>
      </c>
      <c r="I54" s="5">
        <v>2</v>
      </c>
      <c r="J54" s="5">
        <v>1</v>
      </c>
      <c r="K54" s="5">
        <v>1</v>
      </c>
      <c r="L54" s="5">
        <v>1</v>
      </c>
      <c r="M54" s="5">
        <v>1</v>
      </c>
      <c r="N54" s="5">
        <v>1</v>
      </c>
      <c r="O54" s="5">
        <v>1</v>
      </c>
      <c r="P54" s="5">
        <v>1</v>
      </c>
      <c r="Q54" s="5">
        <v>1</v>
      </c>
      <c r="R54" s="5" t="s">
        <v>3</v>
      </c>
      <c r="S54" s="5" t="s">
        <v>3</v>
      </c>
      <c r="T54" s="5" t="s">
        <v>3</v>
      </c>
      <c r="U54" s="5" t="s">
        <v>3</v>
      </c>
      <c r="V54" s="5" t="s">
        <v>3</v>
      </c>
      <c r="W54" s="5" t="s">
        <v>3</v>
      </c>
      <c r="X54" s="5" t="s">
        <v>3</v>
      </c>
      <c r="Y54" s="5" t="s">
        <v>3</v>
      </c>
      <c r="Z54" s="5" t="s">
        <v>3</v>
      </c>
      <c r="AA54" s="5" t="s">
        <v>3</v>
      </c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>
        <v>35841401</v>
      </c>
    </row>
    <row r="55" spans="1:40">
      <c r="A55" s="5">
        <v>2</v>
      </c>
      <c r="B55" s="5" t="s">
        <v>364</v>
      </c>
      <c r="C55" s="5" t="s">
        <v>365</v>
      </c>
      <c r="D55" s="5">
        <v>0</v>
      </c>
      <c r="E55" s="5">
        <v>0</v>
      </c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>
        <v>35841402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DC169"/>
  <sheetViews>
    <sheetView workbookViewId="0"/>
  </sheetViews>
  <sheetFormatPr defaultColWidth="9.140625" defaultRowHeight="12.75"/>
  <cols>
    <col min="1" max="256" width="9.140625" customWidth="1"/>
  </cols>
  <sheetData>
    <row r="1" spans="1:107">
      <c r="A1">
        <f>ROW(Source!A30)</f>
        <v>30</v>
      </c>
      <c r="B1">
        <v>35841400</v>
      </c>
      <c r="C1">
        <v>35842182</v>
      </c>
      <c r="D1">
        <v>18406804</v>
      </c>
      <c r="E1">
        <v>1</v>
      </c>
      <c r="F1">
        <v>1</v>
      </c>
      <c r="G1">
        <v>1</v>
      </c>
      <c r="H1">
        <v>1</v>
      </c>
      <c r="I1" t="s">
        <v>367</v>
      </c>
      <c r="J1" t="s">
        <v>3</v>
      </c>
      <c r="K1" t="s">
        <v>368</v>
      </c>
      <c r="L1">
        <v>1369</v>
      </c>
      <c r="N1">
        <v>1013</v>
      </c>
      <c r="O1" t="s">
        <v>369</v>
      </c>
      <c r="P1" t="s">
        <v>369</v>
      </c>
      <c r="Q1">
        <v>1</v>
      </c>
      <c r="W1">
        <v>0</v>
      </c>
      <c r="X1">
        <v>254330056</v>
      </c>
      <c r="Y1">
        <v>17.440000000000001</v>
      </c>
      <c r="AA1">
        <v>0</v>
      </c>
      <c r="AB1">
        <v>0</v>
      </c>
      <c r="AC1">
        <v>0</v>
      </c>
      <c r="AD1">
        <v>254.67</v>
      </c>
      <c r="AE1">
        <v>0</v>
      </c>
      <c r="AF1">
        <v>0</v>
      </c>
      <c r="AG1">
        <v>0</v>
      </c>
      <c r="AH1">
        <v>254.67</v>
      </c>
      <c r="AI1">
        <v>1</v>
      </c>
      <c r="AJ1">
        <v>1</v>
      </c>
      <c r="AK1">
        <v>1</v>
      </c>
      <c r="AL1">
        <v>1</v>
      </c>
      <c r="AN1">
        <v>0</v>
      </c>
      <c r="AO1">
        <v>1</v>
      </c>
      <c r="AP1">
        <v>0</v>
      </c>
      <c r="AQ1">
        <v>0</v>
      </c>
      <c r="AR1">
        <v>0</v>
      </c>
      <c r="AS1" t="s">
        <v>3</v>
      </c>
      <c r="AT1">
        <v>17.440000000000001</v>
      </c>
      <c r="AU1" t="s">
        <v>3</v>
      </c>
      <c r="AV1">
        <v>1</v>
      </c>
      <c r="AW1">
        <v>2</v>
      </c>
      <c r="AX1">
        <v>36150436</v>
      </c>
      <c r="AY1">
        <v>1</v>
      </c>
      <c r="AZ1">
        <v>0</v>
      </c>
      <c r="BA1">
        <v>1</v>
      </c>
      <c r="BB1">
        <v>0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0</v>
      </c>
      <c r="BN1">
        <v>0</v>
      </c>
      <c r="BO1">
        <v>0</v>
      </c>
      <c r="BP1">
        <v>0</v>
      </c>
      <c r="BQ1">
        <v>0</v>
      </c>
      <c r="BR1">
        <v>0</v>
      </c>
      <c r="BS1">
        <v>0</v>
      </c>
      <c r="BT1">
        <v>0</v>
      </c>
      <c r="BU1">
        <v>0</v>
      </c>
      <c r="BV1">
        <v>0</v>
      </c>
      <c r="BW1">
        <v>0</v>
      </c>
      <c r="CX1">
        <f>Y1*Source!I30</f>
        <v>15.835520000000002</v>
      </c>
      <c r="CY1">
        <f>AD1</f>
        <v>254.67</v>
      </c>
      <c r="CZ1">
        <f>AH1</f>
        <v>254.67</v>
      </c>
      <c r="DA1">
        <f>AL1</f>
        <v>1</v>
      </c>
      <c r="DB1">
        <f t="shared" ref="DB1:DB20" si="0">ROUND(ROUND(AT1*CZ1,2),6)</f>
        <v>4441.4399999999996</v>
      </c>
      <c r="DC1">
        <f t="shared" ref="DC1:DC20" si="1">ROUND(ROUND(AT1*AG1,2),6)</f>
        <v>0</v>
      </c>
    </row>
    <row r="2" spans="1:107">
      <c r="A2">
        <f>ROW(Source!A30)</f>
        <v>30</v>
      </c>
      <c r="B2">
        <v>35841400</v>
      </c>
      <c r="C2">
        <v>35842182</v>
      </c>
      <c r="D2">
        <v>29164349</v>
      </c>
      <c r="E2">
        <v>1</v>
      </c>
      <c r="F2">
        <v>1</v>
      </c>
      <c r="G2">
        <v>1</v>
      </c>
      <c r="H2">
        <v>3</v>
      </c>
      <c r="I2" t="s">
        <v>25</v>
      </c>
      <c r="J2" t="s">
        <v>28</v>
      </c>
      <c r="K2" t="s">
        <v>26</v>
      </c>
      <c r="L2">
        <v>1348</v>
      </c>
      <c r="N2">
        <v>1009</v>
      </c>
      <c r="O2" t="s">
        <v>27</v>
      </c>
      <c r="P2" t="s">
        <v>27</v>
      </c>
      <c r="Q2">
        <v>1000</v>
      </c>
      <c r="W2">
        <v>0</v>
      </c>
      <c r="X2">
        <v>-304821490</v>
      </c>
      <c r="Y2">
        <v>4.67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1</v>
      </c>
      <c r="AJ2">
        <v>1</v>
      </c>
      <c r="AK2">
        <v>1</v>
      </c>
      <c r="AL2">
        <v>1</v>
      </c>
      <c r="AN2">
        <v>0</v>
      </c>
      <c r="AO2">
        <v>0</v>
      </c>
      <c r="AP2">
        <v>0</v>
      </c>
      <c r="AQ2">
        <v>0</v>
      </c>
      <c r="AR2">
        <v>0</v>
      </c>
      <c r="AS2" t="s">
        <v>3</v>
      </c>
      <c r="AT2">
        <v>4.67</v>
      </c>
      <c r="AU2" t="s">
        <v>3</v>
      </c>
      <c r="AV2">
        <v>0</v>
      </c>
      <c r="AW2">
        <v>2</v>
      </c>
      <c r="AX2">
        <v>36150437</v>
      </c>
      <c r="AY2">
        <v>1</v>
      </c>
      <c r="AZ2">
        <v>0</v>
      </c>
      <c r="BA2">
        <v>2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CX2">
        <f>Y2*Source!I30</f>
        <v>4.2403599999999999</v>
      </c>
      <c r="CY2">
        <f>AA2</f>
        <v>0</v>
      </c>
      <c r="CZ2">
        <f>AE2</f>
        <v>0</v>
      </c>
      <c r="DA2">
        <f>AI2</f>
        <v>1</v>
      </c>
      <c r="DB2">
        <f t="shared" si="0"/>
        <v>0</v>
      </c>
      <c r="DC2">
        <f t="shared" si="1"/>
        <v>0</v>
      </c>
    </row>
    <row r="3" spans="1:107">
      <c r="A3">
        <f>ROW(Source!A32)</f>
        <v>32</v>
      </c>
      <c r="B3">
        <v>35841400</v>
      </c>
      <c r="C3">
        <v>35842188</v>
      </c>
      <c r="D3">
        <v>18406804</v>
      </c>
      <c r="E3">
        <v>1</v>
      </c>
      <c r="F3">
        <v>1</v>
      </c>
      <c r="G3">
        <v>1</v>
      </c>
      <c r="H3">
        <v>1</v>
      </c>
      <c r="I3" t="s">
        <v>367</v>
      </c>
      <c r="J3" t="s">
        <v>3</v>
      </c>
      <c r="K3" t="s">
        <v>368</v>
      </c>
      <c r="L3">
        <v>1369</v>
      </c>
      <c r="N3">
        <v>1013</v>
      </c>
      <c r="O3" t="s">
        <v>369</v>
      </c>
      <c r="P3" t="s">
        <v>369</v>
      </c>
      <c r="Q3">
        <v>1</v>
      </c>
      <c r="W3">
        <v>0</v>
      </c>
      <c r="X3">
        <v>254330056</v>
      </c>
      <c r="Y3">
        <v>22.82</v>
      </c>
      <c r="AA3">
        <v>0</v>
      </c>
      <c r="AB3">
        <v>0</v>
      </c>
      <c r="AC3">
        <v>0</v>
      </c>
      <c r="AD3">
        <v>254.67</v>
      </c>
      <c r="AE3">
        <v>0</v>
      </c>
      <c r="AF3">
        <v>0</v>
      </c>
      <c r="AG3">
        <v>0</v>
      </c>
      <c r="AH3">
        <v>254.67</v>
      </c>
      <c r="AI3">
        <v>1</v>
      </c>
      <c r="AJ3">
        <v>1</v>
      </c>
      <c r="AK3">
        <v>1</v>
      </c>
      <c r="AL3">
        <v>1</v>
      </c>
      <c r="AN3">
        <v>0</v>
      </c>
      <c r="AO3">
        <v>1</v>
      </c>
      <c r="AP3">
        <v>0</v>
      </c>
      <c r="AQ3">
        <v>0</v>
      </c>
      <c r="AR3">
        <v>0</v>
      </c>
      <c r="AS3" t="s">
        <v>3</v>
      </c>
      <c r="AT3">
        <v>22.82</v>
      </c>
      <c r="AU3" t="s">
        <v>3</v>
      </c>
      <c r="AV3">
        <v>1</v>
      </c>
      <c r="AW3">
        <v>2</v>
      </c>
      <c r="AX3">
        <v>35842189</v>
      </c>
      <c r="AY3">
        <v>1</v>
      </c>
      <c r="AZ3">
        <v>0</v>
      </c>
      <c r="BA3">
        <v>3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CX3">
        <f>Y3*Source!I32</f>
        <v>29.620360000000002</v>
      </c>
      <c r="CY3">
        <f>AD3</f>
        <v>254.67</v>
      </c>
      <c r="CZ3">
        <f>AH3</f>
        <v>254.67</v>
      </c>
      <c r="DA3">
        <f>AL3</f>
        <v>1</v>
      </c>
      <c r="DB3">
        <f t="shared" si="0"/>
        <v>5811.57</v>
      </c>
      <c r="DC3">
        <f t="shared" si="1"/>
        <v>0</v>
      </c>
    </row>
    <row r="4" spans="1:107">
      <c r="A4">
        <f>ROW(Source!A33)</f>
        <v>33</v>
      </c>
      <c r="B4">
        <v>35841400</v>
      </c>
      <c r="C4">
        <v>35842104</v>
      </c>
      <c r="D4">
        <v>18406804</v>
      </c>
      <c r="E4">
        <v>1</v>
      </c>
      <c r="F4">
        <v>1</v>
      </c>
      <c r="G4">
        <v>1</v>
      </c>
      <c r="H4">
        <v>1</v>
      </c>
      <c r="I4" t="s">
        <v>367</v>
      </c>
      <c r="J4" t="s">
        <v>3</v>
      </c>
      <c r="K4" t="s">
        <v>368</v>
      </c>
      <c r="L4">
        <v>1369</v>
      </c>
      <c r="N4">
        <v>1013</v>
      </c>
      <c r="O4" t="s">
        <v>369</v>
      </c>
      <c r="P4" t="s">
        <v>369</v>
      </c>
      <c r="Q4">
        <v>1</v>
      </c>
      <c r="W4">
        <v>0</v>
      </c>
      <c r="X4">
        <v>254330056</v>
      </c>
      <c r="Y4">
        <v>7.67</v>
      </c>
      <c r="AA4">
        <v>0</v>
      </c>
      <c r="AB4">
        <v>0</v>
      </c>
      <c r="AC4">
        <v>0</v>
      </c>
      <c r="AD4">
        <v>254.67</v>
      </c>
      <c r="AE4">
        <v>0</v>
      </c>
      <c r="AF4">
        <v>0</v>
      </c>
      <c r="AG4">
        <v>0</v>
      </c>
      <c r="AH4">
        <v>254.67</v>
      </c>
      <c r="AI4">
        <v>1</v>
      </c>
      <c r="AJ4">
        <v>1</v>
      </c>
      <c r="AK4">
        <v>1</v>
      </c>
      <c r="AL4">
        <v>1</v>
      </c>
      <c r="AN4">
        <v>0</v>
      </c>
      <c r="AO4">
        <v>1</v>
      </c>
      <c r="AP4">
        <v>0</v>
      </c>
      <c r="AQ4">
        <v>0</v>
      </c>
      <c r="AR4">
        <v>0</v>
      </c>
      <c r="AS4" t="s">
        <v>3</v>
      </c>
      <c r="AT4">
        <v>7.67</v>
      </c>
      <c r="AU4" t="s">
        <v>3</v>
      </c>
      <c r="AV4">
        <v>1</v>
      </c>
      <c r="AW4">
        <v>2</v>
      </c>
      <c r="AX4">
        <v>36150439</v>
      </c>
      <c r="AY4">
        <v>1</v>
      </c>
      <c r="AZ4">
        <v>0</v>
      </c>
      <c r="BA4">
        <v>4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CX4">
        <f>Y4*Source!I33</f>
        <v>6.9643600000000001</v>
      </c>
      <c r="CY4">
        <f>AD4</f>
        <v>254.67</v>
      </c>
      <c r="CZ4">
        <f>AH4</f>
        <v>254.67</v>
      </c>
      <c r="DA4">
        <f>AL4</f>
        <v>1</v>
      </c>
      <c r="DB4">
        <f t="shared" si="0"/>
        <v>1953.32</v>
      </c>
      <c r="DC4">
        <f t="shared" si="1"/>
        <v>0</v>
      </c>
    </row>
    <row r="5" spans="1:107">
      <c r="A5">
        <f>ROW(Source!A33)</f>
        <v>33</v>
      </c>
      <c r="B5">
        <v>35841400</v>
      </c>
      <c r="C5">
        <v>35842104</v>
      </c>
      <c r="D5">
        <v>29164349</v>
      </c>
      <c r="E5">
        <v>1</v>
      </c>
      <c r="F5">
        <v>1</v>
      </c>
      <c r="G5">
        <v>1</v>
      </c>
      <c r="H5">
        <v>3</v>
      </c>
      <c r="I5" t="s">
        <v>25</v>
      </c>
      <c r="J5" t="s">
        <v>28</v>
      </c>
      <c r="K5" t="s">
        <v>26</v>
      </c>
      <c r="L5">
        <v>1348</v>
      </c>
      <c r="N5">
        <v>1009</v>
      </c>
      <c r="O5" t="s">
        <v>27</v>
      </c>
      <c r="P5" t="s">
        <v>27</v>
      </c>
      <c r="Q5">
        <v>1000</v>
      </c>
      <c r="W5">
        <v>0</v>
      </c>
      <c r="X5">
        <v>-304821490</v>
      </c>
      <c r="Y5">
        <v>0.7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1</v>
      </c>
      <c r="AJ5">
        <v>1</v>
      </c>
      <c r="AK5">
        <v>1</v>
      </c>
      <c r="AL5">
        <v>1</v>
      </c>
      <c r="AN5">
        <v>0</v>
      </c>
      <c r="AO5">
        <v>0</v>
      </c>
      <c r="AP5">
        <v>0</v>
      </c>
      <c r="AQ5">
        <v>0</v>
      </c>
      <c r="AR5">
        <v>0</v>
      </c>
      <c r="AS5" t="s">
        <v>3</v>
      </c>
      <c r="AT5">
        <v>0.7</v>
      </c>
      <c r="AU5" t="s">
        <v>3</v>
      </c>
      <c r="AV5">
        <v>0</v>
      </c>
      <c r="AW5">
        <v>2</v>
      </c>
      <c r="AX5">
        <v>36150440</v>
      </c>
      <c r="AY5">
        <v>1</v>
      </c>
      <c r="AZ5">
        <v>0</v>
      </c>
      <c r="BA5">
        <v>5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CX5">
        <f>Y5*Source!I33</f>
        <v>0.63559999999999994</v>
      </c>
      <c r="CY5">
        <f>AA5</f>
        <v>0</v>
      </c>
      <c r="CZ5">
        <f>AE5</f>
        <v>0</v>
      </c>
      <c r="DA5">
        <f>AI5</f>
        <v>1</v>
      </c>
      <c r="DB5">
        <f t="shared" si="0"/>
        <v>0</v>
      </c>
      <c r="DC5">
        <f t="shared" si="1"/>
        <v>0</v>
      </c>
    </row>
    <row r="6" spans="1:107">
      <c r="A6">
        <f>ROW(Source!A35)</f>
        <v>35</v>
      </c>
      <c r="B6">
        <v>35841400</v>
      </c>
      <c r="C6">
        <v>35842108</v>
      </c>
      <c r="D6">
        <v>18406804</v>
      </c>
      <c r="E6">
        <v>1</v>
      </c>
      <c r="F6">
        <v>1</v>
      </c>
      <c r="G6">
        <v>1</v>
      </c>
      <c r="H6">
        <v>1</v>
      </c>
      <c r="I6" t="s">
        <v>367</v>
      </c>
      <c r="J6" t="s">
        <v>3</v>
      </c>
      <c r="K6" t="s">
        <v>368</v>
      </c>
      <c r="L6">
        <v>1369</v>
      </c>
      <c r="N6">
        <v>1013</v>
      </c>
      <c r="O6" t="s">
        <v>369</v>
      </c>
      <c r="P6" t="s">
        <v>369</v>
      </c>
      <c r="Q6">
        <v>1</v>
      </c>
      <c r="W6">
        <v>0</v>
      </c>
      <c r="X6">
        <v>254330056</v>
      </c>
      <c r="Y6">
        <v>3.77</v>
      </c>
      <c r="AA6">
        <v>0</v>
      </c>
      <c r="AB6">
        <v>0</v>
      </c>
      <c r="AC6">
        <v>0</v>
      </c>
      <c r="AD6">
        <v>254.67</v>
      </c>
      <c r="AE6">
        <v>0</v>
      </c>
      <c r="AF6">
        <v>0</v>
      </c>
      <c r="AG6">
        <v>0</v>
      </c>
      <c r="AH6">
        <v>254.67</v>
      </c>
      <c r="AI6">
        <v>1</v>
      </c>
      <c r="AJ6">
        <v>1</v>
      </c>
      <c r="AK6">
        <v>1</v>
      </c>
      <c r="AL6">
        <v>1</v>
      </c>
      <c r="AN6">
        <v>0</v>
      </c>
      <c r="AO6">
        <v>1</v>
      </c>
      <c r="AP6">
        <v>0</v>
      </c>
      <c r="AQ6">
        <v>0</v>
      </c>
      <c r="AR6">
        <v>0</v>
      </c>
      <c r="AS6" t="s">
        <v>3</v>
      </c>
      <c r="AT6">
        <v>3.77</v>
      </c>
      <c r="AU6" t="s">
        <v>3</v>
      </c>
      <c r="AV6">
        <v>1</v>
      </c>
      <c r="AW6">
        <v>2</v>
      </c>
      <c r="AX6">
        <v>35842109</v>
      </c>
      <c r="AY6">
        <v>1</v>
      </c>
      <c r="AZ6">
        <v>0</v>
      </c>
      <c r="BA6">
        <v>6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CX6">
        <f>Y6*Source!I35</f>
        <v>1.7342000000000002</v>
      </c>
      <c r="CY6">
        <f>AD6</f>
        <v>254.67</v>
      </c>
      <c r="CZ6">
        <f>AH6</f>
        <v>254.67</v>
      </c>
      <c r="DA6">
        <f>AL6</f>
        <v>1</v>
      </c>
      <c r="DB6">
        <f t="shared" si="0"/>
        <v>960.11</v>
      </c>
      <c r="DC6">
        <f t="shared" si="1"/>
        <v>0</v>
      </c>
    </row>
    <row r="7" spans="1:107">
      <c r="A7">
        <f>ROW(Source!A35)</f>
        <v>35</v>
      </c>
      <c r="B7">
        <v>35841400</v>
      </c>
      <c r="C7">
        <v>35842108</v>
      </c>
      <c r="D7">
        <v>29164349</v>
      </c>
      <c r="E7">
        <v>1</v>
      </c>
      <c r="F7">
        <v>1</v>
      </c>
      <c r="G7">
        <v>1</v>
      </c>
      <c r="H7">
        <v>3</v>
      </c>
      <c r="I7" t="s">
        <v>25</v>
      </c>
      <c r="J7" t="s">
        <v>28</v>
      </c>
      <c r="K7" t="s">
        <v>26</v>
      </c>
      <c r="L7">
        <v>1348</v>
      </c>
      <c r="N7">
        <v>1009</v>
      </c>
      <c r="O7" t="s">
        <v>27</v>
      </c>
      <c r="P7" t="s">
        <v>27</v>
      </c>
      <c r="Q7">
        <v>1000</v>
      </c>
      <c r="W7">
        <v>0</v>
      </c>
      <c r="X7">
        <v>-304821490</v>
      </c>
      <c r="Y7">
        <v>0.11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1</v>
      </c>
      <c r="AJ7">
        <v>1</v>
      </c>
      <c r="AK7">
        <v>1</v>
      </c>
      <c r="AL7">
        <v>1</v>
      </c>
      <c r="AN7">
        <v>0</v>
      </c>
      <c r="AO7">
        <v>0</v>
      </c>
      <c r="AP7">
        <v>0</v>
      </c>
      <c r="AQ7">
        <v>0</v>
      </c>
      <c r="AR7">
        <v>0</v>
      </c>
      <c r="AS7" t="s">
        <v>3</v>
      </c>
      <c r="AT7">
        <v>0.11</v>
      </c>
      <c r="AU7" t="s">
        <v>3</v>
      </c>
      <c r="AV7">
        <v>0</v>
      </c>
      <c r="AW7">
        <v>2</v>
      </c>
      <c r="AX7">
        <v>35842110</v>
      </c>
      <c r="AY7">
        <v>1</v>
      </c>
      <c r="AZ7">
        <v>0</v>
      </c>
      <c r="BA7">
        <v>7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CX7">
        <f>Y7*Source!I35</f>
        <v>5.0599999999999999E-2</v>
      </c>
      <c r="CY7">
        <f>AA7</f>
        <v>0</v>
      </c>
      <c r="CZ7">
        <f>AE7</f>
        <v>0</v>
      </c>
      <c r="DA7">
        <f>AI7</f>
        <v>1</v>
      </c>
      <c r="DB7">
        <f t="shared" si="0"/>
        <v>0</v>
      </c>
      <c r="DC7">
        <f t="shared" si="1"/>
        <v>0</v>
      </c>
    </row>
    <row r="8" spans="1:107">
      <c r="A8">
        <f>ROW(Source!A37)</f>
        <v>37</v>
      </c>
      <c r="B8">
        <v>35841400</v>
      </c>
      <c r="C8">
        <v>35842112</v>
      </c>
      <c r="D8">
        <v>18406804</v>
      </c>
      <c r="E8">
        <v>1</v>
      </c>
      <c r="F8">
        <v>1</v>
      </c>
      <c r="G8">
        <v>1</v>
      </c>
      <c r="H8">
        <v>1</v>
      </c>
      <c r="I8" t="s">
        <v>367</v>
      </c>
      <c r="J8" t="s">
        <v>3</v>
      </c>
      <c r="K8" t="s">
        <v>368</v>
      </c>
      <c r="L8">
        <v>1369</v>
      </c>
      <c r="N8">
        <v>1013</v>
      </c>
      <c r="O8" t="s">
        <v>369</v>
      </c>
      <c r="P8" t="s">
        <v>369</v>
      </c>
      <c r="Q8">
        <v>1</v>
      </c>
      <c r="W8">
        <v>0</v>
      </c>
      <c r="X8">
        <v>254330056</v>
      </c>
      <c r="Y8">
        <v>5.84</v>
      </c>
      <c r="AA8">
        <v>0</v>
      </c>
      <c r="AB8">
        <v>0</v>
      </c>
      <c r="AC8">
        <v>0</v>
      </c>
      <c r="AD8">
        <v>254.67</v>
      </c>
      <c r="AE8">
        <v>0</v>
      </c>
      <c r="AF8">
        <v>0</v>
      </c>
      <c r="AG8">
        <v>0</v>
      </c>
      <c r="AH8">
        <v>254.67</v>
      </c>
      <c r="AI8">
        <v>1</v>
      </c>
      <c r="AJ8">
        <v>1</v>
      </c>
      <c r="AK8">
        <v>1</v>
      </c>
      <c r="AL8">
        <v>1</v>
      </c>
      <c r="AN8">
        <v>0</v>
      </c>
      <c r="AO8">
        <v>1</v>
      </c>
      <c r="AP8">
        <v>0</v>
      </c>
      <c r="AQ8">
        <v>0</v>
      </c>
      <c r="AR8">
        <v>0</v>
      </c>
      <c r="AS8" t="s">
        <v>3</v>
      </c>
      <c r="AT8">
        <v>5.84</v>
      </c>
      <c r="AU8" t="s">
        <v>3</v>
      </c>
      <c r="AV8">
        <v>1</v>
      </c>
      <c r="AW8">
        <v>2</v>
      </c>
      <c r="AX8">
        <v>35842113</v>
      </c>
      <c r="AY8">
        <v>1</v>
      </c>
      <c r="AZ8">
        <v>0</v>
      </c>
      <c r="BA8">
        <v>8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CX8">
        <f>Y8*Source!I37</f>
        <v>0.2336</v>
      </c>
      <c r="CY8">
        <f>AD8</f>
        <v>254.67</v>
      </c>
      <c r="CZ8">
        <f>AH8</f>
        <v>254.67</v>
      </c>
      <c r="DA8">
        <f>AL8</f>
        <v>1</v>
      </c>
      <c r="DB8">
        <f t="shared" si="0"/>
        <v>1487.27</v>
      </c>
      <c r="DC8">
        <f t="shared" si="1"/>
        <v>0</v>
      </c>
    </row>
    <row r="9" spans="1:107">
      <c r="A9">
        <f>ROW(Source!A38)</f>
        <v>38</v>
      </c>
      <c r="B9">
        <v>35841400</v>
      </c>
      <c r="C9">
        <v>36150442</v>
      </c>
      <c r="D9">
        <v>18408291</v>
      </c>
      <c r="E9">
        <v>1</v>
      </c>
      <c r="F9">
        <v>1</v>
      </c>
      <c r="G9">
        <v>1</v>
      </c>
      <c r="H9">
        <v>1</v>
      </c>
      <c r="I9" t="s">
        <v>370</v>
      </c>
      <c r="J9" t="s">
        <v>3</v>
      </c>
      <c r="K9" t="s">
        <v>371</v>
      </c>
      <c r="L9">
        <v>1369</v>
      </c>
      <c r="N9">
        <v>1013</v>
      </c>
      <c r="O9" t="s">
        <v>369</v>
      </c>
      <c r="P9" t="s">
        <v>369</v>
      </c>
      <c r="Q9">
        <v>1</v>
      </c>
      <c r="W9">
        <v>0</v>
      </c>
      <c r="X9">
        <v>1933892413</v>
      </c>
      <c r="Y9">
        <v>3.98</v>
      </c>
      <c r="AA9">
        <v>0</v>
      </c>
      <c r="AB9">
        <v>0</v>
      </c>
      <c r="AC9">
        <v>0</v>
      </c>
      <c r="AD9">
        <v>266.75</v>
      </c>
      <c r="AE9">
        <v>0</v>
      </c>
      <c r="AF9">
        <v>0</v>
      </c>
      <c r="AG9">
        <v>0</v>
      </c>
      <c r="AH9">
        <v>266.75</v>
      </c>
      <c r="AI9">
        <v>1</v>
      </c>
      <c r="AJ9">
        <v>1</v>
      </c>
      <c r="AK9">
        <v>1</v>
      </c>
      <c r="AL9">
        <v>1</v>
      </c>
      <c r="AN9">
        <v>0</v>
      </c>
      <c r="AO9">
        <v>1</v>
      </c>
      <c r="AP9">
        <v>0</v>
      </c>
      <c r="AQ9">
        <v>0</v>
      </c>
      <c r="AR9">
        <v>0</v>
      </c>
      <c r="AS9" t="s">
        <v>3</v>
      </c>
      <c r="AT9">
        <v>3.98</v>
      </c>
      <c r="AU9" t="s">
        <v>3</v>
      </c>
      <c r="AV9">
        <v>1</v>
      </c>
      <c r="AW9">
        <v>2</v>
      </c>
      <c r="AX9">
        <v>36150443</v>
      </c>
      <c r="AY9">
        <v>1</v>
      </c>
      <c r="AZ9">
        <v>0</v>
      </c>
      <c r="BA9">
        <v>9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CX9">
        <f>Y9*Source!I38</f>
        <v>1.194</v>
      </c>
      <c r="CY9">
        <f>AD9</f>
        <v>266.75</v>
      </c>
      <c r="CZ9">
        <f>AH9</f>
        <v>266.75</v>
      </c>
      <c r="DA9">
        <f>AL9</f>
        <v>1</v>
      </c>
      <c r="DB9">
        <f t="shared" si="0"/>
        <v>1061.67</v>
      </c>
      <c r="DC9">
        <f t="shared" si="1"/>
        <v>0</v>
      </c>
    </row>
    <row r="10" spans="1:107">
      <c r="A10">
        <f>ROW(Source!A39)</f>
        <v>39</v>
      </c>
      <c r="B10">
        <v>35841400</v>
      </c>
      <c r="C10">
        <v>35842118</v>
      </c>
      <c r="D10">
        <v>18408066</v>
      </c>
      <c r="E10">
        <v>1</v>
      </c>
      <c r="F10">
        <v>1</v>
      </c>
      <c r="G10">
        <v>1</v>
      </c>
      <c r="H10">
        <v>1</v>
      </c>
      <c r="I10" t="s">
        <v>372</v>
      </c>
      <c r="J10" t="s">
        <v>3</v>
      </c>
      <c r="K10" t="s">
        <v>373</v>
      </c>
      <c r="L10">
        <v>1369</v>
      </c>
      <c r="N10">
        <v>1013</v>
      </c>
      <c r="O10" t="s">
        <v>369</v>
      </c>
      <c r="P10" t="s">
        <v>369</v>
      </c>
      <c r="Q10">
        <v>1</v>
      </c>
      <c r="W10">
        <v>0</v>
      </c>
      <c r="X10">
        <v>-886480961</v>
      </c>
      <c r="Y10">
        <v>17.89</v>
      </c>
      <c r="AA10">
        <v>0</v>
      </c>
      <c r="AB10">
        <v>0</v>
      </c>
      <c r="AC10">
        <v>0</v>
      </c>
      <c r="AD10">
        <v>261.85000000000002</v>
      </c>
      <c r="AE10">
        <v>0</v>
      </c>
      <c r="AF10">
        <v>0</v>
      </c>
      <c r="AG10">
        <v>0</v>
      </c>
      <c r="AH10">
        <v>261.85000000000002</v>
      </c>
      <c r="AI10">
        <v>1</v>
      </c>
      <c r="AJ10">
        <v>1</v>
      </c>
      <c r="AK10">
        <v>1</v>
      </c>
      <c r="AL10">
        <v>1</v>
      </c>
      <c r="AN10">
        <v>0</v>
      </c>
      <c r="AO10">
        <v>1</v>
      </c>
      <c r="AP10">
        <v>0</v>
      </c>
      <c r="AQ10">
        <v>0</v>
      </c>
      <c r="AR10">
        <v>0</v>
      </c>
      <c r="AS10" t="s">
        <v>3</v>
      </c>
      <c r="AT10">
        <v>17.89</v>
      </c>
      <c r="AU10" t="s">
        <v>3</v>
      </c>
      <c r="AV10">
        <v>1</v>
      </c>
      <c r="AW10">
        <v>2</v>
      </c>
      <c r="AX10">
        <v>35842119</v>
      </c>
      <c r="AY10">
        <v>1</v>
      </c>
      <c r="AZ10">
        <v>0</v>
      </c>
      <c r="BA10">
        <v>10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CX10">
        <f>Y10*Source!I39</f>
        <v>1.0733999999999999</v>
      </c>
      <c r="CY10">
        <f>AD10</f>
        <v>261.85000000000002</v>
      </c>
      <c r="CZ10">
        <f>AH10</f>
        <v>261.85000000000002</v>
      </c>
      <c r="DA10">
        <f>AL10</f>
        <v>1</v>
      </c>
      <c r="DB10">
        <f t="shared" si="0"/>
        <v>4684.5</v>
      </c>
      <c r="DC10">
        <f t="shared" si="1"/>
        <v>0</v>
      </c>
    </row>
    <row r="11" spans="1:107">
      <c r="A11">
        <f>ROW(Source!A39)</f>
        <v>39</v>
      </c>
      <c r="B11">
        <v>35841400</v>
      </c>
      <c r="C11">
        <v>35842118</v>
      </c>
      <c r="D11">
        <v>121548</v>
      </c>
      <c r="E11">
        <v>1</v>
      </c>
      <c r="F11">
        <v>1</v>
      </c>
      <c r="G11">
        <v>1</v>
      </c>
      <c r="H11">
        <v>1</v>
      </c>
      <c r="I11" t="s">
        <v>212</v>
      </c>
      <c r="J11" t="s">
        <v>3</v>
      </c>
      <c r="K11" t="s">
        <v>374</v>
      </c>
      <c r="L11">
        <v>608254</v>
      </c>
      <c r="N11">
        <v>1013</v>
      </c>
      <c r="O11" t="s">
        <v>375</v>
      </c>
      <c r="P11" t="s">
        <v>375</v>
      </c>
      <c r="Q11">
        <v>1</v>
      </c>
      <c r="W11">
        <v>0</v>
      </c>
      <c r="X11">
        <v>-185737400</v>
      </c>
      <c r="Y11">
        <v>0.08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1</v>
      </c>
      <c r="AJ11">
        <v>1</v>
      </c>
      <c r="AK11">
        <v>1</v>
      </c>
      <c r="AL11">
        <v>1</v>
      </c>
      <c r="AN11">
        <v>0</v>
      </c>
      <c r="AO11">
        <v>1</v>
      </c>
      <c r="AP11">
        <v>0</v>
      </c>
      <c r="AQ11">
        <v>0</v>
      </c>
      <c r="AR11">
        <v>0</v>
      </c>
      <c r="AS11" t="s">
        <v>3</v>
      </c>
      <c r="AT11">
        <v>0.08</v>
      </c>
      <c r="AU11" t="s">
        <v>3</v>
      </c>
      <c r="AV11">
        <v>2</v>
      </c>
      <c r="AW11">
        <v>2</v>
      </c>
      <c r="AX11">
        <v>35842120</v>
      </c>
      <c r="AY11">
        <v>1</v>
      </c>
      <c r="AZ11">
        <v>0</v>
      </c>
      <c r="BA11">
        <v>11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CX11">
        <f>Y11*Source!I39</f>
        <v>4.7999999999999996E-3</v>
      </c>
      <c r="CY11">
        <f>AD11</f>
        <v>0</v>
      </c>
      <c r="CZ11">
        <f>AH11</f>
        <v>0</v>
      </c>
      <c r="DA11">
        <f>AL11</f>
        <v>1</v>
      </c>
      <c r="DB11">
        <f t="shared" si="0"/>
        <v>0</v>
      </c>
      <c r="DC11">
        <f t="shared" si="1"/>
        <v>0</v>
      </c>
    </row>
    <row r="12" spans="1:107">
      <c r="A12">
        <f>ROW(Source!A39)</f>
        <v>39</v>
      </c>
      <c r="B12">
        <v>35841400</v>
      </c>
      <c r="C12">
        <v>35842118</v>
      </c>
      <c r="D12">
        <v>29172556</v>
      </c>
      <c r="E12">
        <v>1</v>
      </c>
      <c r="F12">
        <v>1</v>
      </c>
      <c r="G12">
        <v>1</v>
      </c>
      <c r="H12">
        <v>2</v>
      </c>
      <c r="I12" t="s">
        <v>376</v>
      </c>
      <c r="J12" t="s">
        <v>377</v>
      </c>
      <c r="K12" t="s">
        <v>378</v>
      </c>
      <c r="L12">
        <v>1368</v>
      </c>
      <c r="N12">
        <v>1011</v>
      </c>
      <c r="O12" t="s">
        <v>379</v>
      </c>
      <c r="P12" t="s">
        <v>379</v>
      </c>
      <c r="Q12">
        <v>1</v>
      </c>
      <c r="W12">
        <v>0</v>
      </c>
      <c r="X12">
        <v>-1302720870</v>
      </c>
      <c r="Y12">
        <v>0.08</v>
      </c>
      <c r="AA12">
        <v>0</v>
      </c>
      <c r="AB12">
        <v>466.71</v>
      </c>
      <c r="AC12">
        <v>446.18</v>
      </c>
      <c r="AD12">
        <v>0</v>
      </c>
      <c r="AE12">
        <v>0</v>
      </c>
      <c r="AF12">
        <v>31.26</v>
      </c>
      <c r="AG12">
        <v>13.5</v>
      </c>
      <c r="AH12">
        <v>0</v>
      </c>
      <c r="AI12">
        <v>1</v>
      </c>
      <c r="AJ12">
        <v>14.93</v>
      </c>
      <c r="AK12">
        <v>33.049999999999997</v>
      </c>
      <c r="AL12">
        <v>1</v>
      </c>
      <c r="AN12">
        <v>0</v>
      </c>
      <c r="AO12">
        <v>1</v>
      </c>
      <c r="AP12">
        <v>0</v>
      </c>
      <c r="AQ12">
        <v>0</v>
      </c>
      <c r="AR12">
        <v>0</v>
      </c>
      <c r="AS12" t="s">
        <v>3</v>
      </c>
      <c r="AT12">
        <v>0.08</v>
      </c>
      <c r="AU12" t="s">
        <v>3</v>
      </c>
      <c r="AV12">
        <v>0</v>
      </c>
      <c r="AW12">
        <v>2</v>
      </c>
      <c r="AX12">
        <v>35842121</v>
      </c>
      <c r="AY12">
        <v>1</v>
      </c>
      <c r="AZ12">
        <v>0</v>
      </c>
      <c r="BA12">
        <v>12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CX12">
        <f>Y12*Source!I39</f>
        <v>4.7999999999999996E-3</v>
      </c>
      <c r="CY12">
        <f>AB12</f>
        <v>466.71</v>
      </c>
      <c r="CZ12">
        <f>AF12</f>
        <v>31.26</v>
      </c>
      <c r="DA12">
        <f>AJ12</f>
        <v>14.93</v>
      </c>
      <c r="DB12">
        <f t="shared" si="0"/>
        <v>2.5</v>
      </c>
      <c r="DC12">
        <f t="shared" si="1"/>
        <v>1.08</v>
      </c>
    </row>
    <row r="13" spans="1:107">
      <c r="A13">
        <f>ROW(Source!A79)</f>
        <v>79</v>
      </c>
      <c r="B13">
        <v>35841400</v>
      </c>
      <c r="C13">
        <v>35842190</v>
      </c>
      <c r="D13">
        <v>18416200</v>
      </c>
      <c r="E13">
        <v>1</v>
      </c>
      <c r="F13">
        <v>1</v>
      </c>
      <c r="G13">
        <v>1</v>
      </c>
      <c r="H13">
        <v>1</v>
      </c>
      <c r="I13" t="s">
        <v>380</v>
      </c>
      <c r="J13" t="s">
        <v>3</v>
      </c>
      <c r="K13" t="s">
        <v>381</v>
      </c>
      <c r="L13">
        <v>1369</v>
      </c>
      <c r="N13">
        <v>1013</v>
      </c>
      <c r="O13" t="s">
        <v>369</v>
      </c>
      <c r="P13" t="s">
        <v>369</v>
      </c>
      <c r="Q13">
        <v>1</v>
      </c>
      <c r="W13">
        <v>0</v>
      </c>
      <c r="X13">
        <v>-1663475933</v>
      </c>
      <c r="Y13">
        <v>73.8</v>
      </c>
      <c r="AA13">
        <v>0</v>
      </c>
      <c r="AB13">
        <v>0</v>
      </c>
      <c r="AC13">
        <v>0</v>
      </c>
      <c r="AD13">
        <v>318.66000000000003</v>
      </c>
      <c r="AE13">
        <v>0</v>
      </c>
      <c r="AF13">
        <v>0</v>
      </c>
      <c r="AG13">
        <v>0</v>
      </c>
      <c r="AH13">
        <v>318.66000000000003</v>
      </c>
      <c r="AI13">
        <v>1</v>
      </c>
      <c r="AJ13">
        <v>1</v>
      </c>
      <c r="AK13">
        <v>1</v>
      </c>
      <c r="AL13">
        <v>1</v>
      </c>
      <c r="AN13">
        <v>0</v>
      </c>
      <c r="AO13">
        <v>1</v>
      </c>
      <c r="AP13">
        <v>0</v>
      </c>
      <c r="AQ13">
        <v>0</v>
      </c>
      <c r="AR13">
        <v>0</v>
      </c>
      <c r="AS13" t="s">
        <v>3</v>
      </c>
      <c r="AT13">
        <v>73.8</v>
      </c>
      <c r="AU13" t="s">
        <v>3</v>
      </c>
      <c r="AV13">
        <v>1</v>
      </c>
      <c r="AW13">
        <v>2</v>
      </c>
      <c r="AX13">
        <v>36150444</v>
      </c>
      <c r="AY13">
        <v>1</v>
      </c>
      <c r="AZ13">
        <v>0</v>
      </c>
      <c r="BA13">
        <v>13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CX13">
        <f>Y13*Source!I79</f>
        <v>95.128199999999993</v>
      </c>
      <c r="CY13">
        <f>AD13</f>
        <v>318.66000000000003</v>
      </c>
      <c r="CZ13">
        <f>AH13</f>
        <v>318.66000000000003</v>
      </c>
      <c r="DA13">
        <f>AL13</f>
        <v>1</v>
      </c>
      <c r="DB13">
        <f t="shared" si="0"/>
        <v>23517.11</v>
      </c>
      <c r="DC13">
        <f t="shared" si="1"/>
        <v>0</v>
      </c>
    </row>
    <row r="14" spans="1:107">
      <c r="A14">
        <f>ROW(Source!A79)</f>
        <v>79</v>
      </c>
      <c r="B14">
        <v>35841400</v>
      </c>
      <c r="C14">
        <v>35842190</v>
      </c>
      <c r="D14">
        <v>121548</v>
      </c>
      <c r="E14">
        <v>1</v>
      </c>
      <c r="F14">
        <v>1</v>
      </c>
      <c r="G14">
        <v>1</v>
      </c>
      <c r="H14">
        <v>1</v>
      </c>
      <c r="I14" t="s">
        <v>212</v>
      </c>
      <c r="J14" t="s">
        <v>3</v>
      </c>
      <c r="K14" t="s">
        <v>374</v>
      </c>
      <c r="L14">
        <v>608254</v>
      </c>
      <c r="N14">
        <v>1013</v>
      </c>
      <c r="O14" t="s">
        <v>375</v>
      </c>
      <c r="P14" t="s">
        <v>375</v>
      </c>
      <c r="Q14">
        <v>1</v>
      </c>
      <c r="W14">
        <v>0</v>
      </c>
      <c r="X14">
        <v>-185737400</v>
      </c>
      <c r="Y14">
        <v>1.9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1</v>
      </c>
      <c r="AJ14">
        <v>1</v>
      </c>
      <c r="AK14">
        <v>1</v>
      </c>
      <c r="AL14">
        <v>1</v>
      </c>
      <c r="AN14">
        <v>0</v>
      </c>
      <c r="AO14">
        <v>1</v>
      </c>
      <c r="AP14">
        <v>0</v>
      </c>
      <c r="AQ14">
        <v>0</v>
      </c>
      <c r="AR14">
        <v>0</v>
      </c>
      <c r="AS14" t="s">
        <v>3</v>
      </c>
      <c r="AT14">
        <v>1.9</v>
      </c>
      <c r="AU14" t="s">
        <v>3</v>
      </c>
      <c r="AV14">
        <v>2</v>
      </c>
      <c r="AW14">
        <v>2</v>
      </c>
      <c r="AX14">
        <v>36150445</v>
      </c>
      <c r="AY14">
        <v>1</v>
      </c>
      <c r="AZ14">
        <v>0</v>
      </c>
      <c r="BA14">
        <v>14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CX14">
        <f>Y14*Source!I79</f>
        <v>2.4490999999999996</v>
      </c>
      <c r="CY14">
        <f>AD14</f>
        <v>0</v>
      </c>
      <c r="CZ14">
        <f>AH14</f>
        <v>0</v>
      </c>
      <c r="DA14">
        <f>AL14</f>
        <v>1</v>
      </c>
      <c r="DB14">
        <f t="shared" si="0"/>
        <v>0</v>
      </c>
      <c r="DC14">
        <f t="shared" si="1"/>
        <v>0</v>
      </c>
    </row>
    <row r="15" spans="1:107">
      <c r="A15">
        <f>ROW(Source!A79)</f>
        <v>79</v>
      </c>
      <c r="B15">
        <v>35841400</v>
      </c>
      <c r="C15">
        <v>35842190</v>
      </c>
      <c r="D15">
        <v>29172556</v>
      </c>
      <c r="E15">
        <v>1</v>
      </c>
      <c r="F15">
        <v>1</v>
      </c>
      <c r="G15">
        <v>1</v>
      </c>
      <c r="H15">
        <v>2</v>
      </c>
      <c r="I15" t="s">
        <v>376</v>
      </c>
      <c r="J15" t="s">
        <v>377</v>
      </c>
      <c r="K15" t="s">
        <v>378</v>
      </c>
      <c r="L15">
        <v>1368</v>
      </c>
      <c r="N15">
        <v>1011</v>
      </c>
      <c r="O15" t="s">
        <v>379</v>
      </c>
      <c r="P15" t="s">
        <v>379</v>
      </c>
      <c r="Q15">
        <v>1</v>
      </c>
      <c r="W15">
        <v>0</v>
      </c>
      <c r="X15">
        <v>-1302720870</v>
      </c>
      <c r="Y15">
        <v>0.46</v>
      </c>
      <c r="AA15">
        <v>0</v>
      </c>
      <c r="AB15">
        <v>466.71</v>
      </c>
      <c r="AC15">
        <v>446.18</v>
      </c>
      <c r="AD15">
        <v>0</v>
      </c>
      <c r="AE15">
        <v>0</v>
      </c>
      <c r="AF15">
        <v>31.26</v>
      </c>
      <c r="AG15">
        <v>13.5</v>
      </c>
      <c r="AH15">
        <v>0</v>
      </c>
      <c r="AI15">
        <v>1</v>
      </c>
      <c r="AJ15">
        <v>14.93</v>
      </c>
      <c r="AK15">
        <v>33.049999999999997</v>
      </c>
      <c r="AL15">
        <v>1</v>
      </c>
      <c r="AN15">
        <v>0</v>
      </c>
      <c r="AO15">
        <v>1</v>
      </c>
      <c r="AP15">
        <v>0</v>
      </c>
      <c r="AQ15">
        <v>0</v>
      </c>
      <c r="AR15">
        <v>0</v>
      </c>
      <c r="AS15" t="s">
        <v>3</v>
      </c>
      <c r="AT15">
        <v>0.46</v>
      </c>
      <c r="AU15" t="s">
        <v>3</v>
      </c>
      <c r="AV15">
        <v>0</v>
      </c>
      <c r="AW15">
        <v>2</v>
      </c>
      <c r="AX15">
        <v>36150446</v>
      </c>
      <c r="AY15">
        <v>1</v>
      </c>
      <c r="AZ15">
        <v>0</v>
      </c>
      <c r="BA15">
        <v>15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CX15">
        <f>Y15*Source!I79</f>
        <v>0.59294000000000002</v>
      </c>
      <c r="CY15">
        <f>AB15</f>
        <v>466.71</v>
      </c>
      <c r="CZ15">
        <f>AF15</f>
        <v>31.26</v>
      </c>
      <c r="DA15">
        <f>AJ15</f>
        <v>14.93</v>
      </c>
      <c r="DB15">
        <f t="shared" si="0"/>
        <v>14.38</v>
      </c>
      <c r="DC15">
        <f t="shared" si="1"/>
        <v>6.21</v>
      </c>
    </row>
    <row r="16" spans="1:107">
      <c r="A16">
        <f>ROW(Source!A79)</f>
        <v>79</v>
      </c>
      <c r="B16">
        <v>35841400</v>
      </c>
      <c r="C16">
        <v>35842190</v>
      </c>
      <c r="D16">
        <v>29173141</v>
      </c>
      <c r="E16">
        <v>1</v>
      </c>
      <c r="F16">
        <v>1</v>
      </c>
      <c r="G16">
        <v>1</v>
      </c>
      <c r="H16">
        <v>2</v>
      </c>
      <c r="I16" t="s">
        <v>382</v>
      </c>
      <c r="J16" t="s">
        <v>383</v>
      </c>
      <c r="K16" t="s">
        <v>384</v>
      </c>
      <c r="L16">
        <v>1368</v>
      </c>
      <c r="N16">
        <v>1011</v>
      </c>
      <c r="O16" t="s">
        <v>379</v>
      </c>
      <c r="P16" t="s">
        <v>379</v>
      </c>
      <c r="Q16">
        <v>1</v>
      </c>
      <c r="W16">
        <v>0</v>
      </c>
      <c r="X16">
        <v>1314032473</v>
      </c>
      <c r="Y16">
        <v>1.44</v>
      </c>
      <c r="AA16">
        <v>0</v>
      </c>
      <c r="AB16">
        <v>364.68</v>
      </c>
      <c r="AC16">
        <v>332.48</v>
      </c>
      <c r="AD16">
        <v>0</v>
      </c>
      <c r="AE16">
        <v>0</v>
      </c>
      <c r="AF16">
        <v>12.4</v>
      </c>
      <c r="AG16">
        <v>10.06</v>
      </c>
      <c r="AH16">
        <v>0</v>
      </c>
      <c r="AI16">
        <v>1</v>
      </c>
      <c r="AJ16">
        <v>29.41</v>
      </c>
      <c r="AK16">
        <v>33.049999999999997</v>
      </c>
      <c r="AL16">
        <v>1</v>
      </c>
      <c r="AN16">
        <v>0</v>
      </c>
      <c r="AO16">
        <v>1</v>
      </c>
      <c r="AP16">
        <v>0</v>
      </c>
      <c r="AQ16">
        <v>0</v>
      </c>
      <c r="AR16">
        <v>0</v>
      </c>
      <c r="AS16" t="s">
        <v>3</v>
      </c>
      <c r="AT16">
        <v>1.44</v>
      </c>
      <c r="AU16" t="s">
        <v>3</v>
      </c>
      <c r="AV16">
        <v>0</v>
      </c>
      <c r="AW16">
        <v>2</v>
      </c>
      <c r="AX16">
        <v>36150447</v>
      </c>
      <c r="AY16">
        <v>1</v>
      </c>
      <c r="AZ16">
        <v>0</v>
      </c>
      <c r="BA16">
        <v>16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CX16">
        <f>Y16*Source!I79</f>
        <v>1.8561599999999998</v>
      </c>
      <c r="CY16">
        <f>AB16</f>
        <v>364.68</v>
      </c>
      <c r="CZ16">
        <f>AF16</f>
        <v>12.4</v>
      </c>
      <c r="DA16">
        <f>AJ16</f>
        <v>29.41</v>
      </c>
      <c r="DB16">
        <f t="shared" si="0"/>
        <v>17.86</v>
      </c>
      <c r="DC16">
        <f t="shared" si="1"/>
        <v>14.49</v>
      </c>
    </row>
    <row r="17" spans="1:107">
      <c r="A17">
        <f>ROW(Source!A79)</f>
        <v>79</v>
      </c>
      <c r="B17">
        <v>35841400</v>
      </c>
      <c r="C17">
        <v>35842190</v>
      </c>
      <c r="D17">
        <v>29109353</v>
      </c>
      <c r="E17">
        <v>1</v>
      </c>
      <c r="F17">
        <v>1</v>
      </c>
      <c r="G17">
        <v>1</v>
      </c>
      <c r="H17">
        <v>3</v>
      </c>
      <c r="I17" t="s">
        <v>385</v>
      </c>
      <c r="J17" t="s">
        <v>386</v>
      </c>
      <c r="K17" t="s">
        <v>387</v>
      </c>
      <c r="L17">
        <v>1348</v>
      </c>
      <c r="N17">
        <v>1009</v>
      </c>
      <c r="O17" t="s">
        <v>27</v>
      </c>
      <c r="P17" t="s">
        <v>27</v>
      </c>
      <c r="Q17">
        <v>1000</v>
      </c>
      <c r="W17">
        <v>0</v>
      </c>
      <c r="X17">
        <v>-357757360</v>
      </c>
      <c r="Y17">
        <v>0.01</v>
      </c>
      <c r="AA17">
        <v>85654.080000000002</v>
      </c>
      <c r="AB17">
        <v>0</v>
      </c>
      <c r="AC17">
        <v>0</v>
      </c>
      <c r="AD17">
        <v>0</v>
      </c>
      <c r="AE17">
        <v>11300.01</v>
      </c>
      <c r="AF17">
        <v>0</v>
      </c>
      <c r="AG17">
        <v>0</v>
      </c>
      <c r="AH17">
        <v>0</v>
      </c>
      <c r="AI17">
        <v>7.58</v>
      </c>
      <c r="AJ17">
        <v>1</v>
      </c>
      <c r="AK17">
        <v>1</v>
      </c>
      <c r="AL17">
        <v>1</v>
      </c>
      <c r="AN17">
        <v>0</v>
      </c>
      <c r="AO17">
        <v>1</v>
      </c>
      <c r="AP17">
        <v>0</v>
      </c>
      <c r="AQ17">
        <v>0</v>
      </c>
      <c r="AR17">
        <v>0</v>
      </c>
      <c r="AS17" t="s">
        <v>3</v>
      </c>
      <c r="AT17">
        <v>0.01</v>
      </c>
      <c r="AU17" t="s">
        <v>3</v>
      </c>
      <c r="AV17">
        <v>0</v>
      </c>
      <c r="AW17">
        <v>2</v>
      </c>
      <c r="AX17">
        <v>36150448</v>
      </c>
      <c r="AY17">
        <v>1</v>
      </c>
      <c r="AZ17">
        <v>0</v>
      </c>
      <c r="BA17">
        <v>17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CX17">
        <f>Y17*Source!I79</f>
        <v>1.2889999999999999E-2</v>
      </c>
      <c r="CY17">
        <f>AA17</f>
        <v>85654.080000000002</v>
      </c>
      <c r="CZ17">
        <f>AE17</f>
        <v>11300.01</v>
      </c>
      <c r="DA17">
        <f>AI17</f>
        <v>7.58</v>
      </c>
      <c r="DB17">
        <f t="shared" si="0"/>
        <v>113</v>
      </c>
      <c r="DC17">
        <f t="shared" si="1"/>
        <v>0</v>
      </c>
    </row>
    <row r="18" spans="1:107">
      <c r="A18">
        <f>ROW(Source!A79)</f>
        <v>79</v>
      </c>
      <c r="B18">
        <v>35841400</v>
      </c>
      <c r="C18">
        <v>35842190</v>
      </c>
      <c r="D18">
        <v>29145516</v>
      </c>
      <c r="E18">
        <v>1</v>
      </c>
      <c r="F18">
        <v>1</v>
      </c>
      <c r="G18">
        <v>1</v>
      </c>
      <c r="H18">
        <v>3</v>
      </c>
      <c r="I18" t="s">
        <v>133</v>
      </c>
      <c r="J18" t="s">
        <v>135</v>
      </c>
      <c r="K18" t="s">
        <v>134</v>
      </c>
      <c r="L18">
        <v>1348</v>
      </c>
      <c r="N18">
        <v>1009</v>
      </c>
      <c r="O18" t="s">
        <v>27</v>
      </c>
      <c r="P18" t="s">
        <v>27</v>
      </c>
      <c r="Q18">
        <v>1000</v>
      </c>
      <c r="W18">
        <v>0</v>
      </c>
      <c r="X18">
        <v>-735651783</v>
      </c>
      <c r="Y18">
        <v>0.96</v>
      </c>
      <c r="AA18">
        <v>5052.99</v>
      </c>
      <c r="AB18">
        <v>0</v>
      </c>
      <c r="AC18">
        <v>0</v>
      </c>
      <c r="AD18">
        <v>0</v>
      </c>
      <c r="AE18">
        <v>1057.1099999999999</v>
      </c>
      <c r="AF18">
        <v>0</v>
      </c>
      <c r="AG18">
        <v>0</v>
      </c>
      <c r="AH18">
        <v>0</v>
      </c>
      <c r="AI18">
        <v>4.78</v>
      </c>
      <c r="AJ18">
        <v>1</v>
      </c>
      <c r="AK18">
        <v>1</v>
      </c>
      <c r="AL18">
        <v>1</v>
      </c>
      <c r="AN18">
        <v>0</v>
      </c>
      <c r="AO18">
        <v>0</v>
      </c>
      <c r="AP18">
        <v>0</v>
      </c>
      <c r="AQ18">
        <v>0</v>
      </c>
      <c r="AR18">
        <v>0</v>
      </c>
      <c r="AS18" t="s">
        <v>3</v>
      </c>
      <c r="AT18">
        <v>0.96</v>
      </c>
      <c r="AU18" t="s">
        <v>3</v>
      </c>
      <c r="AV18">
        <v>0</v>
      </c>
      <c r="AW18">
        <v>1</v>
      </c>
      <c r="AX18">
        <v>-1</v>
      </c>
      <c r="AY18">
        <v>0</v>
      </c>
      <c r="AZ18">
        <v>0</v>
      </c>
      <c r="BA18" t="s">
        <v>3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CX18">
        <f>Y18*Source!I79</f>
        <v>1.2374399999999999</v>
      </c>
      <c r="CY18">
        <f>AA18</f>
        <v>5052.99</v>
      </c>
      <c r="CZ18">
        <f>AE18</f>
        <v>1057.1099999999999</v>
      </c>
      <c r="DA18">
        <f>AI18</f>
        <v>4.78</v>
      </c>
      <c r="DB18">
        <f t="shared" si="0"/>
        <v>1014.83</v>
      </c>
      <c r="DC18">
        <f t="shared" si="1"/>
        <v>0</v>
      </c>
    </row>
    <row r="19" spans="1:107">
      <c r="A19">
        <f>ROW(Source!A79)</f>
        <v>79</v>
      </c>
      <c r="B19">
        <v>35841400</v>
      </c>
      <c r="C19">
        <v>35842190</v>
      </c>
      <c r="D19">
        <v>29145311</v>
      </c>
      <c r="E19">
        <v>1</v>
      </c>
      <c r="F19">
        <v>1</v>
      </c>
      <c r="G19">
        <v>1</v>
      </c>
      <c r="H19">
        <v>3</v>
      </c>
      <c r="I19" t="s">
        <v>129</v>
      </c>
      <c r="J19" t="s">
        <v>131</v>
      </c>
      <c r="K19" t="s">
        <v>130</v>
      </c>
      <c r="L19">
        <v>1348</v>
      </c>
      <c r="N19">
        <v>1009</v>
      </c>
      <c r="O19" t="s">
        <v>27</v>
      </c>
      <c r="P19" t="s">
        <v>27</v>
      </c>
      <c r="Q19">
        <v>1000</v>
      </c>
      <c r="W19">
        <v>1</v>
      </c>
      <c r="X19">
        <v>-393552753</v>
      </c>
      <c r="Y19">
        <v>0.96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1</v>
      </c>
      <c r="AJ19">
        <v>1</v>
      </c>
      <c r="AK19">
        <v>1</v>
      </c>
      <c r="AL19">
        <v>1</v>
      </c>
      <c r="AN19">
        <v>0</v>
      </c>
      <c r="AO19">
        <v>0</v>
      </c>
      <c r="AP19">
        <v>0</v>
      </c>
      <c r="AQ19">
        <v>0</v>
      </c>
      <c r="AR19">
        <v>0</v>
      </c>
      <c r="AS19" t="s">
        <v>3</v>
      </c>
      <c r="AT19">
        <v>0.96</v>
      </c>
      <c r="AU19" t="s">
        <v>3</v>
      </c>
      <c r="AV19">
        <v>0</v>
      </c>
      <c r="AW19">
        <v>2</v>
      </c>
      <c r="AX19">
        <v>36150449</v>
      </c>
      <c r="AY19">
        <v>1</v>
      </c>
      <c r="AZ19">
        <v>0</v>
      </c>
      <c r="BA19">
        <v>18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CX19">
        <f>Y19*Source!I79</f>
        <v>1.2374399999999999</v>
      </c>
      <c r="CY19">
        <f>AA19</f>
        <v>0</v>
      </c>
      <c r="CZ19">
        <f>AE19</f>
        <v>0</v>
      </c>
      <c r="DA19">
        <f>AI19</f>
        <v>1</v>
      </c>
      <c r="DB19">
        <f t="shared" si="0"/>
        <v>0</v>
      </c>
      <c r="DC19">
        <f t="shared" si="1"/>
        <v>0</v>
      </c>
    </row>
    <row r="20" spans="1:107">
      <c r="A20">
        <f>ROW(Source!A79)</f>
        <v>79</v>
      </c>
      <c r="B20">
        <v>35841400</v>
      </c>
      <c r="C20">
        <v>35842190</v>
      </c>
      <c r="D20">
        <v>29150040</v>
      </c>
      <c r="E20">
        <v>1</v>
      </c>
      <c r="F20">
        <v>1</v>
      </c>
      <c r="G20">
        <v>1</v>
      </c>
      <c r="H20">
        <v>3</v>
      </c>
      <c r="I20" t="s">
        <v>388</v>
      </c>
      <c r="J20" t="s">
        <v>389</v>
      </c>
      <c r="K20" t="s">
        <v>390</v>
      </c>
      <c r="L20">
        <v>1339</v>
      </c>
      <c r="N20">
        <v>1007</v>
      </c>
      <c r="O20" t="s">
        <v>391</v>
      </c>
      <c r="P20" t="s">
        <v>391</v>
      </c>
      <c r="Q20">
        <v>1</v>
      </c>
      <c r="W20">
        <v>0</v>
      </c>
      <c r="X20">
        <v>693153122</v>
      </c>
      <c r="Y20">
        <v>0.63</v>
      </c>
      <c r="AA20">
        <v>22.2</v>
      </c>
      <c r="AB20">
        <v>0</v>
      </c>
      <c r="AC20">
        <v>0</v>
      </c>
      <c r="AD20">
        <v>0</v>
      </c>
      <c r="AE20">
        <v>2.44</v>
      </c>
      <c r="AF20">
        <v>0</v>
      </c>
      <c r="AG20">
        <v>0</v>
      </c>
      <c r="AH20">
        <v>0</v>
      </c>
      <c r="AI20">
        <v>9.1</v>
      </c>
      <c r="AJ20">
        <v>1</v>
      </c>
      <c r="AK20">
        <v>1</v>
      </c>
      <c r="AL20">
        <v>1</v>
      </c>
      <c r="AN20">
        <v>0</v>
      </c>
      <c r="AO20">
        <v>1</v>
      </c>
      <c r="AP20">
        <v>0</v>
      </c>
      <c r="AQ20">
        <v>0</v>
      </c>
      <c r="AR20">
        <v>0</v>
      </c>
      <c r="AS20" t="s">
        <v>3</v>
      </c>
      <c r="AT20">
        <v>0.63</v>
      </c>
      <c r="AU20" t="s">
        <v>3</v>
      </c>
      <c r="AV20">
        <v>0</v>
      </c>
      <c r="AW20">
        <v>2</v>
      </c>
      <c r="AX20">
        <v>36150450</v>
      </c>
      <c r="AY20">
        <v>1</v>
      </c>
      <c r="AZ20">
        <v>0</v>
      </c>
      <c r="BA20">
        <v>19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CX20">
        <f>Y20*Source!I79</f>
        <v>0.81206999999999996</v>
      </c>
      <c r="CY20">
        <f>AA20</f>
        <v>22.2</v>
      </c>
      <c r="CZ20">
        <f>AE20</f>
        <v>2.44</v>
      </c>
      <c r="DA20">
        <f>AI20</f>
        <v>9.1</v>
      </c>
      <c r="DB20">
        <f t="shared" si="0"/>
        <v>1.54</v>
      </c>
      <c r="DC20">
        <f t="shared" si="1"/>
        <v>0</v>
      </c>
    </row>
    <row r="21" spans="1:107">
      <c r="A21">
        <f>ROW(Source!A83)</f>
        <v>83</v>
      </c>
      <c r="B21">
        <v>35841400</v>
      </c>
      <c r="C21">
        <v>35843995</v>
      </c>
      <c r="D21">
        <v>18409850</v>
      </c>
      <c r="E21">
        <v>1</v>
      </c>
      <c r="F21">
        <v>1</v>
      </c>
      <c r="G21">
        <v>1</v>
      </c>
      <c r="H21">
        <v>1</v>
      </c>
      <c r="I21" t="s">
        <v>392</v>
      </c>
      <c r="J21" t="s">
        <v>3</v>
      </c>
      <c r="K21" t="s">
        <v>393</v>
      </c>
      <c r="L21">
        <v>1369</v>
      </c>
      <c r="N21">
        <v>1013</v>
      </c>
      <c r="O21" t="s">
        <v>369</v>
      </c>
      <c r="P21" t="s">
        <v>369</v>
      </c>
      <c r="Q21">
        <v>1</v>
      </c>
      <c r="W21">
        <v>0</v>
      </c>
      <c r="X21">
        <v>855544366</v>
      </c>
      <c r="Y21">
        <v>58.661499999999997</v>
      </c>
      <c r="AA21">
        <v>0</v>
      </c>
      <c r="AB21">
        <v>0</v>
      </c>
      <c r="AC21">
        <v>0</v>
      </c>
      <c r="AD21">
        <v>296.13</v>
      </c>
      <c r="AE21">
        <v>0</v>
      </c>
      <c r="AF21">
        <v>0</v>
      </c>
      <c r="AG21">
        <v>0</v>
      </c>
      <c r="AH21">
        <v>296.13</v>
      </c>
      <c r="AI21">
        <v>1</v>
      </c>
      <c r="AJ21">
        <v>1</v>
      </c>
      <c r="AK21">
        <v>1</v>
      </c>
      <c r="AL21">
        <v>1</v>
      </c>
      <c r="AN21">
        <v>0</v>
      </c>
      <c r="AO21">
        <v>1</v>
      </c>
      <c r="AP21">
        <v>1</v>
      </c>
      <c r="AQ21">
        <v>0</v>
      </c>
      <c r="AR21">
        <v>0</v>
      </c>
      <c r="AS21" t="s">
        <v>3</v>
      </c>
      <c r="AT21">
        <v>51.01</v>
      </c>
      <c r="AU21" t="s">
        <v>147</v>
      </c>
      <c r="AV21">
        <v>1</v>
      </c>
      <c r="AW21">
        <v>2</v>
      </c>
      <c r="AX21">
        <v>35844007</v>
      </c>
      <c r="AY21">
        <v>1</v>
      </c>
      <c r="AZ21">
        <v>0</v>
      </c>
      <c r="BA21">
        <v>20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CX21">
        <f>Y21*Source!I83</f>
        <v>76.142627000000005</v>
      </c>
      <c r="CY21">
        <f>AD21</f>
        <v>296.13</v>
      </c>
      <c r="CZ21">
        <f>AH21</f>
        <v>296.13</v>
      </c>
      <c r="DA21">
        <f>AL21</f>
        <v>1</v>
      </c>
      <c r="DB21">
        <f>ROUND((ROUND(AT21*CZ21,2)*1.15),6)</f>
        <v>17371.428500000002</v>
      </c>
      <c r="DC21">
        <f>ROUND((ROUND(AT21*AG21,2)*1.15),6)</f>
        <v>0</v>
      </c>
    </row>
    <row r="22" spans="1:107">
      <c r="A22">
        <f>ROW(Source!A83)</f>
        <v>83</v>
      </c>
      <c r="B22">
        <v>35841400</v>
      </c>
      <c r="C22">
        <v>35843995</v>
      </c>
      <c r="D22">
        <v>121548</v>
      </c>
      <c r="E22">
        <v>1</v>
      </c>
      <c r="F22">
        <v>1</v>
      </c>
      <c r="G22">
        <v>1</v>
      </c>
      <c r="H22">
        <v>1</v>
      </c>
      <c r="I22" t="s">
        <v>212</v>
      </c>
      <c r="J22" t="s">
        <v>3</v>
      </c>
      <c r="K22" t="s">
        <v>374</v>
      </c>
      <c r="L22">
        <v>608254</v>
      </c>
      <c r="N22">
        <v>1013</v>
      </c>
      <c r="O22" t="s">
        <v>375</v>
      </c>
      <c r="P22" t="s">
        <v>375</v>
      </c>
      <c r="Q22">
        <v>1</v>
      </c>
      <c r="W22">
        <v>0</v>
      </c>
      <c r="X22">
        <v>-185737400</v>
      </c>
      <c r="Y22">
        <v>1.2500000000000001E-2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1</v>
      </c>
      <c r="AJ22">
        <v>1</v>
      </c>
      <c r="AK22">
        <v>1</v>
      </c>
      <c r="AL22">
        <v>1</v>
      </c>
      <c r="AN22">
        <v>0</v>
      </c>
      <c r="AO22">
        <v>1</v>
      </c>
      <c r="AP22">
        <v>1</v>
      </c>
      <c r="AQ22">
        <v>0</v>
      </c>
      <c r="AR22">
        <v>0</v>
      </c>
      <c r="AS22" t="s">
        <v>3</v>
      </c>
      <c r="AT22">
        <v>0.01</v>
      </c>
      <c r="AU22" t="s">
        <v>146</v>
      </c>
      <c r="AV22">
        <v>2</v>
      </c>
      <c r="AW22">
        <v>2</v>
      </c>
      <c r="AX22">
        <v>35844008</v>
      </c>
      <c r="AY22">
        <v>1</v>
      </c>
      <c r="AZ22">
        <v>0</v>
      </c>
      <c r="BA22">
        <v>21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CX22">
        <f>Y22*Source!I83</f>
        <v>1.6225E-2</v>
      </c>
      <c r="CY22">
        <f>AD22</f>
        <v>0</v>
      </c>
      <c r="CZ22">
        <f>AH22</f>
        <v>0</v>
      </c>
      <c r="DA22">
        <f>AL22</f>
        <v>1</v>
      </c>
      <c r="DB22">
        <f>ROUND((ROUND(AT22*CZ22,2)*1.25),6)</f>
        <v>0</v>
      </c>
      <c r="DC22">
        <f>ROUND((ROUND(AT22*AG22,2)*1.25),6)</f>
        <v>0</v>
      </c>
    </row>
    <row r="23" spans="1:107">
      <c r="A23">
        <f>ROW(Source!A83)</f>
        <v>83</v>
      </c>
      <c r="B23">
        <v>35841400</v>
      </c>
      <c r="C23">
        <v>35843995</v>
      </c>
      <c r="D23">
        <v>29172556</v>
      </c>
      <c r="E23">
        <v>1</v>
      </c>
      <c r="F23">
        <v>1</v>
      </c>
      <c r="G23">
        <v>1</v>
      </c>
      <c r="H23">
        <v>2</v>
      </c>
      <c r="I23" t="s">
        <v>376</v>
      </c>
      <c r="J23" t="s">
        <v>377</v>
      </c>
      <c r="K23" t="s">
        <v>378</v>
      </c>
      <c r="L23">
        <v>1368</v>
      </c>
      <c r="N23">
        <v>1011</v>
      </c>
      <c r="O23" t="s">
        <v>379</v>
      </c>
      <c r="P23" t="s">
        <v>379</v>
      </c>
      <c r="Q23">
        <v>1</v>
      </c>
      <c r="W23">
        <v>0</v>
      </c>
      <c r="X23">
        <v>-1302720870</v>
      </c>
      <c r="Y23">
        <v>1.2500000000000001E-2</v>
      </c>
      <c r="AA23">
        <v>0</v>
      </c>
      <c r="AB23">
        <v>466.71</v>
      </c>
      <c r="AC23">
        <v>446.18</v>
      </c>
      <c r="AD23">
        <v>0</v>
      </c>
      <c r="AE23">
        <v>0</v>
      </c>
      <c r="AF23">
        <v>31.26</v>
      </c>
      <c r="AG23">
        <v>13.5</v>
      </c>
      <c r="AH23">
        <v>0</v>
      </c>
      <c r="AI23">
        <v>1</v>
      </c>
      <c r="AJ23">
        <v>14.93</v>
      </c>
      <c r="AK23">
        <v>33.049999999999997</v>
      </c>
      <c r="AL23">
        <v>1</v>
      </c>
      <c r="AN23">
        <v>0</v>
      </c>
      <c r="AO23">
        <v>1</v>
      </c>
      <c r="AP23">
        <v>1</v>
      </c>
      <c r="AQ23">
        <v>0</v>
      </c>
      <c r="AR23">
        <v>0</v>
      </c>
      <c r="AS23" t="s">
        <v>3</v>
      </c>
      <c r="AT23">
        <v>0.01</v>
      </c>
      <c r="AU23" t="s">
        <v>146</v>
      </c>
      <c r="AV23">
        <v>0</v>
      </c>
      <c r="AW23">
        <v>2</v>
      </c>
      <c r="AX23">
        <v>35844009</v>
      </c>
      <c r="AY23">
        <v>1</v>
      </c>
      <c r="AZ23">
        <v>0</v>
      </c>
      <c r="BA23">
        <v>22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CX23">
        <f>Y23*Source!I83</f>
        <v>1.6225E-2</v>
      </c>
      <c r="CY23">
        <f>AB23</f>
        <v>466.71</v>
      </c>
      <c r="CZ23">
        <f>AF23</f>
        <v>31.26</v>
      </c>
      <c r="DA23">
        <f>AJ23</f>
        <v>14.93</v>
      </c>
      <c r="DB23">
        <f>ROUND((ROUND(AT23*CZ23,2)*1.25),6)</f>
        <v>0.38750000000000001</v>
      </c>
      <c r="DC23">
        <f>ROUND((ROUND(AT23*AG23,2)*1.25),6)</f>
        <v>0.17499999999999999</v>
      </c>
    </row>
    <row r="24" spans="1:107">
      <c r="A24">
        <f>ROW(Source!A83)</f>
        <v>83</v>
      </c>
      <c r="B24">
        <v>35841400</v>
      </c>
      <c r="C24">
        <v>35843995</v>
      </c>
      <c r="D24">
        <v>29174913</v>
      </c>
      <c r="E24">
        <v>1</v>
      </c>
      <c r="F24">
        <v>1</v>
      </c>
      <c r="G24">
        <v>1</v>
      </c>
      <c r="H24">
        <v>2</v>
      </c>
      <c r="I24" t="s">
        <v>394</v>
      </c>
      <c r="J24" t="s">
        <v>395</v>
      </c>
      <c r="K24" t="s">
        <v>396</v>
      </c>
      <c r="L24">
        <v>1368</v>
      </c>
      <c r="N24">
        <v>1011</v>
      </c>
      <c r="O24" t="s">
        <v>379</v>
      </c>
      <c r="P24" t="s">
        <v>379</v>
      </c>
      <c r="Q24">
        <v>1</v>
      </c>
      <c r="W24">
        <v>0</v>
      </c>
      <c r="X24">
        <v>458544584</v>
      </c>
      <c r="Y24">
        <v>0.13750000000000001</v>
      </c>
      <c r="AA24">
        <v>0</v>
      </c>
      <c r="AB24">
        <v>932.72</v>
      </c>
      <c r="AC24">
        <v>383.38</v>
      </c>
      <c r="AD24">
        <v>0</v>
      </c>
      <c r="AE24">
        <v>0</v>
      </c>
      <c r="AF24">
        <v>87.17</v>
      </c>
      <c r="AG24">
        <v>11.6</v>
      </c>
      <c r="AH24">
        <v>0</v>
      </c>
      <c r="AI24">
        <v>1</v>
      </c>
      <c r="AJ24">
        <v>10.7</v>
      </c>
      <c r="AK24">
        <v>33.049999999999997</v>
      </c>
      <c r="AL24">
        <v>1</v>
      </c>
      <c r="AN24">
        <v>0</v>
      </c>
      <c r="AO24">
        <v>1</v>
      </c>
      <c r="AP24">
        <v>1</v>
      </c>
      <c r="AQ24">
        <v>0</v>
      </c>
      <c r="AR24">
        <v>0</v>
      </c>
      <c r="AS24" t="s">
        <v>3</v>
      </c>
      <c r="AT24">
        <v>0.11</v>
      </c>
      <c r="AU24" t="s">
        <v>146</v>
      </c>
      <c r="AV24">
        <v>0</v>
      </c>
      <c r="AW24">
        <v>2</v>
      </c>
      <c r="AX24">
        <v>35844010</v>
      </c>
      <c r="AY24">
        <v>1</v>
      </c>
      <c r="AZ24">
        <v>0</v>
      </c>
      <c r="BA24">
        <v>23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CX24">
        <f>Y24*Source!I83</f>
        <v>0.17847500000000002</v>
      </c>
      <c r="CY24">
        <f>AB24</f>
        <v>932.72</v>
      </c>
      <c r="CZ24">
        <f>AF24</f>
        <v>87.17</v>
      </c>
      <c r="DA24">
        <f>AJ24</f>
        <v>10.7</v>
      </c>
      <c r="DB24">
        <f>ROUND((ROUND(AT24*CZ24,2)*1.25),6)</f>
        <v>11.987500000000001</v>
      </c>
      <c r="DC24">
        <f>ROUND((ROUND(AT24*AG24,2)*1.25),6)</f>
        <v>1.6</v>
      </c>
    </row>
    <row r="25" spans="1:107">
      <c r="A25">
        <f>ROW(Source!A83)</f>
        <v>83</v>
      </c>
      <c r="B25">
        <v>35841400</v>
      </c>
      <c r="C25">
        <v>35843995</v>
      </c>
      <c r="D25">
        <v>29110344</v>
      </c>
      <c r="E25">
        <v>1</v>
      </c>
      <c r="F25">
        <v>1</v>
      </c>
      <c r="G25">
        <v>1</v>
      </c>
      <c r="H25">
        <v>3</v>
      </c>
      <c r="I25" t="s">
        <v>397</v>
      </c>
      <c r="J25" t="s">
        <v>398</v>
      </c>
      <c r="K25" t="s">
        <v>399</v>
      </c>
      <c r="L25">
        <v>1348</v>
      </c>
      <c r="N25">
        <v>1009</v>
      </c>
      <c r="O25" t="s">
        <v>27</v>
      </c>
      <c r="P25" t="s">
        <v>27</v>
      </c>
      <c r="Q25">
        <v>1000</v>
      </c>
      <c r="W25">
        <v>0</v>
      </c>
      <c r="X25">
        <v>630273315</v>
      </c>
      <c r="Y25">
        <v>1.8370000000000001E-2</v>
      </c>
      <c r="AA25">
        <v>64398.7</v>
      </c>
      <c r="AB25">
        <v>0</v>
      </c>
      <c r="AC25">
        <v>0</v>
      </c>
      <c r="AD25">
        <v>0</v>
      </c>
      <c r="AE25">
        <v>15707</v>
      </c>
      <c r="AF25">
        <v>0</v>
      </c>
      <c r="AG25">
        <v>0</v>
      </c>
      <c r="AH25">
        <v>0</v>
      </c>
      <c r="AI25">
        <v>4.0999999999999996</v>
      </c>
      <c r="AJ25">
        <v>1</v>
      </c>
      <c r="AK25">
        <v>1</v>
      </c>
      <c r="AL25">
        <v>1</v>
      </c>
      <c r="AN25">
        <v>0</v>
      </c>
      <c r="AO25">
        <v>1</v>
      </c>
      <c r="AP25">
        <v>0</v>
      </c>
      <c r="AQ25">
        <v>0</v>
      </c>
      <c r="AR25">
        <v>0</v>
      </c>
      <c r="AS25" t="s">
        <v>3</v>
      </c>
      <c r="AT25">
        <v>1.8370000000000001E-2</v>
      </c>
      <c r="AU25" t="s">
        <v>3</v>
      </c>
      <c r="AV25">
        <v>0</v>
      </c>
      <c r="AW25">
        <v>2</v>
      </c>
      <c r="AX25">
        <v>35844011</v>
      </c>
      <c r="AY25">
        <v>1</v>
      </c>
      <c r="AZ25">
        <v>0</v>
      </c>
      <c r="BA25">
        <v>24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CX25">
        <f>Y25*Source!I83</f>
        <v>2.3844260000000003E-2</v>
      </c>
      <c r="CY25">
        <f t="shared" ref="CY25:CY32" si="2">AA25</f>
        <v>64398.7</v>
      </c>
      <c r="CZ25">
        <f t="shared" ref="CZ25:CZ32" si="3">AE25</f>
        <v>15707</v>
      </c>
      <c r="DA25">
        <f t="shared" ref="DA25:DA32" si="4">AI25</f>
        <v>4.0999999999999996</v>
      </c>
      <c r="DB25">
        <f t="shared" ref="DB25:DB47" si="5">ROUND(ROUND(AT25*CZ25,2),6)</f>
        <v>288.54000000000002</v>
      </c>
      <c r="DC25">
        <f t="shared" ref="DC25:DC47" si="6">ROUND(ROUND(AT25*AG25,2),6)</f>
        <v>0</v>
      </c>
    </row>
    <row r="26" spans="1:107">
      <c r="A26">
        <f>ROW(Source!A83)</f>
        <v>83</v>
      </c>
      <c r="B26">
        <v>35841400</v>
      </c>
      <c r="C26">
        <v>35843995</v>
      </c>
      <c r="D26">
        <v>29107779</v>
      </c>
      <c r="E26">
        <v>1</v>
      </c>
      <c r="F26">
        <v>1</v>
      </c>
      <c r="G26">
        <v>1</v>
      </c>
      <c r="H26">
        <v>3</v>
      </c>
      <c r="I26" t="s">
        <v>400</v>
      </c>
      <c r="J26" t="s">
        <v>401</v>
      </c>
      <c r="K26" t="s">
        <v>402</v>
      </c>
      <c r="L26">
        <v>1327</v>
      </c>
      <c r="N26">
        <v>1005</v>
      </c>
      <c r="O26" t="s">
        <v>183</v>
      </c>
      <c r="P26" t="s">
        <v>183</v>
      </c>
      <c r="Q26">
        <v>1</v>
      </c>
      <c r="W26">
        <v>0</v>
      </c>
      <c r="X26">
        <v>2125256490</v>
      </c>
      <c r="Y26">
        <v>0.84</v>
      </c>
      <c r="AA26">
        <v>203.19</v>
      </c>
      <c r="AB26">
        <v>0</v>
      </c>
      <c r="AC26">
        <v>0</v>
      </c>
      <c r="AD26">
        <v>0</v>
      </c>
      <c r="AE26">
        <v>72.31</v>
      </c>
      <c r="AF26">
        <v>0</v>
      </c>
      <c r="AG26">
        <v>0</v>
      </c>
      <c r="AH26">
        <v>0</v>
      </c>
      <c r="AI26">
        <v>2.81</v>
      </c>
      <c r="AJ26">
        <v>1</v>
      </c>
      <c r="AK26">
        <v>1</v>
      </c>
      <c r="AL26">
        <v>1</v>
      </c>
      <c r="AN26">
        <v>0</v>
      </c>
      <c r="AO26">
        <v>1</v>
      </c>
      <c r="AP26">
        <v>0</v>
      </c>
      <c r="AQ26">
        <v>0</v>
      </c>
      <c r="AR26">
        <v>0</v>
      </c>
      <c r="AS26" t="s">
        <v>3</v>
      </c>
      <c r="AT26">
        <v>0.84</v>
      </c>
      <c r="AU26" t="s">
        <v>3</v>
      </c>
      <c r="AV26">
        <v>0</v>
      </c>
      <c r="AW26">
        <v>2</v>
      </c>
      <c r="AX26">
        <v>35844012</v>
      </c>
      <c r="AY26">
        <v>1</v>
      </c>
      <c r="AZ26">
        <v>0</v>
      </c>
      <c r="BA26">
        <v>25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CX26">
        <f>Y26*Source!I83</f>
        <v>1.09032</v>
      </c>
      <c r="CY26">
        <f t="shared" si="2"/>
        <v>203.19</v>
      </c>
      <c r="CZ26">
        <f t="shared" si="3"/>
        <v>72.31</v>
      </c>
      <c r="DA26">
        <f t="shared" si="4"/>
        <v>2.81</v>
      </c>
      <c r="DB26">
        <f t="shared" si="5"/>
        <v>60.74</v>
      </c>
      <c r="DC26">
        <f t="shared" si="6"/>
        <v>0</v>
      </c>
    </row>
    <row r="27" spans="1:107">
      <c r="A27">
        <f>ROW(Source!A83)</f>
        <v>83</v>
      </c>
      <c r="B27">
        <v>35841400</v>
      </c>
      <c r="C27">
        <v>35843995</v>
      </c>
      <c r="D27">
        <v>29109795</v>
      </c>
      <c r="E27">
        <v>1</v>
      </c>
      <c r="F27">
        <v>1</v>
      </c>
      <c r="G27">
        <v>1</v>
      </c>
      <c r="H27">
        <v>3</v>
      </c>
      <c r="I27" t="s">
        <v>403</v>
      </c>
      <c r="J27" t="s">
        <v>404</v>
      </c>
      <c r="K27" t="s">
        <v>405</v>
      </c>
      <c r="L27">
        <v>1348</v>
      </c>
      <c r="N27">
        <v>1009</v>
      </c>
      <c r="O27" t="s">
        <v>27</v>
      </c>
      <c r="P27" t="s">
        <v>27</v>
      </c>
      <c r="Q27">
        <v>1000</v>
      </c>
      <c r="W27">
        <v>0</v>
      </c>
      <c r="X27">
        <v>-1050889491</v>
      </c>
      <c r="Y27">
        <v>5.0999999999999997E-2</v>
      </c>
      <c r="AA27">
        <v>22753.23</v>
      </c>
      <c r="AB27">
        <v>0</v>
      </c>
      <c r="AC27">
        <v>0</v>
      </c>
      <c r="AD27">
        <v>0</v>
      </c>
      <c r="AE27">
        <v>2898.5</v>
      </c>
      <c r="AF27">
        <v>0</v>
      </c>
      <c r="AG27">
        <v>0</v>
      </c>
      <c r="AH27">
        <v>0</v>
      </c>
      <c r="AI27">
        <v>7.85</v>
      </c>
      <c r="AJ27">
        <v>1</v>
      </c>
      <c r="AK27">
        <v>1</v>
      </c>
      <c r="AL27">
        <v>1</v>
      </c>
      <c r="AN27">
        <v>0</v>
      </c>
      <c r="AO27">
        <v>1</v>
      </c>
      <c r="AP27">
        <v>0</v>
      </c>
      <c r="AQ27">
        <v>0</v>
      </c>
      <c r="AR27">
        <v>0</v>
      </c>
      <c r="AS27" t="s">
        <v>3</v>
      </c>
      <c r="AT27">
        <v>5.0999999999999997E-2</v>
      </c>
      <c r="AU27" t="s">
        <v>3</v>
      </c>
      <c r="AV27">
        <v>0</v>
      </c>
      <c r="AW27">
        <v>2</v>
      </c>
      <c r="AX27">
        <v>35844013</v>
      </c>
      <c r="AY27">
        <v>1</v>
      </c>
      <c r="AZ27">
        <v>0</v>
      </c>
      <c r="BA27">
        <v>26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CX27">
        <f>Y27*Source!I83</f>
        <v>6.6197999999999993E-2</v>
      </c>
      <c r="CY27">
        <f t="shared" si="2"/>
        <v>22753.23</v>
      </c>
      <c r="CZ27">
        <f t="shared" si="3"/>
        <v>2898.5</v>
      </c>
      <c r="DA27">
        <f t="shared" si="4"/>
        <v>7.85</v>
      </c>
      <c r="DB27">
        <f t="shared" si="5"/>
        <v>147.82</v>
      </c>
      <c r="DC27">
        <f t="shared" si="6"/>
        <v>0</v>
      </c>
    </row>
    <row r="28" spans="1:107">
      <c r="A28">
        <f>ROW(Source!A83)</f>
        <v>83</v>
      </c>
      <c r="B28">
        <v>35841400</v>
      </c>
      <c r="C28">
        <v>35843995</v>
      </c>
      <c r="D28">
        <v>29107800</v>
      </c>
      <c r="E28">
        <v>1</v>
      </c>
      <c r="F28">
        <v>1</v>
      </c>
      <c r="G28">
        <v>1</v>
      </c>
      <c r="H28">
        <v>3</v>
      </c>
      <c r="I28" t="s">
        <v>406</v>
      </c>
      <c r="J28" t="s">
        <v>407</v>
      </c>
      <c r="K28" t="s">
        <v>408</v>
      </c>
      <c r="L28">
        <v>1346</v>
      </c>
      <c r="N28">
        <v>1009</v>
      </c>
      <c r="O28" t="s">
        <v>153</v>
      </c>
      <c r="P28" t="s">
        <v>153</v>
      </c>
      <c r="Q28">
        <v>1</v>
      </c>
      <c r="W28">
        <v>0</v>
      </c>
      <c r="X28">
        <v>-1570619850</v>
      </c>
      <c r="Y28">
        <v>0.31</v>
      </c>
      <c r="AA28">
        <v>46.61</v>
      </c>
      <c r="AB28">
        <v>0</v>
      </c>
      <c r="AC28">
        <v>0</v>
      </c>
      <c r="AD28">
        <v>0</v>
      </c>
      <c r="AE28">
        <v>1.81</v>
      </c>
      <c r="AF28">
        <v>0</v>
      </c>
      <c r="AG28">
        <v>0</v>
      </c>
      <c r="AH28">
        <v>0</v>
      </c>
      <c r="AI28">
        <v>25.75</v>
      </c>
      <c r="AJ28">
        <v>1</v>
      </c>
      <c r="AK28">
        <v>1</v>
      </c>
      <c r="AL28">
        <v>1</v>
      </c>
      <c r="AN28">
        <v>0</v>
      </c>
      <c r="AO28">
        <v>1</v>
      </c>
      <c r="AP28">
        <v>0</v>
      </c>
      <c r="AQ28">
        <v>0</v>
      </c>
      <c r="AR28">
        <v>0</v>
      </c>
      <c r="AS28" t="s">
        <v>3</v>
      </c>
      <c r="AT28">
        <v>0.31</v>
      </c>
      <c r="AU28" t="s">
        <v>3</v>
      </c>
      <c r="AV28">
        <v>0</v>
      </c>
      <c r="AW28">
        <v>2</v>
      </c>
      <c r="AX28">
        <v>35844014</v>
      </c>
      <c r="AY28">
        <v>1</v>
      </c>
      <c r="AZ28">
        <v>0</v>
      </c>
      <c r="BA28">
        <v>27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CX28">
        <f>Y28*Source!I83</f>
        <v>0.40238000000000002</v>
      </c>
      <c r="CY28">
        <f t="shared" si="2"/>
        <v>46.61</v>
      </c>
      <c r="CZ28">
        <f t="shared" si="3"/>
        <v>1.81</v>
      </c>
      <c r="DA28">
        <f t="shared" si="4"/>
        <v>25.75</v>
      </c>
      <c r="DB28">
        <f t="shared" si="5"/>
        <v>0.56000000000000005</v>
      </c>
      <c r="DC28">
        <f t="shared" si="6"/>
        <v>0</v>
      </c>
    </row>
    <row r="29" spans="1:107">
      <c r="A29">
        <f>ROW(Source!A83)</f>
        <v>83</v>
      </c>
      <c r="B29">
        <v>35841400</v>
      </c>
      <c r="C29">
        <v>35843995</v>
      </c>
      <c r="D29">
        <v>29109351</v>
      </c>
      <c r="E29">
        <v>1</v>
      </c>
      <c r="F29">
        <v>1</v>
      </c>
      <c r="G29">
        <v>1</v>
      </c>
      <c r="H29">
        <v>3</v>
      </c>
      <c r="I29" t="s">
        <v>409</v>
      </c>
      <c r="J29" t="s">
        <v>410</v>
      </c>
      <c r="K29" t="s">
        <v>411</v>
      </c>
      <c r="L29">
        <v>1348</v>
      </c>
      <c r="N29">
        <v>1009</v>
      </c>
      <c r="O29" t="s">
        <v>27</v>
      </c>
      <c r="P29" t="s">
        <v>27</v>
      </c>
      <c r="Q29">
        <v>1000</v>
      </c>
      <c r="W29">
        <v>0</v>
      </c>
      <c r="X29">
        <v>1117318892</v>
      </c>
      <c r="Y29">
        <v>7.4999999999999997E-3</v>
      </c>
      <c r="AA29">
        <v>52558.559999999998</v>
      </c>
      <c r="AB29">
        <v>0</v>
      </c>
      <c r="AC29">
        <v>0</v>
      </c>
      <c r="AD29">
        <v>0</v>
      </c>
      <c r="AE29">
        <v>25764</v>
      </c>
      <c r="AF29">
        <v>0</v>
      </c>
      <c r="AG29">
        <v>0</v>
      </c>
      <c r="AH29">
        <v>0</v>
      </c>
      <c r="AI29">
        <v>2.04</v>
      </c>
      <c r="AJ29">
        <v>1</v>
      </c>
      <c r="AK29">
        <v>1</v>
      </c>
      <c r="AL29">
        <v>1</v>
      </c>
      <c r="AN29">
        <v>0</v>
      </c>
      <c r="AO29">
        <v>1</v>
      </c>
      <c r="AP29">
        <v>0</v>
      </c>
      <c r="AQ29">
        <v>0</v>
      </c>
      <c r="AR29">
        <v>0</v>
      </c>
      <c r="AS29" t="s">
        <v>3</v>
      </c>
      <c r="AT29">
        <v>7.4999999999999997E-3</v>
      </c>
      <c r="AU29" t="s">
        <v>3</v>
      </c>
      <c r="AV29">
        <v>0</v>
      </c>
      <c r="AW29">
        <v>2</v>
      </c>
      <c r="AX29">
        <v>35844015</v>
      </c>
      <c r="AY29">
        <v>1</v>
      </c>
      <c r="AZ29">
        <v>0</v>
      </c>
      <c r="BA29">
        <v>28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CX29">
        <f>Y29*Source!I83</f>
        <v>9.7350000000000006E-3</v>
      </c>
      <c r="CY29">
        <f t="shared" si="2"/>
        <v>52558.559999999998</v>
      </c>
      <c r="CZ29">
        <f t="shared" si="3"/>
        <v>25764</v>
      </c>
      <c r="DA29">
        <f t="shared" si="4"/>
        <v>2.04</v>
      </c>
      <c r="DB29">
        <f t="shared" si="5"/>
        <v>193.23</v>
      </c>
      <c r="DC29">
        <f t="shared" si="6"/>
        <v>0</v>
      </c>
    </row>
    <row r="30" spans="1:107">
      <c r="A30">
        <f>ROW(Source!A83)</f>
        <v>83</v>
      </c>
      <c r="B30">
        <v>35841400</v>
      </c>
      <c r="C30">
        <v>35843995</v>
      </c>
      <c r="D30">
        <v>29110571</v>
      </c>
      <c r="E30">
        <v>1</v>
      </c>
      <c r="F30">
        <v>1</v>
      </c>
      <c r="G30">
        <v>1</v>
      </c>
      <c r="H30">
        <v>3</v>
      </c>
      <c r="I30" t="s">
        <v>412</v>
      </c>
      <c r="J30" t="s">
        <v>413</v>
      </c>
      <c r="K30" t="s">
        <v>414</v>
      </c>
      <c r="L30">
        <v>1348</v>
      </c>
      <c r="N30">
        <v>1009</v>
      </c>
      <c r="O30" t="s">
        <v>27</v>
      </c>
      <c r="P30" t="s">
        <v>27</v>
      </c>
      <c r="Q30">
        <v>1000</v>
      </c>
      <c r="W30">
        <v>0</v>
      </c>
      <c r="X30">
        <v>-1464546961</v>
      </c>
      <c r="Y30">
        <v>1.1299999999999999E-2</v>
      </c>
      <c r="AA30">
        <v>72657.100000000006</v>
      </c>
      <c r="AB30">
        <v>0</v>
      </c>
      <c r="AC30">
        <v>0</v>
      </c>
      <c r="AD30">
        <v>0</v>
      </c>
      <c r="AE30">
        <v>26230</v>
      </c>
      <c r="AF30">
        <v>0</v>
      </c>
      <c r="AG30">
        <v>0</v>
      </c>
      <c r="AH30">
        <v>0</v>
      </c>
      <c r="AI30">
        <v>2.77</v>
      </c>
      <c r="AJ30">
        <v>1</v>
      </c>
      <c r="AK30">
        <v>1</v>
      </c>
      <c r="AL30">
        <v>1</v>
      </c>
      <c r="AN30">
        <v>0</v>
      </c>
      <c r="AO30">
        <v>1</v>
      </c>
      <c r="AP30">
        <v>0</v>
      </c>
      <c r="AQ30">
        <v>0</v>
      </c>
      <c r="AR30">
        <v>0</v>
      </c>
      <c r="AS30" t="s">
        <v>3</v>
      </c>
      <c r="AT30">
        <v>1.1299999999999999E-2</v>
      </c>
      <c r="AU30" t="s">
        <v>3</v>
      </c>
      <c r="AV30">
        <v>0</v>
      </c>
      <c r="AW30">
        <v>2</v>
      </c>
      <c r="AX30">
        <v>35844016</v>
      </c>
      <c r="AY30">
        <v>1</v>
      </c>
      <c r="AZ30">
        <v>0</v>
      </c>
      <c r="BA30">
        <v>29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CX30">
        <f>Y30*Source!I83</f>
        <v>1.4667399999999999E-2</v>
      </c>
      <c r="CY30">
        <f t="shared" si="2"/>
        <v>72657.100000000006</v>
      </c>
      <c r="CZ30">
        <f t="shared" si="3"/>
        <v>26230</v>
      </c>
      <c r="DA30">
        <f t="shared" si="4"/>
        <v>2.77</v>
      </c>
      <c r="DB30">
        <f t="shared" si="5"/>
        <v>296.39999999999998</v>
      </c>
      <c r="DC30">
        <f t="shared" si="6"/>
        <v>0</v>
      </c>
    </row>
    <row r="31" spans="1:107">
      <c r="A31">
        <f>ROW(Source!A83)</f>
        <v>83</v>
      </c>
      <c r="B31">
        <v>35841400</v>
      </c>
      <c r="C31">
        <v>35843995</v>
      </c>
      <c r="D31">
        <v>29122982</v>
      </c>
      <c r="E31">
        <v>1</v>
      </c>
      <c r="F31">
        <v>1</v>
      </c>
      <c r="G31">
        <v>1</v>
      </c>
      <c r="H31">
        <v>3</v>
      </c>
      <c r="I31" t="s">
        <v>151</v>
      </c>
      <c r="J31" t="s">
        <v>154</v>
      </c>
      <c r="K31" t="s">
        <v>152</v>
      </c>
      <c r="L31">
        <v>1346</v>
      </c>
      <c r="N31">
        <v>1009</v>
      </c>
      <c r="O31" t="s">
        <v>153</v>
      </c>
      <c r="P31" t="s">
        <v>153</v>
      </c>
      <c r="Q31">
        <v>1</v>
      </c>
      <c r="W31">
        <v>0</v>
      </c>
      <c r="X31">
        <v>-1941437179</v>
      </c>
      <c r="Y31">
        <v>43.913713000000001</v>
      </c>
      <c r="AA31">
        <v>60.2</v>
      </c>
      <c r="AB31">
        <v>0</v>
      </c>
      <c r="AC31">
        <v>0</v>
      </c>
      <c r="AD31">
        <v>0</v>
      </c>
      <c r="AE31">
        <v>17.45</v>
      </c>
      <c r="AF31">
        <v>0</v>
      </c>
      <c r="AG31">
        <v>0</v>
      </c>
      <c r="AH31">
        <v>0</v>
      </c>
      <c r="AI31">
        <v>3.45</v>
      </c>
      <c r="AJ31">
        <v>1</v>
      </c>
      <c r="AK31">
        <v>1</v>
      </c>
      <c r="AL31">
        <v>1</v>
      </c>
      <c r="AN31">
        <v>0</v>
      </c>
      <c r="AO31">
        <v>0</v>
      </c>
      <c r="AP31">
        <v>0</v>
      </c>
      <c r="AQ31">
        <v>0</v>
      </c>
      <c r="AR31">
        <v>0</v>
      </c>
      <c r="AS31" t="s">
        <v>3</v>
      </c>
      <c r="AT31">
        <v>43.913713000000001</v>
      </c>
      <c r="AU31" t="s">
        <v>3</v>
      </c>
      <c r="AV31">
        <v>0</v>
      </c>
      <c r="AW31">
        <v>1</v>
      </c>
      <c r="AX31">
        <v>-1</v>
      </c>
      <c r="AY31">
        <v>0</v>
      </c>
      <c r="AZ31">
        <v>0</v>
      </c>
      <c r="BA31" t="s">
        <v>3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CX31">
        <f>Y31*Source!I83</f>
        <v>56.999999474000006</v>
      </c>
      <c r="CY31">
        <f t="shared" si="2"/>
        <v>60.2</v>
      </c>
      <c r="CZ31">
        <f t="shared" si="3"/>
        <v>17.45</v>
      </c>
      <c r="DA31">
        <f t="shared" si="4"/>
        <v>3.45</v>
      </c>
      <c r="DB31">
        <f t="shared" si="5"/>
        <v>766.29</v>
      </c>
      <c r="DC31">
        <f t="shared" si="6"/>
        <v>0</v>
      </c>
    </row>
    <row r="32" spans="1:107">
      <c r="A32">
        <f>ROW(Source!A83)</f>
        <v>83</v>
      </c>
      <c r="B32">
        <v>35841400</v>
      </c>
      <c r="C32">
        <v>35843995</v>
      </c>
      <c r="D32">
        <v>29149868</v>
      </c>
      <c r="E32">
        <v>1</v>
      </c>
      <c r="F32">
        <v>1</v>
      </c>
      <c r="G32">
        <v>1</v>
      </c>
      <c r="H32">
        <v>3</v>
      </c>
      <c r="I32" t="s">
        <v>415</v>
      </c>
      <c r="J32" t="s">
        <v>416</v>
      </c>
      <c r="K32" t="s">
        <v>417</v>
      </c>
      <c r="L32">
        <v>1339</v>
      </c>
      <c r="N32">
        <v>1007</v>
      </c>
      <c r="O32" t="s">
        <v>391</v>
      </c>
      <c r="P32" t="s">
        <v>391</v>
      </c>
      <c r="Q32">
        <v>1</v>
      </c>
      <c r="W32">
        <v>0</v>
      </c>
      <c r="X32">
        <v>-1546867598</v>
      </c>
      <c r="Y32">
        <v>2.3999999999999998E-3</v>
      </c>
      <c r="AA32">
        <v>495.28</v>
      </c>
      <c r="AB32">
        <v>0</v>
      </c>
      <c r="AC32">
        <v>0</v>
      </c>
      <c r="AD32">
        <v>0</v>
      </c>
      <c r="AE32">
        <v>74.59</v>
      </c>
      <c r="AF32">
        <v>0</v>
      </c>
      <c r="AG32">
        <v>0</v>
      </c>
      <c r="AH32">
        <v>0</v>
      </c>
      <c r="AI32">
        <v>6.64</v>
      </c>
      <c r="AJ32">
        <v>1</v>
      </c>
      <c r="AK32">
        <v>1</v>
      </c>
      <c r="AL32">
        <v>1</v>
      </c>
      <c r="AN32">
        <v>0</v>
      </c>
      <c r="AO32">
        <v>1</v>
      </c>
      <c r="AP32">
        <v>0</v>
      </c>
      <c r="AQ32">
        <v>0</v>
      </c>
      <c r="AR32">
        <v>0</v>
      </c>
      <c r="AS32" t="s">
        <v>3</v>
      </c>
      <c r="AT32">
        <v>2.3999999999999998E-3</v>
      </c>
      <c r="AU32" t="s">
        <v>3</v>
      </c>
      <c r="AV32">
        <v>0</v>
      </c>
      <c r="AW32">
        <v>2</v>
      </c>
      <c r="AX32">
        <v>35844017</v>
      </c>
      <c r="AY32">
        <v>1</v>
      </c>
      <c r="AZ32">
        <v>0</v>
      </c>
      <c r="BA32">
        <v>30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CX32">
        <f>Y32*Source!I83</f>
        <v>3.1151999999999998E-3</v>
      </c>
      <c r="CY32">
        <f t="shared" si="2"/>
        <v>495.28</v>
      </c>
      <c r="CZ32">
        <f t="shared" si="3"/>
        <v>74.59</v>
      </c>
      <c r="DA32">
        <f t="shared" si="4"/>
        <v>6.64</v>
      </c>
      <c r="DB32">
        <f t="shared" si="5"/>
        <v>0.18</v>
      </c>
      <c r="DC32">
        <f t="shared" si="6"/>
        <v>0</v>
      </c>
    </row>
    <row r="33" spans="1:107">
      <c r="A33">
        <f>ROW(Source!A86)</f>
        <v>86</v>
      </c>
      <c r="B33">
        <v>35841400</v>
      </c>
      <c r="C33">
        <v>36167805</v>
      </c>
      <c r="D33">
        <v>18410171</v>
      </c>
      <c r="E33">
        <v>1</v>
      </c>
      <c r="F33">
        <v>1</v>
      </c>
      <c r="G33">
        <v>1</v>
      </c>
      <c r="H33">
        <v>1</v>
      </c>
      <c r="I33" t="s">
        <v>418</v>
      </c>
      <c r="J33" t="s">
        <v>3</v>
      </c>
      <c r="K33" t="s">
        <v>419</v>
      </c>
      <c r="L33">
        <v>1369</v>
      </c>
      <c r="N33">
        <v>1013</v>
      </c>
      <c r="O33" t="s">
        <v>369</v>
      </c>
      <c r="P33" t="s">
        <v>369</v>
      </c>
      <c r="Q33">
        <v>1</v>
      </c>
      <c r="W33">
        <v>0</v>
      </c>
      <c r="X33">
        <v>1151098980</v>
      </c>
      <c r="Y33">
        <v>16.940000000000001</v>
      </c>
      <c r="AA33">
        <v>0</v>
      </c>
      <c r="AB33">
        <v>0</v>
      </c>
      <c r="AC33">
        <v>0</v>
      </c>
      <c r="AD33">
        <v>292.87</v>
      </c>
      <c r="AE33">
        <v>0</v>
      </c>
      <c r="AF33">
        <v>0</v>
      </c>
      <c r="AG33">
        <v>0</v>
      </c>
      <c r="AH33">
        <v>292.87</v>
      </c>
      <c r="AI33">
        <v>1</v>
      </c>
      <c r="AJ33">
        <v>1</v>
      </c>
      <c r="AK33">
        <v>1</v>
      </c>
      <c r="AL33">
        <v>1</v>
      </c>
      <c r="AN33">
        <v>0</v>
      </c>
      <c r="AO33">
        <v>1</v>
      </c>
      <c r="AP33">
        <v>0</v>
      </c>
      <c r="AQ33">
        <v>0</v>
      </c>
      <c r="AR33">
        <v>0</v>
      </c>
      <c r="AS33" t="s">
        <v>3</v>
      </c>
      <c r="AT33">
        <v>16.940000000000001</v>
      </c>
      <c r="AU33" t="s">
        <v>3</v>
      </c>
      <c r="AV33">
        <v>1</v>
      </c>
      <c r="AW33">
        <v>2</v>
      </c>
      <c r="AX33">
        <v>36167806</v>
      </c>
      <c r="AY33">
        <v>1</v>
      </c>
      <c r="AZ33">
        <v>0</v>
      </c>
      <c r="BA33">
        <v>31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CX33">
        <f>Y33*Source!I86</f>
        <v>15.381520000000002</v>
      </c>
      <c r="CY33">
        <f>AD33</f>
        <v>292.87</v>
      </c>
      <c r="CZ33">
        <f>AH33</f>
        <v>292.87</v>
      </c>
      <c r="DA33">
        <f>AL33</f>
        <v>1</v>
      </c>
      <c r="DB33">
        <f t="shared" si="5"/>
        <v>4961.22</v>
      </c>
      <c r="DC33">
        <f t="shared" si="6"/>
        <v>0</v>
      </c>
    </row>
    <row r="34" spans="1:107">
      <c r="A34">
        <f>ROW(Source!A86)</f>
        <v>86</v>
      </c>
      <c r="B34">
        <v>35841400</v>
      </c>
      <c r="C34">
        <v>36167805</v>
      </c>
      <c r="D34">
        <v>121548</v>
      </c>
      <c r="E34">
        <v>1</v>
      </c>
      <c r="F34">
        <v>1</v>
      </c>
      <c r="G34">
        <v>1</v>
      </c>
      <c r="H34">
        <v>1</v>
      </c>
      <c r="I34" t="s">
        <v>212</v>
      </c>
      <c r="J34" t="s">
        <v>3</v>
      </c>
      <c r="K34" t="s">
        <v>374</v>
      </c>
      <c r="L34">
        <v>608254</v>
      </c>
      <c r="N34">
        <v>1013</v>
      </c>
      <c r="O34" t="s">
        <v>375</v>
      </c>
      <c r="P34" t="s">
        <v>375</v>
      </c>
      <c r="Q34">
        <v>1</v>
      </c>
      <c r="W34">
        <v>0</v>
      </c>
      <c r="X34">
        <v>-185737400</v>
      </c>
      <c r="Y34">
        <v>0.01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1</v>
      </c>
      <c r="AJ34">
        <v>1</v>
      </c>
      <c r="AK34">
        <v>1</v>
      </c>
      <c r="AL34">
        <v>1</v>
      </c>
      <c r="AN34">
        <v>0</v>
      </c>
      <c r="AO34">
        <v>1</v>
      </c>
      <c r="AP34">
        <v>0</v>
      </c>
      <c r="AQ34">
        <v>0</v>
      </c>
      <c r="AR34">
        <v>0</v>
      </c>
      <c r="AS34" t="s">
        <v>3</v>
      </c>
      <c r="AT34">
        <v>0.01</v>
      </c>
      <c r="AU34" t="s">
        <v>3</v>
      </c>
      <c r="AV34">
        <v>2</v>
      </c>
      <c r="AW34">
        <v>2</v>
      </c>
      <c r="AX34">
        <v>36167807</v>
      </c>
      <c r="AY34">
        <v>1</v>
      </c>
      <c r="AZ34">
        <v>0</v>
      </c>
      <c r="BA34">
        <v>32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CX34">
        <f>Y34*Source!I86</f>
        <v>9.0800000000000013E-3</v>
      </c>
      <c r="CY34">
        <f>AD34</f>
        <v>0</v>
      </c>
      <c r="CZ34">
        <f>AH34</f>
        <v>0</v>
      </c>
      <c r="DA34">
        <f>AL34</f>
        <v>1</v>
      </c>
      <c r="DB34">
        <f t="shared" si="5"/>
        <v>0</v>
      </c>
      <c r="DC34">
        <f t="shared" si="6"/>
        <v>0</v>
      </c>
    </row>
    <row r="35" spans="1:107">
      <c r="A35">
        <f>ROW(Source!A86)</f>
        <v>86</v>
      </c>
      <c r="B35">
        <v>35841400</v>
      </c>
      <c r="C35">
        <v>36167805</v>
      </c>
      <c r="D35">
        <v>29172556</v>
      </c>
      <c r="E35">
        <v>1</v>
      </c>
      <c r="F35">
        <v>1</v>
      </c>
      <c r="G35">
        <v>1</v>
      </c>
      <c r="H35">
        <v>2</v>
      </c>
      <c r="I35" t="s">
        <v>376</v>
      </c>
      <c r="J35" t="s">
        <v>377</v>
      </c>
      <c r="K35" t="s">
        <v>378</v>
      </c>
      <c r="L35">
        <v>1368</v>
      </c>
      <c r="N35">
        <v>1011</v>
      </c>
      <c r="O35" t="s">
        <v>379</v>
      </c>
      <c r="P35" t="s">
        <v>379</v>
      </c>
      <c r="Q35">
        <v>1</v>
      </c>
      <c r="W35">
        <v>0</v>
      </c>
      <c r="X35">
        <v>-1302720870</v>
      </c>
      <c r="Y35">
        <v>0.01</v>
      </c>
      <c r="AA35">
        <v>0</v>
      </c>
      <c r="AB35">
        <v>466.71</v>
      </c>
      <c r="AC35">
        <v>446.18</v>
      </c>
      <c r="AD35">
        <v>0</v>
      </c>
      <c r="AE35">
        <v>0</v>
      </c>
      <c r="AF35">
        <v>31.26</v>
      </c>
      <c r="AG35">
        <v>13.5</v>
      </c>
      <c r="AH35">
        <v>0</v>
      </c>
      <c r="AI35">
        <v>1</v>
      </c>
      <c r="AJ35">
        <v>14.93</v>
      </c>
      <c r="AK35">
        <v>33.049999999999997</v>
      </c>
      <c r="AL35">
        <v>1</v>
      </c>
      <c r="AN35">
        <v>0</v>
      </c>
      <c r="AO35">
        <v>1</v>
      </c>
      <c r="AP35">
        <v>0</v>
      </c>
      <c r="AQ35">
        <v>0</v>
      </c>
      <c r="AR35">
        <v>0</v>
      </c>
      <c r="AS35" t="s">
        <v>3</v>
      </c>
      <c r="AT35">
        <v>0.01</v>
      </c>
      <c r="AU35" t="s">
        <v>3</v>
      </c>
      <c r="AV35">
        <v>0</v>
      </c>
      <c r="AW35">
        <v>2</v>
      </c>
      <c r="AX35">
        <v>36167808</v>
      </c>
      <c r="AY35">
        <v>1</v>
      </c>
      <c r="AZ35">
        <v>0</v>
      </c>
      <c r="BA35">
        <v>33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CX35">
        <f>Y35*Source!I86</f>
        <v>9.0800000000000013E-3</v>
      </c>
      <c r="CY35">
        <f>AB35</f>
        <v>466.71</v>
      </c>
      <c r="CZ35">
        <f>AF35</f>
        <v>31.26</v>
      </c>
      <c r="DA35">
        <f>AJ35</f>
        <v>14.93</v>
      </c>
      <c r="DB35">
        <f t="shared" si="5"/>
        <v>0.31</v>
      </c>
      <c r="DC35">
        <f t="shared" si="6"/>
        <v>0.14000000000000001</v>
      </c>
    </row>
    <row r="36" spans="1:107">
      <c r="A36">
        <f>ROW(Source!A86)</f>
        <v>86</v>
      </c>
      <c r="B36">
        <v>35841400</v>
      </c>
      <c r="C36">
        <v>36167805</v>
      </c>
      <c r="D36">
        <v>29174913</v>
      </c>
      <c r="E36">
        <v>1</v>
      </c>
      <c r="F36">
        <v>1</v>
      </c>
      <c r="G36">
        <v>1</v>
      </c>
      <c r="H36">
        <v>2</v>
      </c>
      <c r="I36" t="s">
        <v>394</v>
      </c>
      <c r="J36" t="s">
        <v>395</v>
      </c>
      <c r="K36" t="s">
        <v>396</v>
      </c>
      <c r="L36">
        <v>1368</v>
      </c>
      <c r="N36">
        <v>1011</v>
      </c>
      <c r="O36" t="s">
        <v>379</v>
      </c>
      <c r="P36" t="s">
        <v>379</v>
      </c>
      <c r="Q36">
        <v>1</v>
      </c>
      <c r="W36">
        <v>0</v>
      </c>
      <c r="X36">
        <v>458544584</v>
      </c>
      <c r="Y36">
        <v>0.09</v>
      </c>
      <c r="AA36">
        <v>0</v>
      </c>
      <c r="AB36">
        <v>932.72</v>
      </c>
      <c r="AC36">
        <v>383.38</v>
      </c>
      <c r="AD36">
        <v>0</v>
      </c>
      <c r="AE36">
        <v>0</v>
      </c>
      <c r="AF36">
        <v>87.17</v>
      </c>
      <c r="AG36">
        <v>11.6</v>
      </c>
      <c r="AH36">
        <v>0</v>
      </c>
      <c r="AI36">
        <v>1</v>
      </c>
      <c r="AJ36">
        <v>10.7</v>
      </c>
      <c r="AK36">
        <v>33.049999999999997</v>
      </c>
      <c r="AL36">
        <v>1</v>
      </c>
      <c r="AN36">
        <v>0</v>
      </c>
      <c r="AO36">
        <v>1</v>
      </c>
      <c r="AP36">
        <v>0</v>
      </c>
      <c r="AQ36">
        <v>0</v>
      </c>
      <c r="AR36">
        <v>0</v>
      </c>
      <c r="AS36" t="s">
        <v>3</v>
      </c>
      <c r="AT36">
        <v>0.09</v>
      </c>
      <c r="AU36" t="s">
        <v>3</v>
      </c>
      <c r="AV36">
        <v>0</v>
      </c>
      <c r="AW36">
        <v>2</v>
      </c>
      <c r="AX36">
        <v>36167809</v>
      </c>
      <c r="AY36">
        <v>1</v>
      </c>
      <c r="AZ36">
        <v>0</v>
      </c>
      <c r="BA36">
        <v>34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CX36">
        <f>Y36*Source!I86</f>
        <v>8.1720000000000001E-2</v>
      </c>
      <c r="CY36">
        <f>AB36</f>
        <v>932.72</v>
      </c>
      <c r="CZ36">
        <f>AF36</f>
        <v>87.17</v>
      </c>
      <c r="DA36">
        <f>AJ36</f>
        <v>10.7</v>
      </c>
      <c r="DB36">
        <f t="shared" si="5"/>
        <v>7.85</v>
      </c>
      <c r="DC36">
        <f t="shared" si="6"/>
        <v>1.04</v>
      </c>
    </row>
    <row r="37" spans="1:107">
      <c r="A37">
        <f>ROW(Source!A86)</f>
        <v>86</v>
      </c>
      <c r="B37">
        <v>35841400</v>
      </c>
      <c r="C37">
        <v>36167805</v>
      </c>
      <c r="D37">
        <v>29107779</v>
      </c>
      <c r="E37">
        <v>1</v>
      </c>
      <c r="F37">
        <v>1</v>
      </c>
      <c r="G37">
        <v>1</v>
      </c>
      <c r="H37">
        <v>3</v>
      </c>
      <c r="I37" t="s">
        <v>400</v>
      </c>
      <c r="J37" t="s">
        <v>401</v>
      </c>
      <c r="K37" t="s">
        <v>402</v>
      </c>
      <c r="L37">
        <v>1327</v>
      </c>
      <c r="N37">
        <v>1005</v>
      </c>
      <c r="O37" t="s">
        <v>183</v>
      </c>
      <c r="P37" t="s">
        <v>183</v>
      </c>
      <c r="Q37">
        <v>1</v>
      </c>
      <c r="W37">
        <v>0</v>
      </c>
      <c r="X37">
        <v>2125256490</v>
      </c>
      <c r="Y37">
        <v>0.33</v>
      </c>
      <c r="AA37">
        <v>203.19</v>
      </c>
      <c r="AB37">
        <v>0</v>
      </c>
      <c r="AC37">
        <v>0</v>
      </c>
      <c r="AD37">
        <v>0</v>
      </c>
      <c r="AE37">
        <v>72.31</v>
      </c>
      <c r="AF37">
        <v>0</v>
      </c>
      <c r="AG37">
        <v>0</v>
      </c>
      <c r="AH37">
        <v>0</v>
      </c>
      <c r="AI37">
        <v>2.81</v>
      </c>
      <c r="AJ37">
        <v>1</v>
      </c>
      <c r="AK37">
        <v>1</v>
      </c>
      <c r="AL37">
        <v>1</v>
      </c>
      <c r="AN37">
        <v>0</v>
      </c>
      <c r="AO37">
        <v>1</v>
      </c>
      <c r="AP37">
        <v>0</v>
      </c>
      <c r="AQ37">
        <v>0</v>
      </c>
      <c r="AR37">
        <v>0</v>
      </c>
      <c r="AS37" t="s">
        <v>3</v>
      </c>
      <c r="AT37">
        <v>0.33</v>
      </c>
      <c r="AU37" t="s">
        <v>3</v>
      </c>
      <c r="AV37">
        <v>0</v>
      </c>
      <c r="AW37">
        <v>2</v>
      </c>
      <c r="AX37">
        <v>36167810</v>
      </c>
      <c r="AY37">
        <v>1</v>
      </c>
      <c r="AZ37">
        <v>0</v>
      </c>
      <c r="BA37">
        <v>35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CX37">
        <f>Y37*Source!I86</f>
        <v>0.29964000000000002</v>
      </c>
      <c r="CY37">
        <f>AA37</f>
        <v>203.19</v>
      </c>
      <c r="CZ37">
        <f>AE37</f>
        <v>72.31</v>
      </c>
      <c r="DA37">
        <f>AI37</f>
        <v>2.81</v>
      </c>
      <c r="DB37">
        <f t="shared" si="5"/>
        <v>23.86</v>
      </c>
      <c r="DC37">
        <f t="shared" si="6"/>
        <v>0</v>
      </c>
    </row>
    <row r="38" spans="1:107">
      <c r="A38">
        <f>ROW(Source!A86)</f>
        <v>86</v>
      </c>
      <c r="B38">
        <v>35841400</v>
      </c>
      <c r="C38">
        <v>36167805</v>
      </c>
      <c r="D38">
        <v>29109797</v>
      </c>
      <c r="E38">
        <v>1</v>
      </c>
      <c r="F38">
        <v>1</v>
      </c>
      <c r="G38">
        <v>1</v>
      </c>
      <c r="H38">
        <v>3</v>
      </c>
      <c r="I38" t="s">
        <v>420</v>
      </c>
      <c r="J38" t="s">
        <v>421</v>
      </c>
      <c r="K38" t="s">
        <v>422</v>
      </c>
      <c r="L38">
        <v>1348</v>
      </c>
      <c r="N38">
        <v>1009</v>
      </c>
      <c r="O38" t="s">
        <v>27</v>
      </c>
      <c r="P38" t="s">
        <v>27</v>
      </c>
      <c r="Q38">
        <v>1000</v>
      </c>
      <c r="W38">
        <v>0</v>
      </c>
      <c r="X38">
        <v>671224001</v>
      </c>
      <c r="Y38">
        <v>5.4999999999999997E-3</v>
      </c>
      <c r="AA38">
        <v>19924.25</v>
      </c>
      <c r="AB38">
        <v>0</v>
      </c>
      <c r="AC38">
        <v>0</v>
      </c>
      <c r="AD38">
        <v>0</v>
      </c>
      <c r="AE38">
        <v>4294.0200000000004</v>
      </c>
      <c r="AF38">
        <v>0</v>
      </c>
      <c r="AG38">
        <v>0</v>
      </c>
      <c r="AH38">
        <v>0</v>
      </c>
      <c r="AI38">
        <v>4.6399999999999997</v>
      </c>
      <c r="AJ38">
        <v>1</v>
      </c>
      <c r="AK38">
        <v>1</v>
      </c>
      <c r="AL38">
        <v>1</v>
      </c>
      <c r="AN38">
        <v>0</v>
      </c>
      <c r="AO38">
        <v>1</v>
      </c>
      <c r="AP38">
        <v>0</v>
      </c>
      <c r="AQ38">
        <v>0</v>
      </c>
      <c r="AR38">
        <v>0</v>
      </c>
      <c r="AS38" t="s">
        <v>3</v>
      </c>
      <c r="AT38">
        <v>5.4999999999999997E-3</v>
      </c>
      <c r="AU38" t="s">
        <v>3</v>
      </c>
      <c r="AV38">
        <v>0</v>
      </c>
      <c r="AW38">
        <v>2</v>
      </c>
      <c r="AX38">
        <v>36167811</v>
      </c>
      <c r="AY38">
        <v>1</v>
      </c>
      <c r="AZ38">
        <v>0</v>
      </c>
      <c r="BA38">
        <v>36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CX38">
        <f>Y38*Source!I86</f>
        <v>4.9940000000000002E-3</v>
      </c>
      <c r="CY38">
        <f>AA38</f>
        <v>19924.25</v>
      </c>
      <c r="CZ38">
        <f>AE38</f>
        <v>4294.0200000000004</v>
      </c>
      <c r="DA38">
        <f>AI38</f>
        <v>4.6399999999999997</v>
      </c>
      <c r="DB38">
        <f t="shared" si="5"/>
        <v>23.62</v>
      </c>
      <c r="DC38">
        <f t="shared" si="6"/>
        <v>0</v>
      </c>
    </row>
    <row r="39" spans="1:107">
      <c r="A39">
        <f>ROW(Source!A86)</f>
        <v>86</v>
      </c>
      <c r="B39">
        <v>35841400</v>
      </c>
      <c r="C39">
        <v>36167805</v>
      </c>
      <c r="D39">
        <v>29107800</v>
      </c>
      <c r="E39">
        <v>1</v>
      </c>
      <c r="F39">
        <v>1</v>
      </c>
      <c r="G39">
        <v>1</v>
      </c>
      <c r="H39">
        <v>3</v>
      </c>
      <c r="I39" t="s">
        <v>406</v>
      </c>
      <c r="J39" t="s">
        <v>407</v>
      </c>
      <c r="K39" t="s">
        <v>408</v>
      </c>
      <c r="L39">
        <v>1346</v>
      </c>
      <c r="N39">
        <v>1009</v>
      </c>
      <c r="O39" t="s">
        <v>153</v>
      </c>
      <c r="P39" t="s">
        <v>153</v>
      </c>
      <c r="Q39">
        <v>1</v>
      </c>
      <c r="W39">
        <v>0</v>
      </c>
      <c r="X39">
        <v>-1570619850</v>
      </c>
      <c r="Y39">
        <v>0.11</v>
      </c>
      <c r="AA39">
        <v>46.61</v>
      </c>
      <c r="AB39">
        <v>0</v>
      </c>
      <c r="AC39">
        <v>0</v>
      </c>
      <c r="AD39">
        <v>0</v>
      </c>
      <c r="AE39">
        <v>1.81</v>
      </c>
      <c r="AF39">
        <v>0</v>
      </c>
      <c r="AG39">
        <v>0</v>
      </c>
      <c r="AH39">
        <v>0</v>
      </c>
      <c r="AI39">
        <v>25.75</v>
      </c>
      <c r="AJ39">
        <v>1</v>
      </c>
      <c r="AK39">
        <v>1</v>
      </c>
      <c r="AL39">
        <v>1</v>
      </c>
      <c r="AN39">
        <v>0</v>
      </c>
      <c r="AO39">
        <v>1</v>
      </c>
      <c r="AP39">
        <v>0</v>
      </c>
      <c r="AQ39">
        <v>0</v>
      </c>
      <c r="AR39">
        <v>0</v>
      </c>
      <c r="AS39" t="s">
        <v>3</v>
      </c>
      <c r="AT39">
        <v>0.11</v>
      </c>
      <c r="AU39" t="s">
        <v>3</v>
      </c>
      <c r="AV39">
        <v>0</v>
      </c>
      <c r="AW39">
        <v>2</v>
      </c>
      <c r="AX39">
        <v>36167812</v>
      </c>
      <c r="AY39">
        <v>1</v>
      </c>
      <c r="AZ39">
        <v>0</v>
      </c>
      <c r="BA39">
        <v>37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CX39">
        <f>Y39*Source!I86</f>
        <v>9.988000000000001E-2</v>
      </c>
      <c r="CY39">
        <f>AA39</f>
        <v>46.61</v>
      </c>
      <c r="CZ39">
        <f>AE39</f>
        <v>1.81</v>
      </c>
      <c r="DA39">
        <f>AI39</f>
        <v>25.75</v>
      </c>
      <c r="DB39">
        <f t="shared" si="5"/>
        <v>0.2</v>
      </c>
      <c r="DC39">
        <f t="shared" si="6"/>
        <v>0</v>
      </c>
    </row>
    <row r="40" spans="1:107">
      <c r="A40">
        <f>ROW(Source!A86)</f>
        <v>86</v>
      </c>
      <c r="B40">
        <v>35841400</v>
      </c>
      <c r="C40">
        <v>36167805</v>
      </c>
      <c r="D40">
        <v>29110439</v>
      </c>
      <c r="E40">
        <v>1</v>
      </c>
      <c r="F40">
        <v>1</v>
      </c>
      <c r="G40">
        <v>1</v>
      </c>
      <c r="H40">
        <v>3</v>
      </c>
      <c r="I40" t="s">
        <v>423</v>
      </c>
      <c r="J40" t="s">
        <v>424</v>
      </c>
      <c r="K40" t="s">
        <v>425</v>
      </c>
      <c r="L40">
        <v>1348</v>
      </c>
      <c r="N40">
        <v>1009</v>
      </c>
      <c r="O40" t="s">
        <v>27</v>
      </c>
      <c r="P40" t="s">
        <v>27</v>
      </c>
      <c r="Q40">
        <v>1000</v>
      </c>
      <c r="W40">
        <v>0</v>
      </c>
      <c r="X40">
        <v>728140085</v>
      </c>
      <c r="Y40">
        <v>5.7000000000000002E-2</v>
      </c>
      <c r="AA40">
        <v>60221.13</v>
      </c>
      <c r="AB40">
        <v>0</v>
      </c>
      <c r="AC40">
        <v>0</v>
      </c>
      <c r="AD40">
        <v>0</v>
      </c>
      <c r="AE40">
        <v>15481.01</v>
      </c>
      <c r="AF40">
        <v>0</v>
      </c>
      <c r="AG40">
        <v>0</v>
      </c>
      <c r="AH40">
        <v>0</v>
      </c>
      <c r="AI40">
        <v>3.89</v>
      </c>
      <c r="AJ40">
        <v>1</v>
      </c>
      <c r="AK40">
        <v>1</v>
      </c>
      <c r="AL40">
        <v>1</v>
      </c>
      <c r="AN40">
        <v>0</v>
      </c>
      <c r="AO40">
        <v>1</v>
      </c>
      <c r="AP40">
        <v>0</v>
      </c>
      <c r="AQ40">
        <v>0</v>
      </c>
      <c r="AR40">
        <v>0</v>
      </c>
      <c r="AS40" t="s">
        <v>3</v>
      </c>
      <c r="AT40">
        <v>5.7000000000000002E-2</v>
      </c>
      <c r="AU40" t="s">
        <v>3</v>
      </c>
      <c r="AV40">
        <v>0</v>
      </c>
      <c r="AW40">
        <v>2</v>
      </c>
      <c r="AX40">
        <v>36167813</v>
      </c>
      <c r="AY40">
        <v>1</v>
      </c>
      <c r="AZ40">
        <v>0</v>
      </c>
      <c r="BA40">
        <v>38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CX40">
        <f>Y40*Source!I86</f>
        <v>5.1756000000000003E-2</v>
      </c>
      <c r="CY40">
        <f>AA40</f>
        <v>60221.13</v>
      </c>
      <c r="CZ40">
        <f>AE40</f>
        <v>15481.01</v>
      </c>
      <c r="DA40">
        <f>AI40</f>
        <v>3.89</v>
      </c>
      <c r="DB40">
        <f t="shared" si="5"/>
        <v>882.42</v>
      </c>
      <c r="DC40">
        <f t="shared" si="6"/>
        <v>0</v>
      </c>
    </row>
    <row r="41" spans="1:107">
      <c r="A41">
        <f>ROW(Source!A88)</f>
        <v>88</v>
      </c>
      <c r="B41">
        <v>35841400</v>
      </c>
      <c r="C41">
        <v>35844448</v>
      </c>
      <c r="D41">
        <v>18407150</v>
      </c>
      <c r="E41">
        <v>1</v>
      </c>
      <c r="F41">
        <v>1</v>
      </c>
      <c r="G41">
        <v>1</v>
      </c>
      <c r="H41">
        <v>1</v>
      </c>
      <c r="I41" t="s">
        <v>426</v>
      </c>
      <c r="J41" t="s">
        <v>3</v>
      </c>
      <c r="K41" t="s">
        <v>427</v>
      </c>
      <c r="L41">
        <v>1369</v>
      </c>
      <c r="N41">
        <v>1013</v>
      </c>
      <c r="O41" t="s">
        <v>369</v>
      </c>
      <c r="P41" t="s">
        <v>369</v>
      </c>
      <c r="Q41">
        <v>1</v>
      </c>
      <c r="W41">
        <v>0</v>
      </c>
      <c r="X41">
        <v>-931037793</v>
      </c>
      <c r="Y41">
        <v>35.74</v>
      </c>
      <c r="AA41">
        <v>0</v>
      </c>
      <c r="AB41">
        <v>0</v>
      </c>
      <c r="AC41">
        <v>0</v>
      </c>
      <c r="AD41">
        <v>278.5</v>
      </c>
      <c r="AE41">
        <v>0</v>
      </c>
      <c r="AF41">
        <v>0</v>
      </c>
      <c r="AG41">
        <v>0</v>
      </c>
      <c r="AH41">
        <v>278.5</v>
      </c>
      <c r="AI41">
        <v>1</v>
      </c>
      <c r="AJ41">
        <v>1</v>
      </c>
      <c r="AK41">
        <v>1</v>
      </c>
      <c r="AL41">
        <v>1</v>
      </c>
      <c r="AN41">
        <v>0</v>
      </c>
      <c r="AO41">
        <v>1</v>
      </c>
      <c r="AP41">
        <v>0</v>
      </c>
      <c r="AQ41">
        <v>0</v>
      </c>
      <c r="AR41">
        <v>0</v>
      </c>
      <c r="AS41" t="s">
        <v>3</v>
      </c>
      <c r="AT41">
        <v>35.74</v>
      </c>
      <c r="AU41" t="s">
        <v>3</v>
      </c>
      <c r="AV41">
        <v>1</v>
      </c>
      <c r="AW41">
        <v>2</v>
      </c>
      <c r="AX41">
        <v>36150943</v>
      </c>
      <c r="AY41">
        <v>1</v>
      </c>
      <c r="AZ41">
        <v>0</v>
      </c>
      <c r="BA41">
        <v>39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CX41">
        <f>Y41*Source!I88</f>
        <v>32.451920000000001</v>
      </c>
      <c r="CY41">
        <f>AD41</f>
        <v>278.5</v>
      </c>
      <c r="CZ41">
        <f>AH41</f>
        <v>278.5</v>
      </c>
      <c r="DA41">
        <f>AL41</f>
        <v>1</v>
      </c>
      <c r="DB41">
        <f t="shared" si="5"/>
        <v>9953.59</v>
      </c>
      <c r="DC41">
        <f t="shared" si="6"/>
        <v>0</v>
      </c>
    </row>
    <row r="42" spans="1:107">
      <c r="A42">
        <f>ROW(Source!A88)</f>
        <v>88</v>
      </c>
      <c r="B42">
        <v>35841400</v>
      </c>
      <c r="C42">
        <v>35844448</v>
      </c>
      <c r="D42">
        <v>121548</v>
      </c>
      <c r="E42">
        <v>1</v>
      </c>
      <c r="F42">
        <v>1</v>
      </c>
      <c r="G42">
        <v>1</v>
      </c>
      <c r="H42">
        <v>1</v>
      </c>
      <c r="I42" t="s">
        <v>212</v>
      </c>
      <c r="J42" t="s">
        <v>3</v>
      </c>
      <c r="K42" t="s">
        <v>374</v>
      </c>
      <c r="L42">
        <v>608254</v>
      </c>
      <c r="N42">
        <v>1013</v>
      </c>
      <c r="O42" t="s">
        <v>375</v>
      </c>
      <c r="P42" t="s">
        <v>375</v>
      </c>
      <c r="Q42">
        <v>1</v>
      </c>
      <c r="W42">
        <v>0</v>
      </c>
      <c r="X42">
        <v>-185737400</v>
      </c>
      <c r="Y42">
        <v>0.18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1</v>
      </c>
      <c r="AJ42">
        <v>1</v>
      </c>
      <c r="AK42">
        <v>1</v>
      </c>
      <c r="AL42">
        <v>1</v>
      </c>
      <c r="AN42">
        <v>0</v>
      </c>
      <c r="AO42">
        <v>1</v>
      </c>
      <c r="AP42">
        <v>0</v>
      </c>
      <c r="AQ42">
        <v>0</v>
      </c>
      <c r="AR42">
        <v>0</v>
      </c>
      <c r="AS42" t="s">
        <v>3</v>
      </c>
      <c r="AT42">
        <v>0.18</v>
      </c>
      <c r="AU42" t="s">
        <v>3</v>
      </c>
      <c r="AV42">
        <v>2</v>
      </c>
      <c r="AW42">
        <v>2</v>
      </c>
      <c r="AX42">
        <v>36150944</v>
      </c>
      <c r="AY42">
        <v>1</v>
      </c>
      <c r="AZ42">
        <v>0</v>
      </c>
      <c r="BA42">
        <v>40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CX42">
        <f>Y42*Source!I88</f>
        <v>0.16344</v>
      </c>
      <c r="CY42">
        <f>AD42</f>
        <v>0</v>
      </c>
      <c r="CZ42">
        <f>AH42</f>
        <v>0</v>
      </c>
      <c r="DA42">
        <f>AL42</f>
        <v>1</v>
      </c>
      <c r="DB42">
        <f t="shared" si="5"/>
        <v>0</v>
      </c>
      <c r="DC42">
        <f t="shared" si="6"/>
        <v>0</v>
      </c>
    </row>
    <row r="43" spans="1:107">
      <c r="A43">
        <f>ROW(Source!A88)</f>
        <v>88</v>
      </c>
      <c r="B43">
        <v>35841400</v>
      </c>
      <c r="C43">
        <v>35844448</v>
      </c>
      <c r="D43">
        <v>29172556</v>
      </c>
      <c r="E43">
        <v>1</v>
      </c>
      <c r="F43">
        <v>1</v>
      </c>
      <c r="G43">
        <v>1</v>
      </c>
      <c r="H43">
        <v>2</v>
      </c>
      <c r="I43" t="s">
        <v>376</v>
      </c>
      <c r="J43" t="s">
        <v>377</v>
      </c>
      <c r="K43" t="s">
        <v>378</v>
      </c>
      <c r="L43">
        <v>1368</v>
      </c>
      <c r="N43">
        <v>1011</v>
      </c>
      <c r="O43" t="s">
        <v>379</v>
      </c>
      <c r="P43" t="s">
        <v>379</v>
      </c>
      <c r="Q43">
        <v>1</v>
      </c>
      <c r="W43">
        <v>0</v>
      </c>
      <c r="X43">
        <v>-1302720870</v>
      </c>
      <c r="Y43">
        <v>0.18</v>
      </c>
      <c r="AA43">
        <v>0</v>
      </c>
      <c r="AB43">
        <v>466.71</v>
      </c>
      <c r="AC43">
        <v>446.18</v>
      </c>
      <c r="AD43">
        <v>0</v>
      </c>
      <c r="AE43">
        <v>0</v>
      </c>
      <c r="AF43">
        <v>31.26</v>
      </c>
      <c r="AG43">
        <v>13.5</v>
      </c>
      <c r="AH43">
        <v>0</v>
      </c>
      <c r="AI43">
        <v>1</v>
      </c>
      <c r="AJ43">
        <v>14.93</v>
      </c>
      <c r="AK43">
        <v>33.049999999999997</v>
      </c>
      <c r="AL43">
        <v>1</v>
      </c>
      <c r="AN43">
        <v>0</v>
      </c>
      <c r="AO43">
        <v>1</v>
      </c>
      <c r="AP43">
        <v>0</v>
      </c>
      <c r="AQ43">
        <v>0</v>
      </c>
      <c r="AR43">
        <v>0</v>
      </c>
      <c r="AS43" t="s">
        <v>3</v>
      </c>
      <c r="AT43">
        <v>0.18</v>
      </c>
      <c r="AU43" t="s">
        <v>3</v>
      </c>
      <c r="AV43">
        <v>0</v>
      </c>
      <c r="AW43">
        <v>2</v>
      </c>
      <c r="AX43">
        <v>36150945</v>
      </c>
      <c r="AY43">
        <v>1</v>
      </c>
      <c r="AZ43">
        <v>0</v>
      </c>
      <c r="BA43">
        <v>41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CX43">
        <f>Y43*Source!I88</f>
        <v>0.16344</v>
      </c>
      <c r="CY43">
        <f>AB43</f>
        <v>466.71</v>
      </c>
      <c r="CZ43">
        <f>AF43</f>
        <v>31.26</v>
      </c>
      <c r="DA43">
        <f>AJ43</f>
        <v>14.93</v>
      </c>
      <c r="DB43">
        <f t="shared" si="5"/>
        <v>5.63</v>
      </c>
      <c r="DC43">
        <f t="shared" si="6"/>
        <v>2.4300000000000002</v>
      </c>
    </row>
    <row r="44" spans="1:107">
      <c r="A44">
        <f>ROW(Source!A88)</f>
        <v>88</v>
      </c>
      <c r="B44">
        <v>35841400</v>
      </c>
      <c r="C44">
        <v>35844448</v>
      </c>
      <c r="D44">
        <v>29174591</v>
      </c>
      <c r="E44">
        <v>1</v>
      </c>
      <c r="F44">
        <v>1</v>
      </c>
      <c r="G44">
        <v>1</v>
      </c>
      <c r="H44">
        <v>2</v>
      </c>
      <c r="I44" t="s">
        <v>428</v>
      </c>
      <c r="J44" t="s">
        <v>429</v>
      </c>
      <c r="K44" t="s">
        <v>430</v>
      </c>
      <c r="L44">
        <v>1368</v>
      </c>
      <c r="N44">
        <v>1011</v>
      </c>
      <c r="O44" t="s">
        <v>379</v>
      </c>
      <c r="P44" t="s">
        <v>379</v>
      </c>
      <c r="Q44">
        <v>1</v>
      </c>
      <c r="W44">
        <v>0</v>
      </c>
      <c r="X44">
        <v>1598042632</v>
      </c>
      <c r="Y44">
        <v>0.32</v>
      </c>
      <c r="AA44">
        <v>0</v>
      </c>
      <c r="AB44">
        <v>9.4700000000000006</v>
      </c>
      <c r="AC44">
        <v>0</v>
      </c>
      <c r="AD44">
        <v>0</v>
      </c>
      <c r="AE44">
        <v>0</v>
      </c>
      <c r="AF44">
        <v>0.95</v>
      </c>
      <c r="AG44">
        <v>0</v>
      </c>
      <c r="AH44">
        <v>0</v>
      </c>
      <c r="AI44">
        <v>1</v>
      </c>
      <c r="AJ44">
        <v>9.9700000000000006</v>
      </c>
      <c r="AK44">
        <v>33.049999999999997</v>
      </c>
      <c r="AL44">
        <v>1</v>
      </c>
      <c r="AN44">
        <v>0</v>
      </c>
      <c r="AO44">
        <v>1</v>
      </c>
      <c r="AP44">
        <v>0</v>
      </c>
      <c r="AQ44">
        <v>0</v>
      </c>
      <c r="AR44">
        <v>0</v>
      </c>
      <c r="AS44" t="s">
        <v>3</v>
      </c>
      <c r="AT44">
        <v>0.32</v>
      </c>
      <c r="AU44" t="s">
        <v>3</v>
      </c>
      <c r="AV44">
        <v>0</v>
      </c>
      <c r="AW44">
        <v>2</v>
      </c>
      <c r="AX44">
        <v>36150946</v>
      </c>
      <c r="AY44">
        <v>1</v>
      </c>
      <c r="AZ44">
        <v>0</v>
      </c>
      <c r="BA44">
        <v>42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CX44">
        <f>Y44*Source!I88</f>
        <v>0.29056000000000004</v>
      </c>
      <c r="CY44">
        <f>AB44</f>
        <v>9.4700000000000006</v>
      </c>
      <c r="CZ44">
        <f>AF44</f>
        <v>0.95</v>
      </c>
      <c r="DA44">
        <f>AJ44</f>
        <v>9.9700000000000006</v>
      </c>
      <c r="DB44">
        <f t="shared" si="5"/>
        <v>0.3</v>
      </c>
      <c r="DC44">
        <f t="shared" si="6"/>
        <v>0</v>
      </c>
    </row>
    <row r="45" spans="1:107">
      <c r="A45">
        <f>ROW(Source!A88)</f>
        <v>88</v>
      </c>
      <c r="B45">
        <v>35841400</v>
      </c>
      <c r="C45">
        <v>35844448</v>
      </c>
      <c r="D45">
        <v>29174913</v>
      </c>
      <c r="E45">
        <v>1</v>
      </c>
      <c r="F45">
        <v>1</v>
      </c>
      <c r="G45">
        <v>1</v>
      </c>
      <c r="H45">
        <v>2</v>
      </c>
      <c r="I45" t="s">
        <v>394</v>
      </c>
      <c r="J45" t="s">
        <v>395</v>
      </c>
      <c r="K45" t="s">
        <v>396</v>
      </c>
      <c r="L45">
        <v>1368</v>
      </c>
      <c r="N45">
        <v>1011</v>
      </c>
      <c r="O45" t="s">
        <v>379</v>
      </c>
      <c r="P45" t="s">
        <v>379</v>
      </c>
      <c r="Q45">
        <v>1</v>
      </c>
      <c r="W45">
        <v>0</v>
      </c>
      <c r="X45">
        <v>458544584</v>
      </c>
      <c r="Y45">
        <v>0.26</v>
      </c>
      <c r="AA45">
        <v>0</v>
      </c>
      <c r="AB45">
        <v>932.72</v>
      </c>
      <c r="AC45">
        <v>383.38</v>
      </c>
      <c r="AD45">
        <v>0</v>
      </c>
      <c r="AE45">
        <v>0</v>
      </c>
      <c r="AF45">
        <v>87.17</v>
      </c>
      <c r="AG45">
        <v>11.6</v>
      </c>
      <c r="AH45">
        <v>0</v>
      </c>
      <c r="AI45">
        <v>1</v>
      </c>
      <c r="AJ45">
        <v>10.7</v>
      </c>
      <c r="AK45">
        <v>33.049999999999997</v>
      </c>
      <c r="AL45">
        <v>1</v>
      </c>
      <c r="AN45">
        <v>0</v>
      </c>
      <c r="AO45">
        <v>1</v>
      </c>
      <c r="AP45">
        <v>0</v>
      </c>
      <c r="AQ45">
        <v>0</v>
      </c>
      <c r="AR45">
        <v>0</v>
      </c>
      <c r="AS45" t="s">
        <v>3</v>
      </c>
      <c r="AT45">
        <v>0.26</v>
      </c>
      <c r="AU45" t="s">
        <v>3</v>
      </c>
      <c r="AV45">
        <v>0</v>
      </c>
      <c r="AW45">
        <v>2</v>
      </c>
      <c r="AX45">
        <v>36150947</v>
      </c>
      <c r="AY45">
        <v>1</v>
      </c>
      <c r="AZ45">
        <v>0</v>
      </c>
      <c r="BA45">
        <v>43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CX45">
        <f>Y45*Source!I88</f>
        <v>0.23608000000000001</v>
      </c>
      <c r="CY45">
        <f>AB45</f>
        <v>932.72</v>
      </c>
      <c r="CZ45">
        <f>AF45</f>
        <v>87.17</v>
      </c>
      <c r="DA45">
        <f>AJ45</f>
        <v>10.7</v>
      </c>
      <c r="DB45">
        <f t="shared" si="5"/>
        <v>22.66</v>
      </c>
      <c r="DC45">
        <f t="shared" si="6"/>
        <v>3.02</v>
      </c>
    </row>
    <row r="46" spans="1:107">
      <c r="A46">
        <f>ROW(Source!A88)</f>
        <v>88</v>
      </c>
      <c r="B46">
        <v>35841400</v>
      </c>
      <c r="C46">
        <v>35844448</v>
      </c>
      <c r="D46">
        <v>29109162</v>
      </c>
      <c r="E46">
        <v>1</v>
      </c>
      <c r="F46">
        <v>1</v>
      </c>
      <c r="G46">
        <v>1</v>
      </c>
      <c r="H46">
        <v>3</v>
      </c>
      <c r="I46" t="s">
        <v>431</v>
      </c>
      <c r="J46" t="s">
        <v>432</v>
      </c>
      <c r="K46" t="s">
        <v>433</v>
      </c>
      <c r="L46">
        <v>1327</v>
      </c>
      <c r="N46">
        <v>1005</v>
      </c>
      <c r="O46" t="s">
        <v>183</v>
      </c>
      <c r="P46" t="s">
        <v>183</v>
      </c>
      <c r="Q46">
        <v>1</v>
      </c>
      <c r="W46">
        <v>0</v>
      </c>
      <c r="X46">
        <v>2002905425</v>
      </c>
      <c r="Y46">
        <v>21</v>
      </c>
      <c r="AA46">
        <v>33.75</v>
      </c>
      <c r="AB46">
        <v>0</v>
      </c>
      <c r="AC46">
        <v>0</v>
      </c>
      <c r="AD46">
        <v>0</v>
      </c>
      <c r="AE46">
        <v>5.71</v>
      </c>
      <c r="AF46">
        <v>0</v>
      </c>
      <c r="AG46">
        <v>0</v>
      </c>
      <c r="AH46">
        <v>0</v>
      </c>
      <c r="AI46">
        <v>5.91</v>
      </c>
      <c r="AJ46">
        <v>1</v>
      </c>
      <c r="AK46">
        <v>1</v>
      </c>
      <c r="AL46">
        <v>1</v>
      </c>
      <c r="AN46">
        <v>0</v>
      </c>
      <c r="AO46">
        <v>1</v>
      </c>
      <c r="AP46">
        <v>0</v>
      </c>
      <c r="AQ46">
        <v>0</v>
      </c>
      <c r="AR46">
        <v>0</v>
      </c>
      <c r="AS46" t="s">
        <v>3</v>
      </c>
      <c r="AT46">
        <v>21</v>
      </c>
      <c r="AU46" t="s">
        <v>3</v>
      </c>
      <c r="AV46">
        <v>0</v>
      </c>
      <c r="AW46">
        <v>2</v>
      </c>
      <c r="AX46">
        <v>36150948</v>
      </c>
      <c r="AY46">
        <v>1</v>
      </c>
      <c r="AZ46">
        <v>0</v>
      </c>
      <c r="BA46">
        <v>44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CX46">
        <f>Y46*Source!I88</f>
        <v>19.068000000000001</v>
      </c>
      <c r="CY46">
        <f>AA46</f>
        <v>33.75</v>
      </c>
      <c r="CZ46">
        <f>AE46</f>
        <v>5.71</v>
      </c>
      <c r="DA46">
        <f>AI46</f>
        <v>5.91</v>
      </c>
      <c r="DB46">
        <f t="shared" si="5"/>
        <v>119.91</v>
      </c>
      <c r="DC46">
        <f t="shared" si="6"/>
        <v>0</v>
      </c>
    </row>
    <row r="47" spans="1:107">
      <c r="A47">
        <f>ROW(Source!A88)</f>
        <v>88</v>
      </c>
      <c r="B47">
        <v>35841400</v>
      </c>
      <c r="C47">
        <v>35844448</v>
      </c>
      <c r="D47">
        <v>29131086</v>
      </c>
      <c r="E47">
        <v>1</v>
      </c>
      <c r="F47">
        <v>1</v>
      </c>
      <c r="G47">
        <v>1</v>
      </c>
      <c r="H47">
        <v>3</v>
      </c>
      <c r="I47" t="s">
        <v>434</v>
      </c>
      <c r="J47" t="s">
        <v>435</v>
      </c>
      <c r="K47" t="s">
        <v>436</v>
      </c>
      <c r="L47">
        <v>1339</v>
      </c>
      <c r="N47">
        <v>1007</v>
      </c>
      <c r="O47" t="s">
        <v>391</v>
      </c>
      <c r="P47" t="s">
        <v>391</v>
      </c>
      <c r="Q47">
        <v>1</v>
      </c>
      <c r="W47">
        <v>0</v>
      </c>
      <c r="X47">
        <v>135382931</v>
      </c>
      <c r="Y47">
        <v>0.82</v>
      </c>
      <c r="AA47">
        <v>6560.13</v>
      </c>
      <c r="AB47">
        <v>0</v>
      </c>
      <c r="AC47">
        <v>0</v>
      </c>
      <c r="AD47">
        <v>0</v>
      </c>
      <c r="AE47">
        <v>1970.01</v>
      </c>
      <c r="AF47">
        <v>0</v>
      </c>
      <c r="AG47">
        <v>0</v>
      </c>
      <c r="AH47">
        <v>0</v>
      </c>
      <c r="AI47">
        <v>3.33</v>
      </c>
      <c r="AJ47">
        <v>1</v>
      </c>
      <c r="AK47">
        <v>1</v>
      </c>
      <c r="AL47">
        <v>1</v>
      </c>
      <c r="AN47">
        <v>0</v>
      </c>
      <c r="AO47">
        <v>1</v>
      </c>
      <c r="AP47">
        <v>0</v>
      </c>
      <c r="AQ47">
        <v>0</v>
      </c>
      <c r="AR47">
        <v>0</v>
      </c>
      <c r="AS47" t="s">
        <v>3</v>
      </c>
      <c r="AT47">
        <v>0.82</v>
      </c>
      <c r="AU47" t="s">
        <v>3</v>
      </c>
      <c r="AV47">
        <v>0</v>
      </c>
      <c r="AW47">
        <v>2</v>
      </c>
      <c r="AX47">
        <v>36150949</v>
      </c>
      <c r="AY47">
        <v>1</v>
      </c>
      <c r="AZ47">
        <v>0</v>
      </c>
      <c r="BA47">
        <v>45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CX47">
        <f>Y47*Source!I88</f>
        <v>0.74456</v>
      </c>
      <c r="CY47">
        <f>AA47</f>
        <v>6560.13</v>
      </c>
      <c r="CZ47">
        <f>AE47</f>
        <v>1970.01</v>
      </c>
      <c r="DA47">
        <f>AI47</f>
        <v>3.33</v>
      </c>
      <c r="DB47">
        <f t="shared" si="5"/>
        <v>1615.41</v>
      </c>
      <c r="DC47">
        <f t="shared" si="6"/>
        <v>0</v>
      </c>
    </row>
    <row r="48" spans="1:107">
      <c r="A48">
        <f>ROW(Source!A89)</f>
        <v>89</v>
      </c>
      <c r="B48">
        <v>35841400</v>
      </c>
      <c r="C48">
        <v>35844576</v>
      </c>
      <c r="D48">
        <v>18407150</v>
      </c>
      <c r="E48">
        <v>1</v>
      </c>
      <c r="F48">
        <v>1</v>
      </c>
      <c r="G48">
        <v>1</v>
      </c>
      <c r="H48">
        <v>1</v>
      </c>
      <c r="I48" t="s">
        <v>426</v>
      </c>
      <c r="J48" t="s">
        <v>3</v>
      </c>
      <c r="K48" t="s">
        <v>427</v>
      </c>
      <c r="L48">
        <v>1369</v>
      </c>
      <c r="N48">
        <v>1013</v>
      </c>
      <c r="O48" t="s">
        <v>369</v>
      </c>
      <c r="P48" t="s">
        <v>369</v>
      </c>
      <c r="Q48">
        <v>1</v>
      </c>
      <c r="W48">
        <v>0</v>
      </c>
      <c r="X48">
        <v>-931037793</v>
      </c>
      <c r="Y48">
        <v>69.827999999999989</v>
      </c>
      <c r="AA48">
        <v>0</v>
      </c>
      <c r="AB48">
        <v>0</v>
      </c>
      <c r="AC48">
        <v>0</v>
      </c>
      <c r="AD48">
        <v>278.5</v>
      </c>
      <c r="AE48">
        <v>0</v>
      </c>
      <c r="AF48">
        <v>0</v>
      </c>
      <c r="AG48">
        <v>0</v>
      </c>
      <c r="AH48">
        <v>278.5</v>
      </c>
      <c r="AI48">
        <v>1</v>
      </c>
      <c r="AJ48">
        <v>1</v>
      </c>
      <c r="AK48">
        <v>1</v>
      </c>
      <c r="AL48">
        <v>1</v>
      </c>
      <c r="AN48">
        <v>0</v>
      </c>
      <c r="AO48">
        <v>1</v>
      </c>
      <c r="AP48">
        <v>1</v>
      </c>
      <c r="AQ48">
        <v>0</v>
      </c>
      <c r="AR48">
        <v>0</v>
      </c>
      <c r="AS48" t="s">
        <v>3</v>
      </c>
      <c r="AT48">
        <v>60.72</v>
      </c>
      <c r="AU48" t="s">
        <v>147</v>
      </c>
      <c r="AV48">
        <v>1</v>
      </c>
      <c r="AW48">
        <v>2</v>
      </c>
      <c r="AX48">
        <v>35844577</v>
      </c>
      <c r="AY48">
        <v>1</v>
      </c>
      <c r="AZ48">
        <v>0</v>
      </c>
      <c r="BA48">
        <v>46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CX48">
        <f>Y48*Source!I89</f>
        <v>63.403823999999993</v>
      </c>
      <c r="CY48">
        <f>AD48</f>
        <v>278.5</v>
      </c>
      <c r="CZ48">
        <f>AH48</f>
        <v>278.5</v>
      </c>
      <c r="DA48">
        <f>AL48</f>
        <v>1</v>
      </c>
      <c r="DB48">
        <f>ROUND((ROUND(AT48*CZ48,2)*1.15),6)</f>
        <v>19447.098000000002</v>
      </c>
      <c r="DC48">
        <f>ROUND((ROUND(AT48*AG48,2)*1.15),6)</f>
        <v>0</v>
      </c>
    </row>
    <row r="49" spans="1:107">
      <c r="A49">
        <f>ROW(Source!A89)</f>
        <v>89</v>
      </c>
      <c r="B49">
        <v>35841400</v>
      </c>
      <c r="C49">
        <v>35844576</v>
      </c>
      <c r="D49">
        <v>121548</v>
      </c>
      <c r="E49">
        <v>1</v>
      </c>
      <c r="F49">
        <v>1</v>
      </c>
      <c r="G49">
        <v>1</v>
      </c>
      <c r="H49">
        <v>1</v>
      </c>
      <c r="I49" t="s">
        <v>212</v>
      </c>
      <c r="J49" t="s">
        <v>3</v>
      </c>
      <c r="K49" t="s">
        <v>374</v>
      </c>
      <c r="L49">
        <v>608254</v>
      </c>
      <c r="N49">
        <v>1013</v>
      </c>
      <c r="O49" t="s">
        <v>375</v>
      </c>
      <c r="P49" t="s">
        <v>375</v>
      </c>
      <c r="Q49">
        <v>1</v>
      </c>
      <c r="W49">
        <v>0</v>
      </c>
      <c r="X49">
        <v>-185737400</v>
      </c>
      <c r="Y49">
        <v>0.72499999999999998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1</v>
      </c>
      <c r="AJ49">
        <v>1</v>
      </c>
      <c r="AK49">
        <v>1</v>
      </c>
      <c r="AL49">
        <v>1</v>
      </c>
      <c r="AN49">
        <v>0</v>
      </c>
      <c r="AO49">
        <v>1</v>
      </c>
      <c r="AP49">
        <v>1</v>
      </c>
      <c r="AQ49">
        <v>0</v>
      </c>
      <c r="AR49">
        <v>0</v>
      </c>
      <c r="AS49" t="s">
        <v>3</v>
      </c>
      <c r="AT49">
        <v>0.57999999999999996</v>
      </c>
      <c r="AU49" t="s">
        <v>146</v>
      </c>
      <c r="AV49">
        <v>2</v>
      </c>
      <c r="AW49">
        <v>2</v>
      </c>
      <c r="AX49">
        <v>35844578</v>
      </c>
      <c r="AY49">
        <v>1</v>
      </c>
      <c r="AZ49">
        <v>0</v>
      </c>
      <c r="BA49">
        <v>47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CX49">
        <f>Y49*Source!I89</f>
        <v>0.6583</v>
      </c>
      <c r="CY49">
        <f>AD49</f>
        <v>0</v>
      </c>
      <c r="CZ49">
        <f>AH49</f>
        <v>0</v>
      </c>
      <c r="DA49">
        <f>AL49</f>
        <v>1</v>
      </c>
      <c r="DB49">
        <f>ROUND((ROUND(AT49*CZ49,2)*1.25),6)</f>
        <v>0</v>
      </c>
      <c r="DC49">
        <f>ROUND((ROUND(AT49*AG49,2)*1.25),6)</f>
        <v>0</v>
      </c>
    </row>
    <row r="50" spans="1:107">
      <c r="A50">
        <f>ROW(Source!A89)</f>
        <v>89</v>
      </c>
      <c r="B50">
        <v>35841400</v>
      </c>
      <c r="C50">
        <v>35844576</v>
      </c>
      <c r="D50">
        <v>29172556</v>
      </c>
      <c r="E50">
        <v>1</v>
      </c>
      <c r="F50">
        <v>1</v>
      </c>
      <c r="G50">
        <v>1</v>
      </c>
      <c r="H50">
        <v>2</v>
      </c>
      <c r="I50" t="s">
        <v>376</v>
      </c>
      <c r="J50" t="s">
        <v>377</v>
      </c>
      <c r="K50" t="s">
        <v>378</v>
      </c>
      <c r="L50">
        <v>1368</v>
      </c>
      <c r="N50">
        <v>1011</v>
      </c>
      <c r="O50" t="s">
        <v>379</v>
      </c>
      <c r="P50" t="s">
        <v>379</v>
      </c>
      <c r="Q50">
        <v>1</v>
      </c>
      <c r="W50">
        <v>0</v>
      </c>
      <c r="X50">
        <v>-1302720870</v>
      </c>
      <c r="Y50">
        <v>0.72499999999999998</v>
      </c>
      <c r="AA50">
        <v>0</v>
      </c>
      <c r="AB50">
        <v>466.71</v>
      </c>
      <c r="AC50">
        <v>446.18</v>
      </c>
      <c r="AD50">
        <v>0</v>
      </c>
      <c r="AE50">
        <v>0</v>
      </c>
      <c r="AF50">
        <v>31.26</v>
      </c>
      <c r="AG50">
        <v>13.5</v>
      </c>
      <c r="AH50">
        <v>0</v>
      </c>
      <c r="AI50">
        <v>1</v>
      </c>
      <c r="AJ50">
        <v>14.93</v>
      </c>
      <c r="AK50">
        <v>33.049999999999997</v>
      </c>
      <c r="AL50">
        <v>1</v>
      </c>
      <c r="AN50">
        <v>0</v>
      </c>
      <c r="AO50">
        <v>1</v>
      </c>
      <c r="AP50">
        <v>1</v>
      </c>
      <c r="AQ50">
        <v>0</v>
      </c>
      <c r="AR50">
        <v>0</v>
      </c>
      <c r="AS50" t="s">
        <v>3</v>
      </c>
      <c r="AT50">
        <v>0.57999999999999996</v>
      </c>
      <c r="AU50" t="s">
        <v>146</v>
      </c>
      <c r="AV50">
        <v>0</v>
      </c>
      <c r="AW50">
        <v>2</v>
      </c>
      <c r="AX50">
        <v>35844579</v>
      </c>
      <c r="AY50">
        <v>1</v>
      </c>
      <c r="AZ50">
        <v>0</v>
      </c>
      <c r="BA50">
        <v>48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CX50">
        <f>Y50*Source!I89</f>
        <v>0.6583</v>
      </c>
      <c r="CY50">
        <f>AB50</f>
        <v>466.71</v>
      </c>
      <c r="CZ50">
        <f>AF50</f>
        <v>31.26</v>
      </c>
      <c r="DA50">
        <f>AJ50</f>
        <v>14.93</v>
      </c>
      <c r="DB50">
        <f>ROUND((ROUND(AT50*CZ50,2)*1.25),6)</f>
        <v>22.662500000000001</v>
      </c>
      <c r="DC50">
        <f>ROUND((ROUND(AT50*AG50,2)*1.25),6)</f>
        <v>9.7874999999999996</v>
      </c>
    </row>
    <row r="51" spans="1:107">
      <c r="A51">
        <f>ROW(Source!A89)</f>
        <v>89</v>
      </c>
      <c r="B51">
        <v>35841400</v>
      </c>
      <c r="C51">
        <v>35844576</v>
      </c>
      <c r="D51">
        <v>29174591</v>
      </c>
      <c r="E51">
        <v>1</v>
      </c>
      <c r="F51">
        <v>1</v>
      </c>
      <c r="G51">
        <v>1</v>
      </c>
      <c r="H51">
        <v>2</v>
      </c>
      <c r="I51" t="s">
        <v>428</v>
      </c>
      <c r="J51" t="s">
        <v>429</v>
      </c>
      <c r="K51" t="s">
        <v>430</v>
      </c>
      <c r="L51">
        <v>1368</v>
      </c>
      <c r="N51">
        <v>1011</v>
      </c>
      <c r="O51" t="s">
        <v>379</v>
      </c>
      <c r="P51" t="s">
        <v>379</v>
      </c>
      <c r="Q51">
        <v>1</v>
      </c>
      <c r="W51">
        <v>0</v>
      </c>
      <c r="X51">
        <v>1598042632</v>
      </c>
      <c r="Y51">
        <v>1.0249999999999999</v>
      </c>
      <c r="AA51">
        <v>0</v>
      </c>
      <c r="AB51">
        <v>9.4700000000000006</v>
      </c>
      <c r="AC51">
        <v>0</v>
      </c>
      <c r="AD51">
        <v>0</v>
      </c>
      <c r="AE51">
        <v>0</v>
      </c>
      <c r="AF51">
        <v>0.95</v>
      </c>
      <c r="AG51">
        <v>0</v>
      </c>
      <c r="AH51">
        <v>0</v>
      </c>
      <c r="AI51">
        <v>1</v>
      </c>
      <c r="AJ51">
        <v>9.9700000000000006</v>
      </c>
      <c r="AK51">
        <v>33.049999999999997</v>
      </c>
      <c r="AL51">
        <v>1</v>
      </c>
      <c r="AN51">
        <v>0</v>
      </c>
      <c r="AO51">
        <v>1</v>
      </c>
      <c r="AP51">
        <v>1</v>
      </c>
      <c r="AQ51">
        <v>0</v>
      </c>
      <c r="AR51">
        <v>0</v>
      </c>
      <c r="AS51" t="s">
        <v>3</v>
      </c>
      <c r="AT51">
        <v>0.82</v>
      </c>
      <c r="AU51" t="s">
        <v>146</v>
      </c>
      <c r="AV51">
        <v>0</v>
      </c>
      <c r="AW51">
        <v>2</v>
      </c>
      <c r="AX51">
        <v>35844580</v>
      </c>
      <c r="AY51">
        <v>1</v>
      </c>
      <c r="AZ51">
        <v>0</v>
      </c>
      <c r="BA51">
        <v>49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CX51">
        <f>Y51*Source!I89</f>
        <v>0.93069999999999997</v>
      </c>
      <c r="CY51">
        <f>AB51</f>
        <v>9.4700000000000006</v>
      </c>
      <c r="CZ51">
        <f>AF51</f>
        <v>0.95</v>
      </c>
      <c r="DA51">
        <f>AJ51</f>
        <v>9.9700000000000006</v>
      </c>
      <c r="DB51">
        <f>ROUND((ROUND(AT51*CZ51,2)*1.25),6)</f>
        <v>0.97499999999999998</v>
      </c>
      <c r="DC51">
        <f>ROUND((ROUND(AT51*AG51,2)*1.25),6)</f>
        <v>0</v>
      </c>
    </row>
    <row r="52" spans="1:107">
      <c r="A52">
        <f>ROW(Source!A89)</f>
        <v>89</v>
      </c>
      <c r="B52">
        <v>35841400</v>
      </c>
      <c r="C52">
        <v>35844576</v>
      </c>
      <c r="D52">
        <v>29174661</v>
      </c>
      <c r="E52">
        <v>1</v>
      </c>
      <c r="F52">
        <v>1</v>
      </c>
      <c r="G52">
        <v>1</v>
      </c>
      <c r="H52">
        <v>2</v>
      </c>
      <c r="I52" t="s">
        <v>437</v>
      </c>
      <c r="J52" t="s">
        <v>438</v>
      </c>
      <c r="K52" t="s">
        <v>439</v>
      </c>
      <c r="L52">
        <v>1368</v>
      </c>
      <c r="N52">
        <v>1011</v>
      </c>
      <c r="O52" t="s">
        <v>379</v>
      </c>
      <c r="P52" t="s">
        <v>379</v>
      </c>
      <c r="Q52">
        <v>1</v>
      </c>
      <c r="W52">
        <v>0</v>
      </c>
      <c r="X52">
        <v>-2115030577</v>
      </c>
      <c r="Y52">
        <v>3.375</v>
      </c>
      <c r="AA52">
        <v>0</v>
      </c>
      <c r="AB52">
        <v>25.44</v>
      </c>
      <c r="AC52">
        <v>0</v>
      </c>
      <c r="AD52">
        <v>0</v>
      </c>
      <c r="AE52">
        <v>0</v>
      </c>
      <c r="AF52">
        <v>2.09</v>
      </c>
      <c r="AG52">
        <v>0</v>
      </c>
      <c r="AH52">
        <v>0</v>
      </c>
      <c r="AI52">
        <v>1</v>
      </c>
      <c r="AJ52">
        <v>12.17</v>
      </c>
      <c r="AK52">
        <v>33.049999999999997</v>
      </c>
      <c r="AL52">
        <v>1</v>
      </c>
      <c r="AN52">
        <v>0</v>
      </c>
      <c r="AO52">
        <v>1</v>
      </c>
      <c r="AP52">
        <v>1</v>
      </c>
      <c r="AQ52">
        <v>0</v>
      </c>
      <c r="AR52">
        <v>0</v>
      </c>
      <c r="AS52" t="s">
        <v>3</v>
      </c>
      <c r="AT52">
        <v>2.7</v>
      </c>
      <c r="AU52" t="s">
        <v>146</v>
      </c>
      <c r="AV52">
        <v>0</v>
      </c>
      <c r="AW52">
        <v>2</v>
      </c>
      <c r="AX52">
        <v>35844581</v>
      </c>
      <c r="AY52">
        <v>1</v>
      </c>
      <c r="AZ52">
        <v>0</v>
      </c>
      <c r="BA52">
        <v>50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CX52">
        <f>Y52*Source!I89</f>
        <v>3.0645000000000002</v>
      </c>
      <c r="CY52">
        <f>AB52</f>
        <v>25.44</v>
      </c>
      <c r="CZ52">
        <f>AF52</f>
        <v>2.09</v>
      </c>
      <c r="DA52">
        <f>AJ52</f>
        <v>12.17</v>
      </c>
      <c r="DB52">
        <f>ROUND((ROUND(AT52*CZ52,2)*1.25),6)</f>
        <v>7.05</v>
      </c>
      <c r="DC52">
        <f>ROUND((ROUND(AT52*AG52,2)*1.25),6)</f>
        <v>0</v>
      </c>
    </row>
    <row r="53" spans="1:107">
      <c r="A53">
        <f>ROW(Source!A89)</f>
        <v>89</v>
      </c>
      <c r="B53">
        <v>35841400</v>
      </c>
      <c r="C53">
        <v>35844576</v>
      </c>
      <c r="D53">
        <v>29174913</v>
      </c>
      <c r="E53">
        <v>1</v>
      </c>
      <c r="F53">
        <v>1</v>
      </c>
      <c r="G53">
        <v>1</v>
      </c>
      <c r="H53">
        <v>2</v>
      </c>
      <c r="I53" t="s">
        <v>394</v>
      </c>
      <c r="J53" t="s">
        <v>395</v>
      </c>
      <c r="K53" t="s">
        <v>396</v>
      </c>
      <c r="L53">
        <v>1368</v>
      </c>
      <c r="N53">
        <v>1011</v>
      </c>
      <c r="O53" t="s">
        <v>379</v>
      </c>
      <c r="P53" t="s">
        <v>379</v>
      </c>
      <c r="Q53">
        <v>1</v>
      </c>
      <c r="W53">
        <v>0</v>
      </c>
      <c r="X53">
        <v>458544584</v>
      </c>
      <c r="Y53">
        <v>1.05</v>
      </c>
      <c r="AA53">
        <v>0</v>
      </c>
      <c r="AB53">
        <v>932.72</v>
      </c>
      <c r="AC53">
        <v>383.38</v>
      </c>
      <c r="AD53">
        <v>0</v>
      </c>
      <c r="AE53">
        <v>0</v>
      </c>
      <c r="AF53">
        <v>87.17</v>
      </c>
      <c r="AG53">
        <v>11.6</v>
      </c>
      <c r="AH53">
        <v>0</v>
      </c>
      <c r="AI53">
        <v>1</v>
      </c>
      <c r="AJ53">
        <v>10.7</v>
      </c>
      <c r="AK53">
        <v>33.049999999999997</v>
      </c>
      <c r="AL53">
        <v>1</v>
      </c>
      <c r="AN53">
        <v>0</v>
      </c>
      <c r="AO53">
        <v>1</v>
      </c>
      <c r="AP53">
        <v>1</v>
      </c>
      <c r="AQ53">
        <v>0</v>
      </c>
      <c r="AR53">
        <v>0</v>
      </c>
      <c r="AS53" t="s">
        <v>3</v>
      </c>
      <c r="AT53">
        <v>0.84</v>
      </c>
      <c r="AU53" t="s">
        <v>146</v>
      </c>
      <c r="AV53">
        <v>0</v>
      </c>
      <c r="AW53">
        <v>2</v>
      </c>
      <c r="AX53">
        <v>35844582</v>
      </c>
      <c r="AY53">
        <v>1</v>
      </c>
      <c r="AZ53">
        <v>0</v>
      </c>
      <c r="BA53">
        <v>51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CX53">
        <f>Y53*Source!I89</f>
        <v>0.95340000000000003</v>
      </c>
      <c r="CY53">
        <f>AB53</f>
        <v>932.72</v>
      </c>
      <c r="CZ53">
        <f>AF53</f>
        <v>87.17</v>
      </c>
      <c r="DA53">
        <f>AJ53</f>
        <v>10.7</v>
      </c>
      <c r="DB53">
        <f>ROUND((ROUND(AT53*CZ53,2)*1.25),6)</f>
        <v>91.525000000000006</v>
      </c>
      <c r="DC53">
        <f>ROUND((ROUND(AT53*AG53,2)*1.25),6)</f>
        <v>12.175000000000001</v>
      </c>
    </row>
    <row r="54" spans="1:107">
      <c r="A54">
        <f>ROW(Source!A89)</f>
        <v>89</v>
      </c>
      <c r="B54">
        <v>35841400</v>
      </c>
      <c r="C54">
        <v>35844576</v>
      </c>
      <c r="D54">
        <v>29114332</v>
      </c>
      <c r="E54">
        <v>1</v>
      </c>
      <c r="F54">
        <v>1</v>
      </c>
      <c r="G54">
        <v>1</v>
      </c>
      <c r="H54">
        <v>3</v>
      </c>
      <c r="I54" t="s">
        <v>440</v>
      </c>
      <c r="J54" t="s">
        <v>441</v>
      </c>
      <c r="K54" t="s">
        <v>442</v>
      </c>
      <c r="L54">
        <v>1348</v>
      </c>
      <c r="N54">
        <v>1009</v>
      </c>
      <c r="O54" t="s">
        <v>27</v>
      </c>
      <c r="P54" t="s">
        <v>27</v>
      </c>
      <c r="Q54">
        <v>1000</v>
      </c>
      <c r="W54">
        <v>0</v>
      </c>
      <c r="X54">
        <v>233971917</v>
      </c>
      <c r="Y54">
        <v>1.23E-2</v>
      </c>
      <c r="AA54">
        <v>54619.68</v>
      </c>
      <c r="AB54">
        <v>0</v>
      </c>
      <c r="AC54">
        <v>0</v>
      </c>
      <c r="AD54">
        <v>0</v>
      </c>
      <c r="AE54">
        <v>11978</v>
      </c>
      <c r="AF54">
        <v>0</v>
      </c>
      <c r="AG54">
        <v>0</v>
      </c>
      <c r="AH54">
        <v>0</v>
      </c>
      <c r="AI54">
        <v>4.5599999999999996</v>
      </c>
      <c r="AJ54">
        <v>1</v>
      </c>
      <c r="AK54">
        <v>1</v>
      </c>
      <c r="AL54">
        <v>1</v>
      </c>
      <c r="AN54">
        <v>0</v>
      </c>
      <c r="AO54">
        <v>1</v>
      </c>
      <c r="AP54">
        <v>0</v>
      </c>
      <c r="AQ54">
        <v>0</v>
      </c>
      <c r="AR54">
        <v>0</v>
      </c>
      <c r="AS54" t="s">
        <v>3</v>
      </c>
      <c r="AT54">
        <v>1.23E-2</v>
      </c>
      <c r="AU54" t="s">
        <v>3</v>
      </c>
      <c r="AV54">
        <v>0</v>
      </c>
      <c r="AW54">
        <v>2</v>
      </c>
      <c r="AX54">
        <v>35844583</v>
      </c>
      <c r="AY54">
        <v>1</v>
      </c>
      <c r="AZ54">
        <v>0</v>
      </c>
      <c r="BA54">
        <v>52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CX54">
        <f>Y54*Source!I89</f>
        <v>1.11684E-2</v>
      </c>
      <c r="CY54">
        <f>AA54</f>
        <v>54619.68</v>
      </c>
      <c r="CZ54">
        <f>AE54</f>
        <v>11978</v>
      </c>
      <c r="DA54">
        <f>AI54</f>
        <v>4.5599999999999996</v>
      </c>
      <c r="DB54">
        <f>ROUND(ROUND(AT54*CZ54,2),6)</f>
        <v>147.33000000000001</v>
      </c>
      <c r="DC54">
        <f>ROUND(ROUND(AT54*AG54,2),6)</f>
        <v>0</v>
      </c>
    </row>
    <row r="55" spans="1:107">
      <c r="A55">
        <f>ROW(Source!A89)</f>
        <v>89</v>
      </c>
      <c r="B55">
        <v>35841400</v>
      </c>
      <c r="C55">
        <v>35844576</v>
      </c>
      <c r="D55">
        <v>29130788</v>
      </c>
      <c r="E55">
        <v>1</v>
      </c>
      <c r="F55">
        <v>1</v>
      </c>
      <c r="G55">
        <v>1</v>
      </c>
      <c r="H55">
        <v>3</v>
      </c>
      <c r="I55" t="s">
        <v>443</v>
      </c>
      <c r="J55" t="s">
        <v>444</v>
      </c>
      <c r="K55" t="s">
        <v>445</v>
      </c>
      <c r="L55">
        <v>1339</v>
      </c>
      <c r="N55">
        <v>1007</v>
      </c>
      <c r="O55" t="s">
        <v>391</v>
      </c>
      <c r="P55" t="s">
        <v>391</v>
      </c>
      <c r="Q55">
        <v>1</v>
      </c>
      <c r="W55">
        <v>0</v>
      </c>
      <c r="X55">
        <v>23409818</v>
      </c>
      <c r="Y55">
        <v>2.88</v>
      </c>
      <c r="AA55">
        <v>14208.11</v>
      </c>
      <c r="AB55">
        <v>0</v>
      </c>
      <c r="AC55">
        <v>0</v>
      </c>
      <c r="AD55">
        <v>0</v>
      </c>
      <c r="AE55">
        <v>2156.0100000000002</v>
      </c>
      <c r="AF55">
        <v>0</v>
      </c>
      <c r="AG55">
        <v>0</v>
      </c>
      <c r="AH55">
        <v>0</v>
      </c>
      <c r="AI55">
        <v>6.59</v>
      </c>
      <c r="AJ55">
        <v>1</v>
      </c>
      <c r="AK55">
        <v>1</v>
      </c>
      <c r="AL55">
        <v>1</v>
      </c>
      <c r="AN55">
        <v>0</v>
      </c>
      <c r="AO55">
        <v>1</v>
      </c>
      <c r="AP55">
        <v>0</v>
      </c>
      <c r="AQ55">
        <v>0</v>
      </c>
      <c r="AR55">
        <v>0</v>
      </c>
      <c r="AS55" t="s">
        <v>3</v>
      </c>
      <c r="AT55">
        <v>2.88</v>
      </c>
      <c r="AU55" t="s">
        <v>3</v>
      </c>
      <c r="AV55">
        <v>0</v>
      </c>
      <c r="AW55">
        <v>2</v>
      </c>
      <c r="AX55">
        <v>35844584</v>
      </c>
      <c r="AY55">
        <v>1</v>
      </c>
      <c r="AZ55">
        <v>0</v>
      </c>
      <c r="BA55">
        <v>53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CX55">
        <f>Y55*Source!I89</f>
        <v>2.61504</v>
      </c>
      <c r="CY55">
        <f>AA55</f>
        <v>14208.11</v>
      </c>
      <c r="CZ55">
        <f>AE55</f>
        <v>2156.0100000000002</v>
      </c>
      <c r="DA55">
        <f>AI55</f>
        <v>6.59</v>
      </c>
      <c r="DB55">
        <f>ROUND(ROUND(AT55*CZ55,2),6)</f>
        <v>6209.31</v>
      </c>
      <c r="DC55">
        <f>ROUND(ROUND(AT55*AG55,2),6)</f>
        <v>0</v>
      </c>
    </row>
    <row r="56" spans="1:107">
      <c r="A56">
        <f>ROW(Source!A90)</f>
        <v>90</v>
      </c>
      <c r="B56">
        <v>35841400</v>
      </c>
      <c r="C56">
        <v>35841652</v>
      </c>
      <c r="D56">
        <v>18408291</v>
      </c>
      <c r="E56">
        <v>1</v>
      </c>
      <c r="F56">
        <v>1</v>
      </c>
      <c r="G56">
        <v>1</v>
      </c>
      <c r="H56">
        <v>1</v>
      </c>
      <c r="I56" t="s">
        <v>370</v>
      </c>
      <c r="J56" t="s">
        <v>3</v>
      </c>
      <c r="K56" t="s">
        <v>371</v>
      </c>
      <c r="L56">
        <v>1369</v>
      </c>
      <c r="N56">
        <v>1013</v>
      </c>
      <c r="O56" t="s">
        <v>369</v>
      </c>
      <c r="P56" t="s">
        <v>369</v>
      </c>
      <c r="Q56">
        <v>1</v>
      </c>
      <c r="W56">
        <v>0</v>
      </c>
      <c r="X56">
        <v>1933892413</v>
      </c>
      <c r="Y56">
        <v>35.948999999999998</v>
      </c>
      <c r="AA56">
        <v>0</v>
      </c>
      <c r="AB56">
        <v>0</v>
      </c>
      <c r="AC56">
        <v>0</v>
      </c>
      <c r="AD56">
        <v>266.75</v>
      </c>
      <c r="AE56">
        <v>0</v>
      </c>
      <c r="AF56">
        <v>0</v>
      </c>
      <c r="AG56">
        <v>0</v>
      </c>
      <c r="AH56">
        <v>266.75</v>
      </c>
      <c r="AI56">
        <v>1</v>
      </c>
      <c r="AJ56">
        <v>1</v>
      </c>
      <c r="AK56">
        <v>1</v>
      </c>
      <c r="AL56">
        <v>1</v>
      </c>
      <c r="AN56">
        <v>0</v>
      </c>
      <c r="AO56">
        <v>1</v>
      </c>
      <c r="AP56">
        <v>1</v>
      </c>
      <c r="AQ56">
        <v>0</v>
      </c>
      <c r="AR56">
        <v>0</v>
      </c>
      <c r="AS56" t="s">
        <v>3</v>
      </c>
      <c r="AT56">
        <v>31.26</v>
      </c>
      <c r="AU56" t="s">
        <v>175</v>
      </c>
      <c r="AV56">
        <v>1</v>
      </c>
      <c r="AW56">
        <v>2</v>
      </c>
      <c r="AX56">
        <v>35841660</v>
      </c>
      <c r="AY56">
        <v>2</v>
      </c>
      <c r="AZ56">
        <v>131072</v>
      </c>
      <c r="BA56">
        <v>54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CX56">
        <f>Y56*Source!I90</f>
        <v>32.641691999999999</v>
      </c>
      <c r="CY56">
        <f>AD56</f>
        <v>266.75</v>
      </c>
      <c r="CZ56">
        <f>AH56</f>
        <v>266.75</v>
      </c>
      <c r="DA56">
        <f>AL56</f>
        <v>1</v>
      </c>
      <c r="DB56">
        <f>ROUND((ROUND(AT56*CZ56,2)*1.15),6)</f>
        <v>9589.4014999999999</v>
      </c>
      <c r="DC56">
        <f>ROUND((ROUND(AT56*AG56,2)*1.15),6)</f>
        <v>0</v>
      </c>
    </row>
    <row r="57" spans="1:107">
      <c r="A57">
        <f>ROW(Source!A90)</f>
        <v>90</v>
      </c>
      <c r="B57">
        <v>35841400</v>
      </c>
      <c r="C57">
        <v>35841652</v>
      </c>
      <c r="D57">
        <v>121548</v>
      </c>
      <c r="E57">
        <v>1</v>
      </c>
      <c r="F57">
        <v>1</v>
      </c>
      <c r="G57">
        <v>1</v>
      </c>
      <c r="H57">
        <v>1</v>
      </c>
      <c r="I57" t="s">
        <v>212</v>
      </c>
      <c r="J57" t="s">
        <v>3</v>
      </c>
      <c r="K57" t="s">
        <v>374</v>
      </c>
      <c r="L57">
        <v>608254</v>
      </c>
      <c r="N57">
        <v>1013</v>
      </c>
      <c r="O57" t="s">
        <v>375</v>
      </c>
      <c r="P57" t="s">
        <v>375</v>
      </c>
      <c r="Q57">
        <v>1</v>
      </c>
      <c r="W57">
        <v>0</v>
      </c>
      <c r="X57">
        <v>-185737400</v>
      </c>
      <c r="Y57">
        <v>8.375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1</v>
      </c>
      <c r="AJ57">
        <v>1</v>
      </c>
      <c r="AK57">
        <v>1</v>
      </c>
      <c r="AL57">
        <v>1</v>
      </c>
      <c r="AN57">
        <v>0</v>
      </c>
      <c r="AO57">
        <v>1</v>
      </c>
      <c r="AP57">
        <v>1</v>
      </c>
      <c r="AQ57">
        <v>0</v>
      </c>
      <c r="AR57">
        <v>0</v>
      </c>
      <c r="AS57" t="s">
        <v>3</v>
      </c>
      <c r="AT57">
        <v>6.7</v>
      </c>
      <c r="AU57" t="s">
        <v>174</v>
      </c>
      <c r="AV57">
        <v>2</v>
      </c>
      <c r="AW57">
        <v>2</v>
      </c>
      <c r="AX57">
        <v>35841661</v>
      </c>
      <c r="AY57">
        <v>1</v>
      </c>
      <c r="AZ57">
        <v>0</v>
      </c>
      <c r="BA57">
        <v>55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CX57">
        <f>Y57*Source!I90</f>
        <v>7.6044999999999998</v>
      </c>
      <c r="CY57">
        <f>AD57</f>
        <v>0</v>
      </c>
      <c r="CZ57">
        <f>AH57</f>
        <v>0</v>
      </c>
      <c r="DA57">
        <f>AL57</f>
        <v>1</v>
      </c>
      <c r="DB57">
        <f>ROUND((ROUND(AT57*CZ57,2)*1.25),6)</f>
        <v>0</v>
      </c>
      <c r="DC57">
        <f>ROUND((ROUND(AT57*AG57,2)*1.25),6)</f>
        <v>0</v>
      </c>
    </row>
    <row r="58" spans="1:107">
      <c r="A58">
        <f>ROW(Source!A90)</f>
        <v>90</v>
      </c>
      <c r="B58">
        <v>35841400</v>
      </c>
      <c r="C58">
        <v>35841652</v>
      </c>
      <c r="D58">
        <v>29172710</v>
      </c>
      <c r="E58">
        <v>1</v>
      </c>
      <c r="F58">
        <v>1</v>
      </c>
      <c r="G58">
        <v>1</v>
      </c>
      <c r="H58">
        <v>2</v>
      </c>
      <c r="I58" t="s">
        <v>446</v>
      </c>
      <c r="J58" t="s">
        <v>447</v>
      </c>
      <c r="K58" t="s">
        <v>448</v>
      </c>
      <c r="L58">
        <v>1368</v>
      </c>
      <c r="N58">
        <v>1011</v>
      </c>
      <c r="O58" t="s">
        <v>379</v>
      </c>
      <c r="P58" t="s">
        <v>379</v>
      </c>
      <c r="Q58">
        <v>1</v>
      </c>
      <c r="W58">
        <v>0</v>
      </c>
      <c r="X58">
        <v>-1676841219</v>
      </c>
      <c r="Y58">
        <v>8.375</v>
      </c>
      <c r="AA58">
        <v>0</v>
      </c>
      <c r="AB58">
        <v>539.16</v>
      </c>
      <c r="AC58">
        <v>332.48</v>
      </c>
      <c r="AD58">
        <v>0</v>
      </c>
      <c r="AE58">
        <v>0</v>
      </c>
      <c r="AF58">
        <v>46.56</v>
      </c>
      <c r="AG58">
        <v>10.06</v>
      </c>
      <c r="AH58">
        <v>0</v>
      </c>
      <c r="AI58">
        <v>1</v>
      </c>
      <c r="AJ58">
        <v>11.58</v>
      </c>
      <c r="AK58">
        <v>33.049999999999997</v>
      </c>
      <c r="AL58">
        <v>1</v>
      </c>
      <c r="AN58">
        <v>0</v>
      </c>
      <c r="AO58">
        <v>1</v>
      </c>
      <c r="AP58">
        <v>1</v>
      </c>
      <c r="AQ58">
        <v>0</v>
      </c>
      <c r="AR58">
        <v>0</v>
      </c>
      <c r="AS58" t="s">
        <v>3</v>
      </c>
      <c r="AT58">
        <v>6.7</v>
      </c>
      <c r="AU58" t="s">
        <v>174</v>
      </c>
      <c r="AV58">
        <v>0</v>
      </c>
      <c r="AW58">
        <v>2</v>
      </c>
      <c r="AX58">
        <v>35841662</v>
      </c>
      <c r="AY58">
        <v>1</v>
      </c>
      <c r="AZ58">
        <v>0</v>
      </c>
      <c r="BA58">
        <v>56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CX58">
        <f>Y58*Source!I90</f>
        <v>7.6044999999999998</v>
      </c>
      <c r="CY58">
        <f>AB58</f>
        <v>539.16</v>
      </c>
      <c r="CZ58">
        <f>AF58</f>
        <v>46.56</v>
      </c>
      <c r="DA58">
        <f>AJ58</f>
        <v>11.58</v>
      </c>
      <c r="DB58">
        <f>ROUND((ROUND(AT58*CZ58,2)*1.25),6)</f>
        <v>389.9375</v>
      </c>
      <c r="DC58">
        <f>ROUND((ROUND(AT58*AG58,2)*1.25),6)</f>
        <v>84.25</v>
      </c>
    </row>
    <row r="59" spans="1:107">
      <c r="A59">
        <f>ROW(Source!A90)</f>
        <v>90</v>
      </c>
      <c r="B59">
        <v>35841400</v>
      </c>
      <c r="C59">
        <v>35841652</v>
      </c>
      <c r="D59">
        <v>29173472</v>
      </c>
      <c r="E59">
        <v>1</v>
      </c>
      <c r="F59">
        <v>1</v>
      </c>
      <c r="G59">
        <v>1</v>
      </c>
      <c r="H59">
        <v>2</v>
      </c>
      <c r="I59" t="s">
        <v>449</v>
      </c>
      <c r="J59" t="s">
        <v>450</v>
      </c>
      <c r="K59" t="s">
        <v>451</v>
      </c>
      <c r="L59">
        <v>1368</v>
      </c>
      <c r="N59">
        <v>1011</v>
      </c>
      <c r="O59" t="s">
        <v>379</v>
      </c>
      <c r="P59" t="s">
        <v>379</v>
      </c>
      <c r="Q59">
        <v>1</v>
      </c>
      <c r="W59">
        <v>0</v>
      </c>
      <c r="X59">
        <v>275932499</v>
      </c>
      <c r="Y59">
        <v>13.75</v>
      </c>
      <c r="AA59">
        <v>0</v>
      </c>
      <c r="AB59">
        <v>12.75</v>
      </c>
      <c r="AC59">
        <v>0</v>
      </c>
      <c r="AD59">
        <v>0</v>
      </c>
      <c r="AE59">
        <v>0</v>
      </c>
      <c r="AF59">
        <v>3</v>
      </c>
      <c r="AG59">
        <v>0</v>
      </c>
      <c r="AH59">
        <v>0</v>
      </c>
      <c r="AI59">
        <v>1</v>
      </c>
      <c r="AJ59">
        <v>4.25</v>
      </c>
      <c r="AK59">
        <v>33.049999999999997</v>
      </c>
      <c r="AL59">
        <v>1</v>
      </c>
      <c r="AN59">
        <v>0</v>
      </c>
      <c r="AO59">
        <v>1</v>
      </c>
      <c r="AP59">
        <v>1</v>
      </c>
      <c r="AQ59">
        <v>0</v>
      </c>
      <c r="AR59">
        <v>0</v>
      </c>
      <c r="AS59" t="s">
        <v>3</v>
      </c>
      <c r="AT59">
        <v>11</v>
      </c>
      <c r="AU59" t="s">
        <v>174</v>
      </c>
      <c r="AV59">
        <v>0</v>
      </c>
      <c r="AW59">
        <v>2</v>
      </c>
      <c r="AX59">
        <v>35841663</v>
      </c>
      <c r="AY59">
        <v>1</v>
      </c>
      <c r="AZ59">
        <v>0</v>
      </c>
      <c r="BA59">
        <v>57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CX59">
        <f>Y59*Source!I90</f>
        <v>12.485000000000001</v>
      </c>
      <c r="CY59">
        <f>AB59</f>
        <v>12.75</v>
      </c>
      <c r="CZ59">
        <f>AF59</f>
        <v>3</v>
      </c>
      <c r="DA59">
        <f>AJ59</f>
        <v>4.25</v>
      </c>
      <c r="DB59">
        <f>ROUND((ROUND(AT59*CZ59,2)*1.25),6)</f>
        <v>41.25</v>
      </c>
      <c r="DC59">
        <f>ROUND((ROUND(AT59*AG59,2)*1.25),6)</f>
        <v>0</v>
      </c>
    </row>
    <row r="60" spans="1:107">
      <c r="A60">
        <f>ROW(Source!A90)</f>
        <v>90</v>
      </c>
      <c r="B60">
        <v>35841400</v>
      </c>
      <c r="C60">
        <v>35841652</v>
      </c>
      <c r="D60">
        <v>29174913</v>
      </c>
      <c r="E60">
        <v>1</v>
      </c>
      <c r="F60">
        <v>1</v>
      </c>
      <c r="G60">
        <v>1</v>
      </c>
      <c r="H60">
        <v>2</v>
      </c>
      <c r="I60" t="s">
        <v>394</v>
      </c>
      <c r="J60" t="s">
        <v>395</v>
      </c>
      <c r="K60" t="s">
        <v>396</v>
      </c>
      <c r="L60">
        <v>1368</v>
      </c>
      <c r="N60">
        <v>1011</v>
      </c>
      <c r="O60" t="s">
        <v>379</v>
      </c>
      <c r="P60" t="s">
        <v>379</v>
      </c>
      <c r="Q60">
        <v>1</v>
      </c>
      <c r="W60">
        <v>0</v>
      </c>
      <c r="X60">
        <v>458544584</v>
      </c>
      <c r="Y60">
        <v>0.4375</v>
      </c>
      <c r="AA60">
        <v>0</v>
      </c>
      <c r="AB60">
        <v>932.72</v>
      </c>
      <c r="AC60">
        <v>383.38</v>
      </c>
      <c r="AD60">
        <v>0</v>
      </c>
      <c r="AE60">
        <v>0</v>
      </c>
      <c r="AF60">
        <v>87.17</v>
      </c>
      <c r="AG60">
        <v>11.6</v>
      </c>
      <c r="AH60">
        <v>0</v>
      </c>
      <c r="AI60">
        <v>1</v>
      </c>
      <c r="AJ60">
        <v>10.7</v>
      </c>
      <c r="AK60">
        <v>33.049999999999997</v>
      </c>
      <c r="AL60">
        <v>1</v>
      </c>
      <c r="AN60">
        <v>0</v>
      </c>
      <c r="AO60">
        <v>1</v>
      </c>
      <c r="AP60">
        <v>1</v>
      </c>
      <c r="AQ60">
        <v>0</v>
      </c>
      <c r="AR60">
        <v>0</v>
      </c>
      <c r="AS60" t="s">
        <v>3</v>
      </c>
      <c r="AT60">
        <v>0.35</v>
      </c>
      <c r="AU60" t="s">
        <v>174</v>
      </c>
      <c r="AV60">
        <v>0</v>
      </c>
      <c r="AW60">
        <v>2</v>
      </c>
      <c r="AX60">
        <v>35841664</v>
      </c>
      <c r="AY60">
        <v>1</v>
      </c>
      <c r="AZ60">
        <v>0</v>
      </c>
      <c r="BA60">
        <v>58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CX60">
        <f>Y60*Source!I90</f>
        <v>0.39724999999999999</v>
      </c>
      <c r="CY60">
        <f>AB60</f>
        <v>932.72</v>
      </c>
      <c r="CZ60">
        <f>AF60</f>
        <v>87.17</v>
      </c>
      <c r="DA60">
        <f>AJ60</f>
        <v>10.7</v>
      </c>
      <c r="DB60">
        <f>ROUND((ROUND(AT60*CZ60,2)*1.25),6)</f>
        <v>38.137500000000003</v>
      </c>
      <c r="DC60">
        <f>ROUND((ROUND(AT60*AG60,2)*1.25),6)</f>
        <v>5.0750000000000002</v>
      </c>
    </row>
    <row r="61" spans="1:107">
      <c r="A61">
        <f>ROW(Source!A90)</f>
        <v>90</v>
      </c>
      <c r="B61">
        <v>35841400</v>
      </c>
      <c r="C61">
        <v>35841652</v>
      </c>
      <c r="D61">
        <v>29114687</v>
      </c>
      <c r="E61">
        <v>1</v>
      </c>
      <c r="F61">
        <v>1</v>
      </c>
      <c r="G61">
        <v>1</v>
      </c>
      <c r="H61">
        <v>3</v>
      </c>
      <c r="I61" t="s">
        <v>452</v>
      </c>
      <c r="J61" t="s">
        <v>453</v>
      </c>
      <c r="K61" t="s">
        <v>454</v>
      </c>
      <c r="L61">
        <v>1348</v>
      </c>
      <c r="N61">
        <v>1009</v>
      </c>
      <c r="O61" t="s">
        <v>27</v>
      </c>
      <c r="P61" t="s">
        <v>27</v>
      </c>
      <c r="Q61">
        <v>1000</v>
      </c>
      <c r="W61">
        <v>0</v>
      </c>
      <c r="X61">
        <v>157955001</v>
      </c>
      <c r="Y61">
        <v>1.8E-3</v>
      </c>
      <c r="AA61">
        <v>105069.06</v>
      </c>
      <c r="AB61">
        <v>0</v>
      </c>
      <c r="AC61">
        <v>0</v>
      </c>
      <c r="AD61">
        <v>0</v>
      </c>
      <c r="AE61">
        <v>16974</v>
      </c>
      <c r="AF61">
        <v>0</v>
      </c>
      <c r="AG61">
        <v>0</v>
      </c>
      <c r="AH61">
        <v>0</v>
      </c>
      <c r="AI61">
        <v>6.19</v>
      </c>
      <c r="AJ61">
        <v>1</v>
      </c>
      <c r="AK61">
        <v>1</v>
      </c>
      <c r="AL61">
        <v>1</v>
      </c>
      <c r="AN61">
        <v>0</v>
      </c>
      <c r="AO61">
        <v>1</v>
      </c>
      <c r="AP61">
        <v>0</v>
      </c>
      <c r="AQ61">
        <v>0</v>
      </c>
      <c r="AR61">
        <v>0</v>
      </c>
      <c r="AS61" t="s">
        <v>3</v>
      </c>
      <c r="AT61">
        <v>1.8E-3</v>
      </c>
      <c r="AU61" t="s">
        <v>3</v>
      </c>
      <c r="AV61">
        <v>0</v>
      </c>
      <c r="AW61">
        <v>2</v>
      </c>
      <c r="AX61">
        <v>35841665</v>
      </c>
      <c r="AY61">
        <v>1</v>
      </c>
      <c r="AZ61">
        <v>0</v>
      </c>
      <c r="BA61">
        <v>59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CX61">
        <f>Y61*Source!I90</f>
        <v>1.6344E-3</v>
      </c>
      <c r="CY61">
        <f>AA61</f>
        <v>105069.06</v>
      </c>
      <c r="CZ61">
        <f>AE61</f>
        <v>16974</v>
      </c>
      <c r="DA61">
        <f>AI61</f>
        <v>6.19</v>
      </c>
      <c r="DB61">
        <f t="shared" ref="DB61:DB71" si="7">ROUND(ROUND(AT61*CZ61,2),6)</f>
        <v>30.55</v>
      </c>
      <c r="DC61">
        <f t="shared" ref="DC61:DC71" si="8">ROUND(ROUND(AT61*AG61,2),6)</f>
        <v>0</v>
      </c>
    </row>
    <row r="62" spans="1:107">
      <c r="A62">
        <f>ROW(Source!A90)</f>
        <v>90</v>
      </c>
      <c r="B62">
        <v>35841400</v>
      </c>
      <c r="C62">
        <v>35841652</v>
      </c>
      <c r="D62">
        <v>29115292</v>
      </c>
      <c r="E62">
        <v>1</v>
      </c>
      <c r="F62">
        <v>1</v>
      </c>
      <c r="G62">
        <v>1</v>
      </c>
      <c r="H62">
        <v>3</v>
      </c>
      <c r="I62" t="s">
        <v>455</v>
      </c>
      <c r="J62" t="s">
        <v>456</v>
      </c>
      <c r="K62" t="s">
        <v>457</v>
      </c>
      <c r="L62">
        <v>1339</v>
      </c>
      <c r="N62">
        <v>1007</v>
      </c>
      <c r="O62" t="s">
        <v>391</v>
      </c>
      <c r="P62" t="s">
        <v>391</v>
      </c>
      <c r="Q62">
        <v>1</v>
      </c>
      <c r="W62">
        <v>0</v>
      </c>
      <c r="X62">
        <v>582810497</v>
      </c>
      <c r="Y62">
        <v>1.24</v>
      </c>
      <c r="AA62">
        <v>26287.8</v>
      </c>
      <c r="AB62">
        <v>0</v>
      </c>
      <c r="AC62">
        <v>0</v>
      </c>
      <c r="AD62">
        <v>0</v>
      </c>
      <c r="AE62">
        <v>4478.33</v>
      </c>
      <c r="AF62">
        <v>0</v>
      </c>
      <c r="AG62">
        <v>0</v>
      </c>
      <c r="AH62">
        <v>0</v>
      </c>
      <c r="AI62">
        <v>5.87</v>
      </c>
      <c r="AJ62">
        <v>1</v>
      </c>
      <c r="AK62">
        <v>1</v>
      </c>
      <c r="AL62">
        <v>1</v>
      </c>
      <c r="AN62">
        <v>0</v>
      </c>
      <c r="AO62">
        <v>1</v>
      </c>
      <c r="AP62">
        <v>0</v>
      </c>
      <c r="AQ62">
        <v>0</v>
      </c>
      <c r="AR62">
        <v>0</v>
      </c>
      <c r="AS62" t="s">
        <v>3</v>
      </c>
      <c r="AT62">
        <v>1.24</v>
      </c>
      <c r="AU62" t="s">
        <v>3</v>
      </c>
      <c r="AV62">
        <v>0</v>
      </c>
      <c r="AW62">
        <v>2</v>
      </c>
      <c r="AX62">
        <v>35841666</v>
      </c>
      <c r="AY62">
        <v>1</v>
      </c>
      <c r="AZ62">
        <v>0</v>
      </c>
      <c r="BA62">
        <v>60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CX62">
        <f>Y62*Source!I90</f>
        <v>1.12592</v>
      </c>
      <c r="CY62">
        <f>AA62</f>
        <v>26287.8</v>
      </c>
      <c r="CZ62">
        <f>AE62</f>
        <v>4478.33</v>
      </c>
      <c r="DA62">
        <f>AI62</f>
        <v>5.87</v>
      </c>
      <c r="DB62">
        <f t="shared" si="7"/>
        <v>5553.13</v>
      </c>
      <c r="DC62">
        <f t="shared" si="8"/>
        <v>0</v>
      </c>
    </row>
    <row r="63" spans="1:107">
      <c r="A63">
        <f>ROW(Source!A91)</f>
        <v>91</v>
      </c>
      <c r="B63">
        <v>35841400</v>
      </c>
      <c r="C63">
        <v>36150950</v>
      </c>
      <c r="D63">
        <v>31427882</v>
      </c>
      <c r="E63">
        <v>1</v>
      </c>
      <c r="F63">
        <v>1</v>
      </c>
      <c r="G63">
        <v>1</v>
      </c>
      <c r="H63">
        <v>1</v>
      </c>
      <c r="I63" t="s">
        <v>458</v>
      </c>
      <c r="J63" t="s">
        <v>3</v>
      </c>
      <c r="K63" t="s">
        <v>459</v>
      </c>
      <c r="L63">
        <v>1369</v>
      </c>
      <c r="N63">
        <v>1013</v>
      </c>
      <c r="O63" t="s">
        <v>369</v>
      </c>
      <c r="P63" t="s">
        <v>369</v>
      </c>
      <c r="Q63">
        <v>1</v>
      </c>
      <c r="W63">
        <v>0</v>
      </c>
      <c r="X63">
        <v>-573087009</v>
      </c>
      <c r="Y63">
        <v>45.26</v>
      </c>
      <c r="AA63">
        <v>0</v>
      </c>
      <c r="AB63">
        <v>0</v>
      </c>
      <c r="AC63">
        <v>0</v>
      </c>
      <c r="AD63">
        <v>278.5</v>
      </c>
      <c r="AE63">
        <v>0</v>
      </c>
      <c r="AF63">
        <v>0</v>
      </c>
      <c r="AG63">
        <v>0</v>
      </c>
      <c r="AH63">
        <v>278.5</v>
      </c>
      <c r="AI63">
        <v>1</v>
      </c>
      <c r="AJ63">
        <v>1</v>
      </c>
      <c r="AK63">
        <v>1</v>
      </c>
      <c r="AL63">
        <v>1</v>
      </c>
      <c r="AN63">
        <v>0</v>
      </c>
      <c r="AO63">
        <v>1</v>
      </c>
      <c r="AP63">
        <v>0</v>
      </c>
      <c r="AQ63">
        <v>0</v>
      </c>
      <c r="AR63">
        <v>0</v>
      </c>
      <c r="AS63" t="s">
        <v>3</v>
      </c>
      <c r="AT63">
        <v>45.26</v>
      </c>
      <c r="AU63" t="s">
        <v>3</v>
      </c>
      <c r="AV63">
        <v>1</v>
      </c>
      <c r="AW63">
        <v>2</v>
      </c>
      <c r="AX63">
        <v>36150951</v>
      </c>
      <c r="AY63">
        <v>1</v>
      </c>
      <c r="AZ63">
        <v>0</v>
      </c>
      <c r="BA63">
        <v>61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CX63">
        <f>Y63*Source!I91</f>
        <v>41.096080000000001</v>
      </c>
      <c r="CY63">
        <f>AD63</f>
        <v>278.5</v>
      </c>
      <c r="CZ63">
        <f>AH63</f>
        <v>278.5</v>
      </c>
      <c r="DA63">
        <f>AL63</f>
        <v>1</v>
      </c>
      <c r="DB63">
        <f t="shared" si="7"/>
        <v>12604.91</v>
      </c>
      <c r="DC63">
        <f t="shared" si="8"/>
        <v>0</v>
      </c>
    </row>
    <row r="64" spans="1:107">
      <c r="A64">
        <f>ROW(Source!A91)</f>
        <v>91</v>
      </c>
      <c r="B64">
        <v>35841400</v>
      </c>
      <c r="C64">
        <v>36150950</v>
      </c>
      <c r="D64">
        <v>121548</v>
      </c>
      <c r="E64">
        <v>1</v>
      </c>
      <c r="F64">
        <v>1</v>
      </c>
      <c r="G64">
        <v>1</v>
      </c>
      <c r="H64">
        <v>1</v>
      </c>
      <c r="I64" t="s">
        <v>212</v>
      </c>
      <c r="J64" t="s">
        <v>3</v>
      </c>
      <c r="K64" t="s">
        <v>374</v>
      </c>
      <c r="L64">
        <v>608254</v>
      </c>
      <c r="N64">
        <v>1013</v>
      </c>
      <c r="O64" t="s">
        <v>375</v>
      </c>
      <c r="P64" t="s">
        <v>375</v>
      </c>
      <c r="Q64">
        <v>1</v>
      </c>
      <c r="W64">
        <v>0</v>
      </c>
      <c r="X64">
        <v>-185737400</v>
      </c>
      <c r="Y64">
        <v>0.04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1</v>
      </c>
      <c r="AJ64">
        <v>1</v>
      </c>
      <c r="AK64">
        <v>1</v>
      </c>
      <c r="AL64">
        <v>1</v>
      </c>
      <c r="AN64">
        <v>0</v>
      </c>
      <c r="AO64">
        <v>1</v>
      </c>
      <c r="AP64">
        <v>0</v>
      </c>
      <c r="AQ64">
        <v>0</v>
      </c>
      <c r="AR64">
        <v>0</v>
      </c>
      <c r="AS64" t="s">
        <v>3</v>
      </c>
      <c r="AT64">
        <v>0.04</v>
      </c>
      <c r="AU64" t="s">
        <v>3</v>
      </c>
      <c r="AV64">
        <v>2</v>
      </c>
      <c r="AW64">
        <v>2</v>
      </c>
      <c r="AX64">
        <v>36150952</v>
      </c>
      <c r="AY64">
        <v>1</v>
      </c>
      <c r="AZ64">
        <v>0</v>
      </c>
      <c r="BA64">
        <v>62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CX64">
        <f>Y64*Source!I91</f>
        <v>3.6320000000000005E-2</v>
      </c>
      <c r="CY64">
        <f>AD64</f>
        <v>0</v>
      </c>
      <c r="CZ64">
        <f>AH64</f>
        <v>0</v>
      </c>
      <c r="DA64">
        <f>AL64</f>
        <v>1</v>
      </c>
      <c r="DB64">
        <f t="shared" si="7"/>
        <v>0</v>
      </c>
      <c r="DC64">
        <f t="shared" si="8"/>
        <v>0</v>
      </c>
    </row>
    <row r="65" spans="1:107">
      <c r="A65">
        <f>ROW(Source!A91)</f>
        <v>91</v>
      </c>
      <c r="B65">
        <v>35841400</v>
      </c>
      <c r="C65">
        <v>36150950</v>
      </c>
      <c r="D65">
        <v>35554737</v>
      </c>
      <c r="E65">
        <v>1</v>
      </c>
      <c r="F65">
        <v>1</v>
      </c>
      <c r="G65">
        <v>1</v>
      </c>
      <c r="H65">
        <v>2</v>
      </c>
      <c r="I65" t="s">
        <v>376</v>
      </c>
      <c r="J65" t="s">
        <v>460</v>
      </c>
      <c r="K65" t="s">
        <v>378</v>
      </c>
      <c r="L65">
        <v>1368</v>
      </c>
      <c r="N65">
        <v>1011</v>
      </c>
      <c r="O65" t="s">
        <v>379</v>
      </c>
      <c r="P65" t="s">
        <v>379</v>
      </c>
      <c r="Q65">
        <v>1</v>
      </c>
      <c r="W65">
        <v>0</v>
      </c>
      <c r="X65">
        <v>290757077</v>
      </c>
      <c r="Y65">
        <v>0.04</v>
      </c>
      <c r="AA65">
        <v>0</v>
      </c>
      <c r="AB65">
        <v>466.71</v>
      </c>
      <c r="AC65">
        <v>446.18</v>
      </c>
      <c r="AD65">
        <v>0</v>
      </c>
      <c r="AE65">
        <v>0</v>
      </c>
      <c r="AF65">
        <v>31.26</v>
      </c>
      <c r="AG65">
        <v>13.5</v>
      </c>
      <c r="AH65">
        <v>0</v>
      </c>
      <c r="AI65">
        <v>1</v>
      </c>
      <c r="AJ65">
        <v>14.93</v>
      </c>
      <c r="AK65">
        <v>33.049999999999997</v>
      </c>
      <c r="AL65">
        <v>1</v>
      </c>
      <c r="AN65">
        <v>0</v>
      </c>
      <c r="AO65">
        <v>1</v>
      </c>
      <c r="AP65">
        <v>0</v>
      </c>
      <c r="AQ65">
        <v>0</v>
      </c>
      <c r="AR65">
        <v>0</v>
      </c>
      <c r="AS65" t="s">
        <v>3</v>
      </c>
      <c r="AT65">
        <v>0.04</v>
      </c>
      <c r="AU65" t="s">
        <v>3</v>
      </c>
      <c r="AV65">
        <v>0</v>
      </c>
      <c r="AW65">
        <v>2</v>
      </c>
      <c r="AX65">
        <v>36150953</v>
      </c>
      <c r="AY65">
        <v>1</v>
      </c>
      <c r="AZ65">
        <v>0</v>
      </c>
      <c r="BA65">
        <v>63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CX65">
        <f>Y65*Source!I91</f>
        <v>3.6320000000000005E-2</v>
      </c>
      <c r="CY65">
        <f>AB65</f>
        <v>466.71</v>
      </c>
      <c r="CZ65">
        <f>AF65</f>
        <v>31.26</v>
      </c>
      <c r="DA65">
        <f>AJ65</f>
        <v>14.93</v>
      </c>
      <c r="DB65">
        <f t="shared" si="7"/>
        <v>1.25</v>
      </c>
      <c r="DC65">
        <f t="shared" si="8"/>
        <v>0.54</v>
      </c>
    </row>
    <row r="66" spans="1:107">
      <c r="A66">
        <f>ROW(Source!A91)</f>
        <v>91</v>
      </c>
      <c r="B66">
        <v>35841400</v>
      </c>
      <c r="C66">
        <v>36150950</v>
      </c>
      <c r="D66">
        <v>35555025</v>
      </c>
      <c r="E66">
        <v>1</v>
      </c>
      <c r="F66">
        <v>1</v>
      </c>
      <c r="G66">
        <v>1</v>
      </c>
      <c r="H66">
        <v>2</v>
      </c>
      <c r="I66" t="s">
        <v>461</v>
      </c>
      <c r="J66" t="s">
        <v>462</v>
      </c>
      <c r="K66" t="s">
        <v>463</v>
      </c>
      <c r="L66">
        <v>1368</v>
      </c>
      <c r="N66">
        <v>1011</v>
      </c>
      <c r="O66" t="s">
        <v>379</v>
      </c>
      <c r="P66" t="s">
        <v>379</v>
      </c>
      <c r="Q66">
        <v>1</v>
      </c>
      <c r="W66">
        <v>0</v>
      </c>
      <c r="X66">
        <v>269071542</v>
      </c>
      <c r="Y66">
        <v>1.35</v>
      </c>
      <c r="AA66">
        <v>0</v>
      </c>
      <c r="AB66">
        <v>21.3</v>
      </c>
      <c r="AC66">
        <v>0</v>
      </c>
      <c r="AD66">
        <v>0</v>
      </c>
      <c r="AE66">
        <v>0</v>
      </c>
      <c r="AF66">
        <v>2.7</v>
      </c>
      <c r="AG66">
        <v>0</v>
      </c>
      <c r="AH66">
        <v>0</v>
      </c>
      <c r="AI66">
        <v>1</v>
      </c>
      <c r="AJ66">
        <v>7.89</v>
      </c>
      <c r="AK66">
        <v>33.049999999999997</v>
      </c>
      <c r="AL66">
        <v>1</v>
      </c>
      <c r="AN66">
        <v>0</v>
      </c>
      <c r="AO66">
        <v>1</v>
      </c>
      <c r="AP66">
        <v>0</v>
      </c>
      <c r="AQ66">
        <v>0</v>
      </c>
      <c r="AR66">
        <v>0</v>
      </c>
      <c r="AS66" t="s">
        <v>3</v>
      </c>
      <c r="AT66">
        <v>1.35</v>
      </c>
      <c r="AU66" t="s">
        <v>3</v>
      </c>
      <c r="AV66">
        <v>0</v>
      </c>
      <c r="AW66">
        <v>2</v>
      </c>
      <c r="AX66">
        <v>36150954</v>
      </c>
      <c r="AY66">
        <v>1</v>
      </c>
      <c r="AZ66">
        <v>0</v>
      </c>
      <c r="BA66">
        <v>64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CX66">
        <f>Y66*Source!I91</f>
        <v>1.2258000000000002</v>
      </c>
      <c r="CY66">
        <f>AB66</f>
        <v>21.3</v>
      </c>
      <c r="CZ66">
        <f>AF66</f>
        <v>2.7</v>
      </c>
      <c r="DA66">
        <f>AJ66</f>
        <v>7.89</v>
      </c>
      <c r="DB66">
        <f t="shared" si="7"/>
        <v>3.65</v>
      </c>
      <c r="DC66">
        <f t="shared" si="8"/>
        <v>0</v>
      </c>
    </row>
    <row r="67" spans="1:107">
      <c r="A67">
        <f>ROW(Source!A91)</f>
        <v>91</v>
      </c>
      <c r="B67">
        <v>35841400</v>
      </c>
      <c r="C67">
        <v>36150950</v>
      </c>
      <c r="D67">
        <v>35555088</v>
      </c>
      <c r="E67">
        <v>1</v>
      </c>
      <c r="F67">
        <v>1</v>
      </c>
      <c r="G67">
        <v>1</v>
      </c>
      <c r="H67">
        <v>2</v>
      </c>
      <c r="I67" t="s">
        <v>394</v>
      </c>
      <c r="J67" t="s">
        <v>464</v>
      </c>
      <c r="K67" t="s">
        <v>396</v>
      </c>
      <c r="L67">
        <v>1368</v>
      </c>
      <c r="N67">
        <v>1011</v>
      </c>
      <c r="O67" t="s">
        <v>379</v>
      </c>
      <c r="P67" t="s">
        <v>379</v>
      </c>
      <c r="Q67">
        <v>1</v>
      </c>
      <c r="W67">
        <v>0</v>
      </c>
      <c r="X67">
        <v>586434904</v>
      </c>
      <c r="Y67">
        <v>0.01</v>
      </c>
      <c r="AA67">
        <v>0</v>
      </c>
      <c r="AB67">
        <v>932.72</v>
      </c>
      <c r="AC67">
        <v>383.38</v>
      </c>
      <c r="AD67">
        <v>0</v>
      </c>
      <c r="AE67">
        <v>0</v>
      </c>
      <c r="AF67">
        <v>87.17</v>
      </c>
      <c r="AG67">
        <v>11.6</v>
      </c>
      <c r="AH67">
        <v>0</v>
      </c>
      <c r="AI67">
        <v>1</v>
      </c>
      <c r="AJ67">
        <v>10.7</v>
      </c>
      <c r="AK67">
        <v>33.049999999999997</v>
      </c>
      <c r="AL67">
        <v>1</v>
      </c>
      <c r="AN67">
        <v>0</v>
      </c>
      <c r="AO67">
        <v>1</v>
      </c>
      <c r="AP67">
        <v>0</v>
      </c>
      <c r="AQ67">
        <v>0</v>
      </c>
      <c r="AR67">
        <v>0</v>
      </c>
      <c r="AS67" t="s">
        <v>3</v>
      </c>
      <c r="AT67">
        <v>0.01</v>
      </c>
      <c r="AU67" t="s">
        <v>3</v>
      </c>
      <c r="AV67">
        <v>0</v>
      </c>
      <c r="AW67">
        <v>2</v>
      </c>
      <c r="AX67">
        <v>36150955</v>
      </c>
      <c r="AY67">
        <v>1</v>
      </c>
      <c r="AZ67">
        <v>0</v>
      </c>
      <c r="BA67">
        <v>65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0</v>
      </c>
      <c r="CX67">
        <f>Y67*Source!I91</f>
        <v>9.0800000000000013E-3</v>
      </c>
      <c r="CY67">
        <f>AB67</f>
        <v>932.72</v>
      </c>
      <c r="CZ67">
        <f>AF67</f>
        <v>87.17</v>
      </c>
      <c r="DA67">
        <f>AJ67</f>
        <v>10.7</v>
      </c>
      <c r="DB67">
        <f t="shared" si="7"/>
        <v>0.87</v>
      </c>
      <c r="DC67">
        <f t="shared" si="8"/>
        <v>0.12</v>
      </c>
    </row>
    <row r="68" spans="1:107">
      <c r="A68">
        <f>ROW(Source!A91)</f>
        <v>91</v>
      </c>
      <c r="B68">
        <v>35841400</v>
      </c>
      <c r="C68">
        <v>36150950</v>
      </c>
      <c r="D68">
        <v>35552818</v>
      </c>
      <c r="E68">
        <v>1</v>
      </c>
      <c r="F68">
        <v>1</v>
      </c>
      <c r="G68">
        <v>1</v>
      </c>
      <c r="H68">
        <v>3</v>
      </c>
      <c r="I68" t="s">
        <v>465</v>
      </c>
      <c r="J68" t="s">
        <v>466</v>
      </c>
      <c r="K68" t="s">
        <v>467</v>
      </c>
      <c r="L68">
        <v>1308</v>
      </c>
      <c r="N68">
        <v>1003</v>
      </c>
      <c r="O68" t="s">
        <v>238</v>
      </c>
      <c r="P68" t="s">
        <v>238</v>
      </c>
      <c r="Q68">
        <v>100</v>
      </c>
      <c r="W68">
        <v>0</v>
      </c>
      <c r="X68">
        <v>-1755052483</v>
      </c>
      <c r="Y68">
        <v>0.68</v>
      </c>
      <c r="AA68">
        <v>528.80999999999995</v>
      </c>
      <c r="AB68">
        <v>0</v>
      </c>
      <c r="AC68">
        <v>0</v>
      </c>
      <c r="AD68">
        <v>0</v>
      </c>
      <c r="AE68">
        <v>99.4</v>
      </c>
      <c r="AF68">
        <v>0</v>
      </c>
      <c r="AG68">
        <v>0</v>
      </c>
      <c r="AH68">
        <v>0</v>
      </c>
      <c r="AI68">
        <v>5.32</v>
      </c>
      <c r="AJ68">
        <v>1</v>
      </c>
      <c r="AK68">
        <v>1</v>
      </c>
      <c r="AL68">
        <v>1</v>
      </c>
      <c r="AN68">
        <v>0</v>
      </c>
      <c r="AO68">
        <v>1</v>
      </c>
      <c r="AP68">
        <v>0</v>
      </c>
      <c r="AQ68">
        <v>0</v>
      </c>
      <c r="AR68">
        <v>0</v>
      </c>
      <c r="AS68" t="s">
        <v>3</v>
      </c>
      <c r="AT68">
        <v>0.68</v>
      </c>
      <c r="AU68" t="s">
        <v>3</v>
      </c>
      <c r="AV68">
        <v>0</v>
      </c>
      <c r="AW68">
        <v>2</v>
      </c>
      <c r="AX68">
        <v>36150956</v>
      </c>
      <c r="AY68">
        <v>1</v>
      </c>
      <c r="AZ68">
        <v>0</v>
      </c>
      <c r="BA68">
        <v>66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CX68">
        <f>Y68*Source!I91</f>
        <v>0.6174400000000001</v>
      </c>
      <c r="CY68">
        <f>AA68</f>
        <v>528.80999999999995</v>
      </c>
      <c r="CZ68">
        <f>AE68</f>
        <v>99.4</v>
      </c>
      <c r="DA68">
        <f>AI68</f>
        <v>5.32</v>
      </c>
      <c r="DB68">
        <f t="shared" si="7"/>
        <v>67.59</v>
      </c>
      <c r="DC68">
        <f t="shared" si="8"/>
        <v>0</v>
      </c>
    </row>
    <row r="69" spans="1:107">
      <c r="A69">
        <f>ROW(Source!A91)</f>
        <v>91</v>
      </c>
      <c r="B69">
        <v>35841400</v>
      </c>
      <c r="C69">
        <v>36150950</v>
      </c>
      <c r="D69">
        <v>29110968</v>
      </c>
      <c r="E69">
        <v>1</v>
      </c>
      <c r="F69">
        <v>1</v>
      </c>
      <c r="G69">
        <v>1</v>
      </c>
      <c r="H69">
        <v>3</v>
      </c>
      <c r="I69" t="s">
        <v>181</v>
      </c>
      <c r="J69" t="s">
        <v>184</v>
      </c>
      <c r="K69" t="s">
        <v>182</v>
      </c>
      <c r="L69">
        <v>1327</v>
      </c>
      <c r="N69">
        <v>1005</v>
      </c>
      <c r="O69" t="s">
        <v>183</v>
      </c>
      <c r="P69" t="s">
        <v>183</v>
      </c>
      <c r="Q69">
        <v>1</v>
      </c>
      <c r="W69">
        <v>0</v>
      </c>
      <c r="X69">
        <v>1204958893</v>
      </c>
      <c r="Y69">
        <v>100</v>
      </c>
      <c r="AA69">
        <v>764.67</v>
      </c>
      <c r="AB69">
        <v>0</v>
      </c>
      <c r="AC69">
        <v>0</v>
      </c>
      <c r="AD69">
        <v>0</v>
      </c>
      <c r="AE69">
        <v>186.05</v>
      </c>
      <c r="AF69">
        <v>0</v>
      </c>
      <c r="AG69">
        <v>0</v>
      </c>
      <c r="AH69">
        <v>0</v>
      </c>
      <c r="AI69">
        <v>4.1100000000000003</v>
      </c>
      <c r="AJ69">
        <v>1</v>
      </c>
      <c r="AK69">
        <v>1</v>
      </c>
      <c r="AL69">
        <v>1</v>
      </c>
      <c r="AN69">
        <v>0</v>
      </c>
      <c r="AO69">
        <v>0</v>
      </c>
      <c r="AP69">
        <v>0</v>
      </c>
      <c r="AQ69">
        <v>0</v>
      </c>
      <c r="AR69">
        <v>0</v>
      </c>
      <c r="AS69" t="s">
        <v>3</v>
      </c>
      <c r="AT69">
        <v>100</v>
      </c>
      <c r="AU69" t="s">
        <v>3</v>
      </c>
      <c r="AV69">
        <v>0</v>
      </c>
      <c r="AW69">
        <v>1</v>
      </c>
      <c r="AX69">
        <v>-1</v>
      </c>
      <c r="AY69">
        <v>0</v>
      </c>
      <c r="AZ69">
        <v>0</v>
      </c>
      <c r="BA69" t="s">
        <v>3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CX69">
        <f>Y69*Source!I91</f>
        <v>90.8</v>
      </c>
      <c r="CY69">
        <f>AA69</f>
        <v>764.67</v>
      </c>
      <c r="CZ69">
        <f>AE69</f>
        <v>186.05</v>
      </c>
      <c r="DA69">
        <f>AI69</f>
        <v>4.1100000000000003</v>
      </c>
      <c r="DB69">
        <f t="shared" si="7"/>
        <v>18605</v>
      </c>
      <c r="DC69">
        <f t="shared" si="8"/>
        <v>0</v>
      </c>
    </row>
    <row r="70" spans="1:107">
      <c r="A70">
        <f>ROW(Source!A91)</f>
        <v>91</v>
      </c>
      <c r="B70">
        <v>35841400</v>
      </c>
      <c r="C70">
        <v>36150950</v>
      </c>
      <c r="D70">
        <v>35554067</v>
      </c>
      <c r="E70">
        <v>1</v>
      </c>
      <c r="F70">
        <v>1</v>
      </c>
      <c r="G70">
        <v>1</v>
      </c>
      <c r="H70">
        <v>3</v>
      </c>
      <c r="I70" t="s">
        <v>186</v>
      </c>
      <c r="J70" t="s">
        <v>188</v>
      </c>
      <c r="K70" t="s">
        <v>187</v>
      </c>
      <c r="L70">
        <v>1327</v>
      </c>
      <c r="N70">
        <v>1005</v>
      </c>
      <c r="O70" t="s">
        <v>183</v>
      </c>
      <c r="P70" t="s">
        <v>183</v>
      </c>
      <c r="Q70">
        <v>1</v>
      </c>
      <c r="W70">
        <v>1</v>
      </c>
      <c r="X70">
        <v>722712840</v>
      </c>
      <c r="Y70">
        <v>102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1</v>
      </c>
      <c r="AJ70">
        <v>1</v>
      </c>
      <c r="AK70">
        <v>1</v>
      </c>
      <c r="AL70">
        <v>1</v>
      </c>
      <c r="AN70">
        <v>0</v>
      </c>
      <c r="AO70">
        <v>0</v>
      </c>
      <c r="AP70">
        <v>0</v>
      </c>
      <c r="AQ70">
        <v>0</v>
      </c>
      <c r="AR70">
        <v>0</v>
      </c>
      <c r="AS70" t="s">
        <v>3</v>
      </c>
      <c r="AT70">
        <v>102</v>
      </c>
      <c r="AU70" t="s">
        <v>3</v>
      </c>
      <c r="AV70">
        <v>0</v>
      </c>
      <c r="AW70">
        <v>2</v>
      </c>
      <c r="AX70">
        <v>36150957</v>
      </c>
      <c r="AY70">
        <v>1</v>
      </c>
      <c r="AZ70">
        <v>0</v>
      </c>
      <c r="BA70">
        <v>67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CX70">
        <f>Y70*Source!I91</f>
        <v>92.616</v>
      </c>
      <c r="CY70">
        <f>AA70</f>
        <v>0</v>
      </c>
      <c r="CZ70">
        <f>AE70</f>
        <v>0</v>
      </c>
      <c r="DA70">
        <f>AI70</f>
        <v>1</v>
      </c>
      <c r="DB70">
        <f t="shared" si="7"/>
        <v>0</v>
      </c>
      <c r="DC70">
        <f t="shared" si="8"/>
        <v>0</v>
      </c>
    </row>
    <row r="71" spans="1:107">
      <c r="A71">
        <f>ROW(Source!A91)</f>
        <v>91</v>
      </c>
      <c r="B71">
        <v>35841400</v>
      </c>
      <c r="C71">
        <v>36150950</v>
      </c>
      <c r="D71">
        <v>35553389</v>
      </c>
      <c r="E71">
        <v>1</v>
      </c>
      <c r="F71">
        <v>1</v>
      </c>
      <c r="G71">
        <v>1</v>
      </c>
      <c r="H71">
        <v>3</v>
      </c>
      <c r="I71" t="s">
        <v>468</v>
      </c>
      <c r="J71" t="s">
        <v>469</v>
      </c>
      <c r="K71" t="s">
        <v>470</v>
      </c>
      <c r="L71">
        <v>1346</v>
      </c>
      <c r="N71">
        <v>1009</v>
      </c>
      <c r="O71" t="s">
        <v>153</v>
      </c>
      <c r="P71" t="s">
        <v>153</v>
      </c>
      <c r="Q71">
        <v>1</v>
      </c>
      <c r="W71">
        <v>0</v>
      </c>
      <c r="X71">
        <v>-2074468820</v>
      </c>
      <c r="Y71">
        <v>27</v>
      </c>
      <c r="AA71">
        <v>207.8</v>
      </c>
      <c r="AB71">
        <v>0</v>
      </c>
      <c r="AC71">
        <v>0</v>
      </c>
      <c r="AD71">
        <v>0</v>
      </c>
      <c r="AE71">
        <v>26.71</v>
      </c>
      <c r="AF71">
        <v>0</v>
      </c>
      <c r="AG71">
        <v>0</v>
      </c>
      <c r="AH71">
        <v>0</v>
      </c>
      <c r="AI71">
        <v>7.78</v>
      </c>
      <c r="AJ71">
        <v>1</v>
      </c>
      <c r="AK71">
        <v>1</v>
      </c>
      <c r="AL71">
        <v>1</v>
      </c>
      <c r="AN71">
        <v>0</v>
      </c>
      <c r="AO71">
        <v>1</v>
      </c>
      <c r="AP71">
        <v>0</v>
      </c>
      <c r="AQ71">
        <v>0</v>
      </c>
      <c r="AR71">
        <v>0</v>
      </c>
      <c r="AS71" t="s">
        <v>3</v>
      </c>
      <c r="AT71">
        <v>27</v>
      </c>
      <c r="AU71" t="s">
        <v>3</v>
      </c>
      <c r="AV71">
        <v>0</v>
      </c>
      <c r="AW71">
        <v>2</v>
      </c>
      <c r="AX71">
        <v>36150958</v>
      </c>
      <c r="AY71">
        <v>1</v>
      </c>
      <c r="AZ71">
        <v>0</v>
      </c>
      <c r="BA71">
        <v>68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CX71">
        <f>Y71*Source!I91</f>
        <v>24.516000000000002</v>
      </c>
      <c r="CY71">
        <f>AA71</f>
        <v>207.8</v>
      </c>
      <c r="CZ71">
        <f>AE71</f>
        <v>26.71</v>
      </c>
      <c r="DA71">
        <f>AI71</f>
        <v>7.78</v>
      </c>
      <c r="DB71">
        <f t="shared" si="7"/>
        <v>721.17</v>
      </c>
      <c r="DC71">
        <f t="shared" si="8"/>
        <v>0</v>
      </c>
    </row>
    <row r="72" spans="1:107">
      <c r="A72">
        <f>ROW(Source!A94)</f>
        <v>94</v>
      </c>
      <c r="B72">
        <v>35841400</v>
      </c>
      <c r="C72">
        <v>35841686</v>
      </c>
      <c r="D72">
        <v>18416200</v>
      </c>
      <c r="E72">
        <v>1</v>
      </c>
      <c r="F72">
        <v>1</v>
      </c>
      <c r="G72">
        <v>1</v>
      </c>
      <c r="H72">
        <v>1</v>
      </c>
      <c r="I72" t="s">
        <v>380</v>
      </c>
      <c r="J72" t="s">
        <v>3</v>
      </c>
      <c r="K72" t="s">
        <v>381</v>
      </c>
      <c r="L72">
        <v>1369</v>
      </c>
      <c r="N72">
        <v>1013</v>
      </c>
      <c r="O72" t="s">
        <v>369</v>
      </c>
      <c r="P72" t="s">
        <v>369</v>
      </c>
      <c r="Q72">
        <v>1</v>
      </c>
      <c r="W72">
        <v>0</v>
      </c>
      <c r="X72">
        <v>-1663475933</v>
      </c>
      <c r="Y72">
        <v>10.3385</v>
      </c>
      <c r="AA72">
        <v>0</v>
      </c>
      <c r="AB72">
        <v>0</v>
      </c>
      <c r="AC72">
        <v>0</v>
      </c>
      <c r="AD72">
        <v>318.66000000000003</v>
      </c>
      <c r="AE72">
        <v>0</v>
      </c>
      <c r="AF72">
        <v>0</v>
      </c>
      <c r="AG72">
        <v>0</v>
      </c>
      <c r="AH72">
        <v>318.66000000000003</v>
      </c>
      <c r="AI72">
        <v>1</v>
      </c>
      <c r="AJ72">
        <v>1</v>
      </c>
      <c r="AK72">
        <v>1</v>
      </c>
      <c r="AL72">
        <v>1</v>
      </c>
      <c r="AN72">
        <v>0</v>
      </c>
      <c r="AO72">
        <v>1</v>
      </c>
      <c r="AP72">
        <v>1</v>
      </c>
      <c r="AQ72">
        <v>0</v>
      </c>
      <c r="AR72">
        <v>0</v>
      </c>
      <c r="AS72" t="s">
        <v>3</v>
      </c>
      <c r="AT72">
        <v>8.99</v>
      </c>
      <c r="AU72" t="s">
        <v>175</v>
      </c>
      <c r="AV72">
        <v>1</v>
      </c>
      <c r="AW72">
        <v>2</v>
      </c>
      <c r="AX72">
        <v>35841691</v>
      </c>
      <c r="AY72">
        <v>2</v>
      </c>
      <c r="AZ72">
        <v>131072</v>
      </c>
      <c r="BA72">
        <v>69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0</v>
      </c>
      <c r="CX72">
        <f>Y72*Source!I94</f>
        <v>4.6523250000000003</v>
      </c>
      <c r="CY72">
        <f>AD72</f>
        <v>318.66000000000003</v>
      </c>
      <c r="CZ72">
        <f>AH72</f>
        <v>318.66000000000003</v>
      </c>
      <c r="DA72">
        <f>AL72</f>
        <v>1</v>
      </c>
      <c r="DB72">
        <f>ROUND((ROUND(AT72*CZ72,2)*1.15),6)</f>
        <v>3294.4625000000001</v>
      </c>
      <c r="DC72">
        <f>ROUND((ROUND(AT72*AG72,2)*1.15),6)</f>
        <v>0</v>
      </c>
    </row>
    <row r="73" spans="1:107">
      <c r="A73">
        <f>ROW(Source!A94)</f>
        <v>94</v>
      </c>
      <c r="B73">
        <v>35841400</v>
      </c>
      <c r="C73">
        <v>35841686</v>
      </c>
      <c r="D73">
        <v>29174913</v>
      </c>
      <c r="E73">
        <v>1</v>
      </c>
      <c r="F73">
        <v>1</v>
      </c>
      <c r="G73">
        <v>1</v>
      </c>
      <c r="H73">
        <v>2</v>
      </c>
      <c r="I73" t="s">
        <v>394</v>
      </c>
      <c r="J73" t="s">
        <v>395</v>
      </c>
      <c r="K73" t="s">
        <v>396</v>
      </c>
      <c r="L73">
        <v>1368</v>
      </c>
      <c r="N73">
        <v>1011</v>
      </c>
      <c r="O73" t="s">
        <v>379</v>
      </c>
      <c r="P73" t="s">
        <v>379</v>
      </c>
      <c r="Q73">
        <v>1</v>
      </c>
      <c r="W73">
        <v>0</v>
      </c>
      <c r="X73">
        <v>458544584</v>
      </c>
      <c r="Y73">
        <v>3.7499999999999999E-2</v>
      </c>
      <c r="AA73">
        <v>0</v>
      </c>
      <c r="AB73">
        <v>932.72</v>
      </c>
      <c r="AC73">
        <v>383.38</v>
      </c>
      <c r="AD73">
        <v>0</v>
      </c>
      <c r="AE73">
        <v>0</v>
      </c>
      <c r="AF73">
        <v>87.17</v>
      </c>
      <c r="AG73">
        <v>11.6</v>
      </c>
      <c r="AH73">
        <v>0</v>
      </c>
      <c r="AI73">
        <v>1</v>
      </c>
      <c r="AJ73">
        <v>10.7</v>
      </c>
      <c r="AK73">
        <v>33.049999999999997</v>
      </c>
      <c r="AL73">
        <v>1</v>
      </c>
      <c r="AN73">
        <v>0</v>
      </c>
      <c r="AO73">
        <v>1</v>
      </c>
      <c r="AP73">
        <v>1</v>
      </c>
      <c r="AQ73">
        <v>0</v>
      </c>
      <c r="AR73">
        <v>0</v>
      </c>
      <c r="AS73" t="s">
        <v>3</v>
      </c>
      <c r="AT73">
        <v>0.03</v>
      </c>
      <c r="AU73" t="s">
        <v>174</v>
      </c>
      <c r="AV73">
        <v>0</v>
      </c>
      <c r="AW73">
        <v>2</v>
      </c>
      <c r="AX73">
        <v>35841692</v>
      </c>
      <c r="AY73">
        <v>1</v>
      </c>
      <c r="AZ73">
        <v>0</v>
      </c>
      <c r="BA73">
        <v>70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0</v>
      </c>
      <c r="CX73">
        <f>Y73*Source!I94</f>
        <v>1.6875000000000001E-2</v>
      </c>
      <c r="CY73">
        <f>AB73</f>
        <v>932.72</v>
      </c>
      <c r="CZ73">
        <f>AF73</f>
        <v>87.17</v>
      </c>
      <c r="DA73">
        <f>AJ73</f>
        <v>10.7</v>
      </c>
      <c r="DB73">
        <f>ROUND((ROUND(AT73*CZ73,2)*1.25),6)</f>
        <v>3.2749999999999999</v>
      </c>
      <c r="DC73">
        <f>ROUND((ROUND(AT73*AG73,2)*1.25),6)</f>
        <v>0.4375</v>
      </c>
    </row>
    <row r="74" spans="1:107">
      <c r="A74">
        <f>ROW(Source!A94)</f>
        <v>94</v>
      </c>
      <c r="B74">
        <v>35841400</v>
      </c>
      <c r="C74">
        <v>35841686</v>
      </c>
      <c r="D74">
        <v>29111241</v>
      </c>
      <c r="E74">
        <v>1</v>
      </c>
      <c r="F74">
        <v>1</v>
      </c>
      <c r="G74">
        <v>1</v>
      </c>
      <c r="H74">
        <v>3</v>
      </c>
      <c r="I74" t="s">
        <v>471</v>
      </c>
      <c r="J74" t="s">
        <v>472</v>
      </c>
      <c r="K74" t="s">
        <v>473</v>
      </c>
      <c r="L74">
        <v>1346</v>
      </c>
      <c r="N74">
        <v>1009</v>
      </c>
      <c r="O74" t="s">
        <v>153</v>
      </c>
      <c r="P74" t="s">
        <v>153</v>
      </c>
      <c r="Q74">
        <v>1</v>
      </c>
      <c r="W74">
        <v>0</v>
      </c>
      <c r="X74">
        <v>1781035667</v>
      </c>
      <c r="Y74">
        <v>5.15</v>
      </c>
      <c r="AA74">
        <v>167.08</v>
      </c>
      <c r="AB74">
        <v>0</v>
      </c>
      <c r="AC74">
        <v>0</v>
      </c>
      <c r="AD74">
        <v>0</v>
      </c>
      <c r="AE74">
        <v>8.35</v>
      </c>
      <c r="AF74">
        <v>0</v>
      </c>
      <c r="AG74">
        <v>0</v>
      </c>
      <c r="AH74">
        <v>0</v>
      </c>
      <c r="AI74">
        <v>20.010000000000002</v>
      </c>
      <c r="AJ74">
        <v>1</v>
      </c>
      <c r="AK74">
        <v>1</v>
      </c>
      <c r="AL74">
        <v>1</v>
      </c>
      <c r="AN74">
        <v>0</v>
      </c>
      <c r="AO74">
        <v>1</v>
      </c>
      <c r="AP74">
        <v>0</v>
      </c>
      <c r="AQ74">
        <v>0</v>
      </c>
      <c r="AR74">
        <v>0</v>
      </c>
      <c r="AS74" t="s">
        <v>3</v>
      </c>
      <c r="AT74">
        <v>5.15</v>
      </c>
      <c r="AU74" t="s">
        <v>3</v>
      </c>
      <c r="AV74">
        <v>0</v>
      </c>
      <c r="AW74">
        <v>2</v>
      </c>
      <c r="AX74">
        <v>35841693</v>
      </c>
      <c r="AY74">
        <v>1</v>
      </c>
      <c r="AZ74">
        <v>0</v>
      </c>
      <c r="BA74">
        <v>71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0</v>
      </c>
      <c r="BT74">
        <v>0</v>
      </c>
      <c r="BU74">
        <v>0</v>
      </c>
      <c r="BV74">
        <v>0</v>
      </c>
      <c r="BW74">
        <v>0</v>
      </c>
      <c r="CX74">
        <f>Y74*Source!I94</f>
        <v>2.3175000000000003</v>
      </c>
      <c r="CY74">
        <f>AA74</f>
        <v>167.08</v>
      </c>
      <c r="CZ74">
        <f>AE74</f>
        <v>8.35</v>
      </c>
      <c r="DA74">
        <f>AI74</f>
        <v>20.010000000000002</v>
      </c>
      <c r="DB74">
        <f>ROUND(ROUND(AT74*CZ74,2),6)</f>
        <v>43</v>
      </c>
      <c r="DC74">
        <f>ROUND(ROUND(AT74*AG74,2),6)</f>
        <v>0</v>
      </c>
    </row>
    <row r="75" spans="1:107">
      <c r="A75">
        <f>ROW(Source!A94)</f>
        <v>94</v>
      </c>
      <c r="B75">
        <v>35841400</v>
      </c>
      <c r="C75">
        <v>35841686</v>
      </c>
      <c r="D75">
        <v>29110997</v>
      </c>
      <c r="E75">
        <v>1</v>
      </c>
      <c r="F75">
        <v>1</v>
      </c>
      <c r="G75">
        <v>1</v>
      </c>
      <c r="H75">
        <v>3</v>
      </c>
      <c r="I75" t="s">
        <v>474</v>
      </c>
      <c r="J75" t="s">
        <v>475</v>
      </c>
      <c r="K75" t="s">
        <v>476</v>
      </c>
      <c r="L75">
        <v>1301</v>
      </c>
      <c r="N75">
        <v>1003</v>
      </c>
      <c r="O75" t="s">
        <v>245</v>
      </c>
      <c r="P75" t="s">
        <v>245</v>
      </c>
      <c r="Q75">
        <v>1</v>
      </c>
      <c r="W75">
        <v>0</v>
      </c>
      <c r="X75">
        <v>1996222970</v>
      </c>
      <c r="Y75">
        <v>101</v>
      </c>
      <c r="AA75">
        <v>27.92</v>
      </c>
      <c r="AB75">
        <v>0</v>
      </c>
      <c r="AC75">
        <v>0</v>
      </c>
      <c r="AD75">
        <v>0</v>
      </c>
      <c r="AE75">
        <v>12.3</v>
      </c>
      <c r="AF75">
        <v>0</v>
      </c>
      <c r="AG75">
        <v>0</v>
      </c>
      <c r="AH75">
        <v>0</v>
      </c>
      <c r="AI75">
        <v>2.27</v>
      </c>
      <c r="AJ75">
        <v>1</v>
      </c>
      <c r="AK75">
        <v>1</v>
      </c>
      <c r="AL75">
        <v>1</v>
      </c>
      <c r="AN75">
        <v>0</v>
      </c>
      <c r="AO75">
        <v>1</v>
      </c>
      <c r="AP75">
        <v>0</v>
      </c>
      <c r="AQ75">
        <v>0</v>
      </c>
      <c r="AR75">
        <v>0</v>
      </c>
      <c r="AS75" t="s">
        <v>3</v>
      </c>
      <c r="AT75">
        <v>101</v>
      </c>
      <c r="AU75" t="s">
        <v>3</v>
      </c>
      <c r="AV75">
        <v>0</v>
      </c>
      <c r="AW75">
        <v>2</v>
      </c>
      <c r="AX75">
        <v>35841694</v>
      </c>
      <c r="AY75">
        <v>1</v>
      </c>
      <c r="AZ75">
        <v>0</v>
      </c>
      <c r="BA75">
        <v>72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0</v>
      </c>
      <c r="CX75">
        <f>Y75*Source!I94</f>
        <v>45.45</v>
      </c>
      <c r="CY75">
        <f>AA75</f>
        <v>27.92</v>
      </c>
      <c r="CZ75">
        <f>AE75</f>
        <v>12.3</v>
      </c>
      <c r="DA75">
        <f>AI75</f>
        <v>2.27</v>
      </c>
      <c r="DB75">
        <f>ROUND(ROUND(AT75*CZ75,2),6)</f>
        <v>1242.3</v>
      </c>
      <c r="DC75">
        <f>ROUND(ROUND(AT75*AG75,2),6)</f>
        <v>0</v>
      </c>
    </row>
    <row r="76" spans="1:107">
      <c r="A76">
        <f>ROW(Source!A95)</f>
        <v>95</v>
      </c>
      <c r="B76">
        <v>35841400</v>
      </c>
      <c r="C76">
        <v>35841695</v>
      </c>
      <c r="D76">
        <v>18407150</v>
      </c>
      <c r="E76">
        <v>1</v>
      </c>
      <c r="F76">
        <v>1</v>
      </c>
      <c r="G76">
        <v>1</v>
      </c>
      <c r="H76">
        <v>1</v>
      </c>
      <c r="I76" t="s">
        <v>426</v>
      </c>
      <c r="J76" t="s">
        <v>3</v>
      </c>
      <c r="K76" t="s">
        <v>427</v>
      </c>
      <c r="L76">
        <v>1369</v>
      </c>
      <c r="N76">
        <v>1013</v>
      </c>
      <c r="O76" t="s">
        <v>369</v>
      </c>
      <c r="P76" t="s">
        <v>369</v>
      </c>
      <c r="Q76">
        <v>1</v>
      </c>
      <c r="W76">
        <v>0</v>
      </c>
      <c r="X76">
        <v>-931037793</v>
      </c>
      <c r="Y76">
        <v>119.08249999999998</v>
      </c>
      <c r="AA76">
        <v>0</v>
      </c>
      <c r="AB76">
        <v>0</v>
      </c>
      <c r="AC76">
        <v>0</v>
      </c>
      <c r="AD76">
        <v>278.5</v>
      </c>
      <c r="AE76">
        <v>0</v>
      </c>
      <c r="AF76">
        <v>0</v>
      </c>
      <c r="AG76">
        <v>0</v>
      </c>
      <c r="AH76">
        <v>278.5</v>
      </c>
      <c r="AI76">
        <v>1</v>
      </c>
      <c r="AJ76">
        <v>1</v>
      </c>
      <c r="AK76">
        <v>1</v>
      </c>
      <c r="AL76">
        <v>1</v>
      </c>
      <c r="AN76">
        <v>0</v>
      </c>
      <c r="AO76">
        <v>1</v>
      </c>
      <c r="AP76">
        <v>1</v>
      </c>
      <c r="AQ76">
        <v>0</v>
      </c>
      <c r="AR76">
        <v>0</v>
      </c>
      <c r="AS76" t="s">
        <v>3</v>
      </c>
      <c r="AT76">
        <v>103.55</v>
      </c>
      <c r="AU76" t="s">
        <v>175</v>
      </c>
      <c r="AV76">
        <v>1</v>
      </c>
      <c r="AW76">
        <v>2</v>
      </c>
      <c r="AX76">
        <v>35841716</v>
      </c>
      <c r="AY76">
        <v>2</v>
      </c>
      <c r="AZ76">
        <v>131072</v>
      </c>
      <c r="BA76">
        <v>73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  <c r="BU76">
        <v>0</v>
      </c>
      <c r="BV76">
        <v>0</v>
      </c>
      <c r="BW76">
        <v>0</v>
      </c>
      <c r="CX76">
        <f>Y76*Source!I95</f>
        <v>2.3816499999999996</v>
      </c>
      <c r="CY76">
        <f>AD76</f>
        <v>278.5</v>
      </c>
      <c r="CZ76">
        <f>AH76</f>
        <v>278.5</v>
      </c>
      <c r="DA76">
        <f>AL76</f>
        <v>1</v>
      </c>
      <c r="DB76">
        <f>ROUND((ROUND(AT76*CZ76,2)*1.15),6)</f>
        <v>33164.482000000004</v>
      </c>
      <c r="DC76">
        <f>ROUND((ROUND(AT76*AG76,2)*1.15),6)</f>
        <v>0</v>
      </c>
    </row>
    <row r="77" spans="1:107">
      <c r="A77">
        <f>ROW(Source!A95)</f>
        <v>95</v>
      </c>
      <c r="B77">
        <v>35841400</v>
      </c>
      <c r="C77">
        <v>35841695</v>
      </c>
      <c r="D77">
        <v>121548</v>
      </c>
      <c r="E77">
        <v>1</v>
      </c>
      <c r="F77">
        <v>1</v>
      </c>
      <c r="G77">
        <v>1</v>
      </c>
      <c r="H77">
        <v>1</v>
      </c>
      <c r="I77" t="s">
        <v>212</v>
      </c>
      <c r="J77" t="s">
        <v>3</v>
      </c>
      <c r="K77" t="s">
        <v>374</v>
      </c>
      <c r="L77">
        <v>608254</v>
      </c>
      <c r="N77">
        <v>1013</v>
      </c>
      <c r="O77" t="s">
        <v>375</v>
      </c>
      <c r="P77" t="s">
        <v>375</v>
      </c>
      <c r="Q77">
        <v>1</v>
      </c>
      <c r="W77">
        <v>0</v>
      </c>
      <c r="X77">
        <v>-185737400</v>
      </c>
      <c r="Y77">
        <v>0.2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1</v>
      </c>
      <c r="AJ77">
        <v>1</v>
      </c>
      <c r="AK77">
        <v>1</v>
      </c>
      <c r="AL77">
        <v>1</v>
      </c>
      <c r="AN77">
        <v>0</v>
      </c>
      <c r="AO77">
        <v>1</v>
      </c>
      <c r="AP77">
        <v>1</v>
      </c>
      <c r="AQ77">
        <v>0</v>
      </c>
      <c r="AR77">
        <v>0</v>
      </c>
      <c r="AS77" t="s">
        <v>3</v>
      </c>
      <c r="AT77">
        <v>0.16</v>
      </c>
      <c r="AU77" t="s">
        <v>174</v>
      </c>
      <c r="AV77">
        <v>2</v>
      </c>
      <c r="AW77">
        <v>2</v>
      </c>
      <c r="AX77">
        <v>35841717</v>
      </c>
      <c r="AY77">
        <v>1</v>
      </c>
      <c r="AZ77">
        <v>0</v>
      </c>
      <c r="BA77">
        <v>74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0</v>
      </c>
      <c r="BT77">
        <v>0</v>
      </c>
      <c r="BU77">
        <v>0</v>
      </c>
      <c r="BV77">
        <v>0</v>
      </c>
      <c r="BW77">
        <v>0</v>
      </c>
      <c r="CX77">
        <f>Y77*Source!I95</f>
        <v>4.0000000000000001E-3</v>
      </c>
      <c r="CY77">
        <f>AD77</f>
        <v>0</v>
      </c>
      <c r="CZ77">
        <f>AH77</f>
        <v>0</v>
      </c>
      <c r="DA77">
        <f>AL77</f>
        <v>1</v>
      </c>
      <c r="DB77">
        <f t="shared" ref="DB77:DB83" si="9">ROUND((ROUND(AT77*CZ77,2)*1.25),6)</f>
        <v>0</v>
      </c>
      <c r="DC77">
        <f t="shared" ref="DC77:DC83" si="10">ROUND((ROUND(AT77*AG77,2)*1.25),6)</f>
        <v>0</v>
      </c>
    </row>
    <row r="78" spans="1:107">
      <c r="A78">
        <f>ROW(Source!A95)</f>
        <v>95</v>
      </c>
      <c r="B78">
        <v>35841400</v>
      </c>
      <c r="C78">
        <v>35841695</v>
      </c>
      <c r="D78">
        <v>29172379</v>
      </c>
      <c r="E78">
        <v>1</v>
      </c>
      <c r="F78">
        <v>1</v>
      </c>
      <c r="G78">
        <v>1</v>
      </c>
      <c r="H78">
        <v>2</v>
      </c>
      <c r="I78" t="s">
        <v>477</v>
      </c>
      <c r="J78" t="s">
        <v>478</v>
      </c>
      <c r="K78" t="s">
        <v>479</v>
      </c>
      <c r="L78">
        <v>1368</v>
      </c>
      <c r="N78">
        <v>1011</v>
      </c>
      <c r="O78" t="s">
        <v>379</v>
      </c>
      <c r="P78" t="s">
        <v>379</v>
      </c>
      <c r="Q78">
        <v>1</v>
      </c>
      <c r="W78">
        <v>0</v>
      </c>
      <c r="X78">
        <v>-151619853</v>
      </c>
      <c r="Y78">
        <v>0.2</v>
      </c>
      <c r="AA78">
        <v>0</v>
      </c>
      <c r="AB78">
        <v>1102.08</v>
      </c>
      <c r="AC78">
        <v>446.18</v>
      </c>
      <c r="AD78">
        <v>0</v>
      </c>
      <c r="AE78">
        <v>0</v>
      </c>
      <c r="AF78">
        <v>112</v>
      </c>
      <c r="AG78">
        <v>13.5</v>
      </c>
      <c r="AH78">
        <v>0</v>
      </c>
      <c r="AI78">
        <v>1</v>
      </c>
      <c r="AJ78">
        <v>9.84</v>
      </c>
      <c r="AK78">
        <v>33.049999999999997</v>
      </c>
      <c r="AL78">
        <v>1</v>
      </c>
      <c r="AN78">
        <v>0</v>
      </c>
      <c r="AO78">
        <v>1</v>
      </c>
      <c r="AP78">
        <v>1</v>
      </c>
      <c r="AQ78">
        <v>0</v>
      </c>
      <c r="AR78">
        <v>0</v>
      </c>
      <c r="AS78" t="s">
        <v>3</v>
      </c>
      <c r="AT78">
        <v>0.16</v>
      </c>
      <c r="AU78" t="s">
        <v>174</v>
      </c>
      <c r="AV78">
        <v>0</v>
      </c>
      <c r="AW78">
        <v>2</v>
      </c>
      <c r="AX78">
        <v>35841718</v>
      </c>
      <c r="AY78">
        <v>1</v>
      </c>
      <c r="AZ78">
        <v>0</v>
      </c>
      <c r="BA78">
        <v>75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0</v>
      </c>
      <c r="BV78">
        <v>0</v>
      </c>
      <c r="BW78">
        <v>0</v>
      </c>
      <c r="CX78">
        <f>Y78*Source!I95</f>
        <v>4.0000000000000001E-3</v>
      </c>
      <c r="CY78">
        <f t="shared" ref="CY78:CY83" si="11">AB78</f>
        <v>1102.08</v>
      </c>
      <c r="CZ78">
        <f t="shared" ref="CZ78:CZ83" si="12">AF78</f>
        <v>112</v>
      </c>
      <c r="DA78">
        <f t="shared" ref="DA78:DA83" si="13">AJ78</f>
        <v>9.84</v>
      </c>
      <c r="DB78">
        <f t="shared" si="9"/>
        <v>22.4</v>
      </c>
      <c r="DC78">
        <f t="shared" si="10"/>
        <v>2.7</v>
      </c>
    </row>
    <row r="79" spans="1:107">
      <c r="A79">
        <f>ROW(Source!A95)</f>
        <v>95</v>
      </c>
      <c r="B79">
        <v>35841400</v>
      </c>
      <c r="C79">
        <v>35841695</v>
      </c>
      <c r="D79">
        <v>29172659</v>
      </c>
      <c r="E79">
        <v>1</v>
      </c>
      <c r="F79">
        <v>1</v>
      </c>
      <c r="G79">
        <v>1</v>
      </c>
      <c r="H79">
        <v>2</v>
      </c>
      <c r="I79" t="s">
        <v>480</v>
      </c>
      <c r="J79" t="s">
        <v>481</v>
      </c>
      <c r="K79" t="s">
        <v>482</v>
      </c>
      <c r="L79">
        <v>1368</v>
      </c>
      <c r="N79">
        <v>1011</v>
      </c>
      <c r="O79" t="s">
        <v>379</v>
      </c>
      <c r="P79" t="s">
        <v>379</v>
      </c>
      <c r="Q79">
        <v>1</v>
      </c>
      <c r="W79">
        <v>0</v>
      </c>
      <c r="X79">
        <v>-664376910</v>
      </c>
      <c r="Y79">
        <v>0.875</v>
      </c>
      <c r="AA79">
        <v>0</v>
      </c>
      <c r="AB79">
        <v>8.5399999999999991</v>
      </c>
      <c r="AC79">
        <v>0</v>
      </c>
      <c r="AD79">
        <v>0</v>
      </c>
      <c r="AE79">
        <v>0</v>
      </c>
      <c r="AF79">
        <v>1.2</v>
      </c>
      <c r="AG79">
        <v>0</v>
      </c>
      <c r="AH79">
        <v>0</v>
      </c>
      <c r="AI79">
        <v>1</v>
      </c>
      <c r="AJ79">
        <v>7.12</v>
      </c>
      <c r="AK79">
        <v>33.049999999999997</v>
      </c>
      <c r="AL79">
        <v>1</v>
      </c>
      <c r="AN79">
        <v>0</v>
      </c>
      <c r="AO79">
        <v>1</v>
      </c>
      <c r="AP79">
        <v>1</v>
      </c>
      <c r="AQ79">
        <v>0</v>
      </c>
      <c r="AR79">
        <v>0</v>
      </c>
      <c r="AS79" t="s">
        <v>3</v>
      </c>
      <c r="AT79">
        <v>0.7</v>
      </c>
      <c r="AU79" t="s">
        <v>174</v>
      </c>
      <c r="AV79">
        <v>0</v>
      </c>
      <c r="AW79">
        <v>2</v>
      </c>
      <c r="AX79">
        <v>35841719</v>
      </c>
      <c r="AY79">
        <v>1</v>
      </c>
      <c r="AZ79">
        <v>0</v>
      </c>
      <c r="BA79">
        <v>76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0</v>
      </c>
      <c r="BT79">
        <v>0</v>
      </c>
      <c r="BU79">
        <v>0</v>
      </c>
      <c r="BV79">
        <v>0</v>
      </c>
      <c r="BW79">
        <v>0</v>
      </c>
      <c r="CX79">
        <f>Y79*Source!I95</f>
        <v>1.7500000000000002E-2</v>
      </c>
      <c r="CY79">
        <f t="shared" si="11"/>
        <v>8.5399999999999991</v>
      </c>
      <c r="CZ79">
        <f t="shared" si="12"/>
        <v>1.2</v>
      </c>
      <c r="DA79">
        <f t="shared" si="13"/>
        <v>7.12</v>
      </c>
      <c r="DB79">
        <f t="shared" si="9"/>
        <v>1.05</v>
      </c>
      <c r="DC79">
        <f t="shared" si="10"/>
        <v>0</v>
      </c>
    </row>
    <row r="80" spans="1:107">
      <c r="A80">
        <f>ROW(Source!A95)</f>
        <v>95</v>
      </c>
      <c r="B80">
        <v>35841400</v>
      </c>
      <c r="C80">
        <v>35841695</v>
      </c>
      <c r="D80">
        <v>29172669</v>
      </c>
      <c r="E80">
        <v>1</v>
      </c>
      <c r="F80">
        <v>1</v>
      </c>
      <c r="G80">
        <v>1</v>
      </c>
      <c r="H80">
        <v>2</v>
      </c>
      <c r="I80" t="s">
        <v>483</v>
      </c>
      <c r="J80" t="s">
        <v>484</v>
      </c>
      <c r="K80" t="s">
        <v>485</v>
      </c>
      <c r="L80">
        <v>1368</v>
      </c>
      <c r="N80">
        <v>1011</v>
      </c>
      <c r="O80" t="s">
        <v>379</v>
      </c>
      <c r="P80" t="s">
        <v>379</v>
      </c>
      <c r="Q80">
        <v>1</v>
      </c>
      <c r="W80">
        <v>0</v>
      </c>
      <c r="X80">
        <v>341785304</v>
      </c>
      <c r="Y80">
        <v>4.6750000000000007</v>
      </c>
      <c r="AA80">
        <v>0</v>
      </c>
      <c r="AB80">
        <v>104.14</v>
      </c>
      <c r="AC80">
        <v>0</v>
      </c>
      <c r="AD80">
        <v>0</v>
      </c>
      <c r="AE80">
        <v>0</v>
      </c>
      <c r="AF80">
        <v>12.31</v>
      </c>
      <c r="AG80">
        <v>0</v>
      </c>
      <c r="AH80">
        <v>0</v>
      </c>
      <c r="AI80">
        <v>1</v>
      </c>
      <c r="AJ80">
        <v>8.4600000000000009</v>
      </c>
      <c r="AK80">
        <v>33.049999999999997</v>
      </c>
      <c r="AL80">
        <v>1</v>
      </c>
      <c r="AN80">
        <v>0</v>
      </c>
      <c r="AO80">
        <v>1</v>
      </c>
      <c r="AP80">
        <v>1</v>
      </c>
      <c r="AQ80">
        <v>0</v>
      </c>
      <c r="AR80">
        <v>0</v>
      </c>
      <c r="AS80" t="s">
        <v>3</v>
      </c>
      <c r="AT80">
        <v>3.74</v>
      </c>
      <c r="AU80" t="s">
        <v>174</v>
      </c>
      <c r="AV80">
        <v>0</v>
      </c>
      <c r="AW80">
        <v>2</v>
      </c>
      <c r="AX80">
        <v>35841720</v>
      </c>
      <c r="AY80">
        <v>1</v>
      </c>
      <c r="AZ80">
        <v>0</v>
      </c>
      <c r="BA80">
        <v>77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0</v>
      </c>
      <c r="BT80">
        <v>0</v>
      </c>
      <c r="BU80">
        <v>0</v>
      </c>
      <c r="BV80">
        <v>0</v>
      </c>
      <c r="BW80">
        <v>0</v>
      </c>
      <c r="CX80">
        <f>Y80*Source!I95</f>
        <v>9.3500000000000014E-2</v>
      </c>
      <c r="CY80">
        <f t="shared" si="11"/>
        <v>104.14</v>
      </c>
      <c r="CZ80">
        <f t="shared" si="12"/>
        <v>12.31</v>
      </c>
      <c r="DA80">
        <f t="shared" si="13"/>
        <v>8.4600000000000009</v>
      </c>
      <c r="DB80">
        <f t="shared" si="9"/>
        <v>57.55</v>
      </c>
      <c r="DC80">
        <f t="shared" si="10"/>
        <v>0</v>
      </c>
    </row>
    <row r="81" spans="1:107">
      <c r="A81">
        <f>ROW(Source!A95)</f>
        <v>95</v>
      </c>
      <c r="B81">
        <v>35841400</v>
      </c>
      <c r="C81">
        <v>35841695</v>
      </c>
      <c r="D81">
        <v>29172679</v>
      </c>
      <c r="E81">
        <v>1</v>
      </c>
      <c r="F81">
        <v>1</v>
      </c>
      <c r="G81">
        <v>1</v>
      </c>
      <c r="H81">
        <v>2</v>
      </c>
      <c r="I81" t="s">
        <v>486</v>
      </c>
      <c r="J81" t="s">
        <v>487</v>
      </c>
      <c r="K81" t="s">
        <v>488</v>
      </c>
      <c r="L81">
        <v>1368</v>
      </c>
      <c r="N81">
        <v>1011</v>
      </c>
      <c r="O81" t="s">
        <v>379</v>
      </c>
      <c r="P81" t="s">
        <v>379</v>
      </c>
      <c r="Q81">
        <v>1</v>
      </c>
      <c r="W81">
        <v>0</v>
      </c>
      <c r="X81">
        <v>12839444</v>
      </c>
      <c r="Y81">
        <v>0.32500000000000001</v>
      </c>
      <c r="AA81">
        <v>0</v>
      </c>
      <c r="AB81">
        <v>56.75</v>
      </c>
      <c r="AC81">
        <v>0</v>
      </c>
      <c r="AD81">
        <v>0</v>
      </c>
      <c r="AE81">
        <v>0</v>
      </c>
      <c r="AF81">
        <v>6.7</v>
      </c>
      <c r="AG81">
        <v>0</v>
      </c>
      <c r="AH81">
        <v>0</v>
      </c>
      <c r="AI81">
        <v>1</v>
      </c>
      <c r="AJ81">
        <v>8.4700000000000006</v>
      </c>
      <c r="AK81">
        <v>33.049999999999997</v>
      </c>
      <c r="AL81">
        <v>1</v>
      </c>
      <c r="AN81">
        <v>0</v>
      </c>
      <c r="AO81">
        <v>1</v>
      </c>
      <c r="AP81">
        <v>1</v>
      </c>
      <c r="AQ81">
        <v>0</v>
      </c>
      <c r="AR81">
        <v>0</v>
      </c>
      <c r="AS81" t="s">
        <v>3</v>
      </c>
      <c r="AT81">
        <v>0.26</v>
      </c>
      <c r="AU81" t="s">
        <v>174</v>
      </c>
      <c r="AV81">
        <v>0</v>
      </c>
      <c r="AW81">
        <v>2</v>
      </c>
      <c r="AX81">
        <v>35841721</v>
      </c>
      <c r="AY81">
        <v>1</v>
      </c>
      <c r="AZ81">
        <v>0</v>
      </c>
      <c r="BA81">
        <v>78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0</v>
      </c>
      <c r="CX81">
        <f>Y81*Source!I95</f>
        <v>6.5000000000000006E-3</v>
      </c>
      <c r="CY81">
        <f t="shared" si="11"/>
        <v>56.75</v>
      </c>
      <c r="CZ81">
        <f t="shared" si="12"/>
        <v>6.7</v>
      </c>
      <c r="DA81">
        <f t="shared" si="13"/>
        <v>8.4700000000000006</v>
      </c>
      <c r="DB81">
        <f t="shared" si="9"/>
        <v>2.1749999999999998</v>
      </c>
      <c r="DC81">
        <f t="shared" si="10"/>
        <v>0</v>
      </c>
    </row>
    <row r="82" spans="1:107">
      <c r="A82">
        <f>ROW(Source!A95)</f>
        <v>95</v>
      </c>
      <c r="B82">
        <v>35841400</v>
      </c>
      <c r="C82">
        <v>35841695</v>
      </c>
      <c r="D82">
        <v>29174507</v>
      </c>
      <c r="E82">
        <v>1</v>
      </c>
      <c r="F82">
        <v>1</v>
      </c>
      <c r="G82">
        <v>1</v>
      </c>
      <c r="H82">
        <v>2</v>
      </c>
      <c r="I82" t="s">
        <v>489</v>
      </c>
      <c r="J82" t="s">
        <v>490</v>
      </c>
      <c r="K82" t="s">
        <v>491</v>
      </c>
      <c r="L82">
        <v>1368</v>
      </c>
      <c r="N82">
        <v>1011</v>
      </c>
      <c r="O82" t="s">
        <v>379</v>
      </c>
      <c r="P82" t="s">
        <v>379</v>
      </c>
      <c r="Q82">
        <v>1</v>
      </c>
      <c r="W82">
        <v>0</v>
      </c>
      <c r="X82">
        <v>-1974929952</v>
      </c>
      <c r="Y82">
        <v>0.91249999999999998</v>
      </c>
      <c r="AA82">
        <v>0</v>
      </c>
      <c r="AB82">
        <v>18.11</v>
      </c>
      <c r="AC82">
        <v>0</v>
      </c>
      <c r="AD82">
        <v>0</v>
      </c>
      <c r="AE82">
        <v>0</v>
      </c>
      <c r="AF82">
        <v>5.13</v>
      </c>
      <c r="AG82">
        <v>0</v>
      </c>
      <c r="AH82">
        <v>0</v>
      </c>
      <c r="AI82">
        <v>1</v>
      </c>
      <c r="AJ82">
        <v>3.53</v>
      </c>
      <c r="AK82">
        <v>33.049999999999997</v>
      </c>
      <c r="AL82">
        <v>1</v>
      </c>
      <c r="AN82">
        <v>0</v>
      </c>
      <c r="AO82">
        <v>1</v>
      </c>
      <c r="AP82">
        <v>1</v>
      </c>
      <c r="AQ82">
        <v>0</v>
      </c>
      <c r="AR82">
        <v>0</v>
      </c>
      <c r="AS82" t="s">
        <v>3</v>
      </c>
      <c r="AT82">
        <v>0.73</v>
      </c>
      <c r="AU82" t="s">
        <v>174</v>
      </c>
      <c r="AV82">
        <v>0</v>
      </c>
      <c r="AW82">
        <v>2</v>
      </c>
      <c r="AX82">
        <v>35841722</v>
      </c>
      <c r="AY82">
        <v>1</v>
      </c>
      <c r="AZ82">
        <v>0</v>
      </c>
      <c r="BA82">
        <v>79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0</v>
      </c>
      <c r="BM82">
        <v>0</v>
      </c>
      <c r="BN82">
        <v>0</v>
      </c>
      <c r="BO82">
        <v>0</v>
      </c>
      <c r="BP82">
        <v>0</v>
      </c>
      <c r="BQ82">
        <v>0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0</v>
      </c>
      <c r="CX82">
        <f>Y82*Source!I95</f>
        <v>1.8249999999999999E-2</v>
      </c>
      <c r="CY82">
        <f t="shared" si="11"/>
        <v>18.11</v>
      </c>
      <c r="CZ82">
        <f t="shared" si="12"/>
        <v>5.13</v>
      </c>
      <c r="DA82">
        <f t="shared" si="13"/>
        <v>3.53</v>
      </c>
      <c r="DB82">
        <f t="shared" si="9"/>
        <v>4.6749999999999998</v>
      </c>
      <c r="DC82">
        <f t="shared" si="10"/>
        <v>0</v>
      </c>
    </row>
    <row r="83" spans="1:107">
      <c r="A83">
        <f>ROW(Source!A95)</f>
        <v>95</v>
      </c>
      <c r="B83">
        <v>35841400</v>
      </c>
      <c r="C83">
        <v>35841695</v>
      </c>
      <c r="D83">
        <v>29174913</v>
      </c>
      <c r="E83">
        <v>1</v>
      </c>
      <c r="F83">
        <v>1</v>
      </c>
      <c r="G83">
        <v>1</v>
      </c>
      <c r="H83">
        <v>2</v>
      </c>
      <c r="I83" t="s">
        <v>394</v>
      </c>
      <c r="J83" t="s">
        <v>395</v>
      </c>
      <c r="K83" t="s">
        <v>396</v>
      </c>
      <c r="L83">
        <v>1368</v>
      </c>
      <c r="N83">
        <v>1011</v>
      </c>
      <c r="O83" t="s">
        <v>379</v>
      </c>
      <c r="P83" t="s">
        <v>379</v>
      </c>
      <c r="Q83">
        <v>1</v>
      </c>
      <c r="W83">
        <v>0</v>
      </c>
      <c r="X83">
        <v>458544584</v>
      </c>
      <c r="Y83">
        <v>0.3</v>
      </c>
      <c r="AA83">
        <v>0</v>
      </c>
      <c r="AB83">
        <v>932.72</v>
      </c>
      <c r="AC83">
        <v>383.38</v>
      </c>
      <c r="AD83">
        <v>0</v>
      </c>
      <c r="AE83">
        <v>0</v>
      </c>
      <c r="AF83">
        <v>87.17</v>
      </c>
      <c r="AG83">
        <v>11.6</v>
      </c>
      <c r="AH83">
        <v>0</v>
      </c>
      <c r="AI83">
        <v>1</v>
      </c>
      <c r="AJ83">
        <v>10.7</v>
      </c>
      <c r="AK83">
        <v>33.049999999999997</v>
      </c>
      <c r="AL83">
        <v>1</v>
      </c>
      <c r="AN83">
        <v>0</v>
      </c>
      <c r="AO83">
        <v>1</v>
      </c>
      <c r="AP83">
        <v>1</v>
      </c>
      <c r="AQ83">
        <v>0</v>
      </c>
      <c r="AR83">
        <v>0</v>
      </c>
      <c r="AS83" t="s">
        <v>3</v>
      </c>
      <c r="AT83">
        <v>0.24</v>
      </c>
      <c r="AU83" t="s">
        <v>174</v>
      </c>
      <c r="AV83">
        <v>0</v>
      </c>
      <c r="AW83">
        <v>2</v>
      </c>
      <c r="AX83">
        <v>35841723</v>
      </c>
      <c r="AY83">
        <v>1</v>
      </c>
      <c r="AZ83">
        <v>0</v>
      </c>
      <c r="BA83">
        <v>80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0</v>
      </c>
      <c r="BT83">
        <v>0</v>
      </c>
      <c r="BU83">
        <v>0</v>
      </c>
      <c r="BV83">
        <v>0</v>
      </c>
      <c r="BW83">
        <v>0</v>
      </c>
      <c r="CX83">
        <f>Y83*Source!I95</f>
        <v>6.0000000000000001E-3</v>
      </c>
      <c r="CY83">
        <f t="shared" si="11"/>
        <v>932.72</v>
      </c>
      <c r="CZ83">
        <f t="shared" si="12"/>
        <v>87.17</v>
      </c>
      <c r="DA83">
        <f t="shared" si="13"/>
        <v>10.7</v>
      </c>
      <c r="DB83">
        <f t="shared" si="9"/>
        <v>26.15</v>
      </c>
      <c r="DC83">
        <f t="shared" si="10"/>
        <v>3.4750000000000001</v>
      </c>
    </row>
    <row r="84" spans="1:107">
      <c r="A84">
        <f>ROW(Source!A95)</f>
        <v>95</v>
      </c>
      <c r="B84">
        <v>35841400</v>
      </c>
      <c r="C84">
        <v>35841695</v>
      </c>
      <c r="D84">
        <v>29107906</v>
      </c>
      <c r="E84">
        <v>1</v>
      </c>
      <c r="F84">
        <v>1</v>
      </c>
      <c r="G84">
        <v>1</v>
      </c>
      <c r="H84">
        <v>3</v>
      </c>
      <c r="I84" t="s">
        <v>492</v>
      </c>
      <c r="J84" t="s">
        <v>493</v>
      </c>
      <c r="K84" t="s">
        <v>494</v>
      </c>
      <c r="L84">
        <v>1348</v>
      </c>
      <c r="N84">
        <v>1009</v>
      </c>
      <c r="O84" t="s">
        <v>27</v>
      </c>
      <c r="P84" t="s">
        <v>27</v>
      </c>
      <c r="Q84">
        <v>1000</v>
      </c>
      <c r="W84">
        <v>0</v>
      </c>
      <c r="X84">
        <v>1503255097</v>
      </c>
      <c r="Y84">
        <v>1E-4</v>
      </c>
      <c r="AA84">
        <v>191774</v>
      </c>
      <c r="AB84">
        <v>0</v>
      </c>
      <c r="AC84">
        <v>0</v>
      </c>
      <c r="AD84">
        <v>0</v>
      </c>
      <c r="AE84">
        <v>37900</v>
      </c>
      <c r="AF84">
        <v>0</v>
      </c>
      <c r="AG84">
        <v>0</v>
      </c>
      <c r="AH84">
        <v>0</v>
      </c>
      <c r="AI84">
        <v>5.0599999999999996</v>
      </c>
      <c r="AJ84">
        <v>1</v>
      </c>
      <c r="AK84">
        <v>1</v>
      </c>
      <c r="AL84">
        <v>1</v>
      </c>
      <c r="AN84">
        <v>0</v>
      </c>
      <c r="AO84">
        <v>1</v>
      </c>
      <c r="AP84">
        <v>0</v>
      </c>
      <c r="AQ84">
        <v>0</v>
      </c>
      <c r="AR84">
        <v>0</v>
      </c>
      <c r="AS84" t="s">
        <v>3</v>
      </c>
      <c r="AT84">
        <v>1E-4</v>
      </c>
      <c r="AU84" t="s">
        <v>3</v>
      </c>
      <c r="AV84">
        <v>0</v>
      </c>
      <c r="AW84">
        <v>2</v>
      </c>
      <c r="AX84">
        <v>35841724</v>
      </c>
      <c r="AY84">
        <v>1</v>
      </c>
      <c r="AZ84">
        <v>0</v>
      </c>
      <c r="BA84">
        <v>81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0</v>
      </c>
      <c r="BT84">
        <v>0</v>
      </c>
      <c r="BU84">
        <v>0</v>
      </c>
      <c r="BV84">
        <v>0</v>
      </c>
      <c r="BW84">
        <v>0</v>
      </c>
      <c r="CX84">
        <f>Y84*Source!I95</f>
        <v>2.0000000000000003E-6</v>
      </c>
      <c r="CY84">
        <f t="shared" ref="CY84:CY95" si="14">AA84</f>
        <v>191774</v>
      </c>
      <c r="CZ84">
        <f t="shared" ref="CZ84:CZ95" si="15">AE84</f>
        <v>37900</v>
      </c>
      <c r="DA84">
        <f t="shared" ref="DA84:DA95" si="16">AI84</f>
        <v>5.0599999999999996</v>
      </c>
      <c r="DB84">
        <f t="shared" ref="DB84:DB102" si="17">ROUND(ROUND(AT84*CZ84,2),6)</f>
        <v>3.79</v>
      </c>
      <c r="DC84">
        <f t="shared" ref="DC84:DC102" si="18">ROUND(ROUND(AT84*AG84,2),6)</f>
        <v>0</v>
      </c>
    </row>
    <row r="85" spans="1:107">
      <c r="A85">
        <f>ROW(Source!A95)</f>
        <v>95</v>
      </c>
      <c r="B85">
        <v>35841400</v>
      </c>
      <c r="C85">
        <v>35841695</v>
      </c>
      <c r="D85">
        <v>29107441</v>
      </c>
      <c r="E85">
        <v>1</v>
      </c>
      <c r="F85">
        <v>1</v>
      </c>
      <c r="G85">
        <v>1</v>
      </c>
      <c r="H85">
        <v>3</v>
      </c>
      <c r="I85" t="s">
        <v>495</v>
      </c>
      <c r="J85" t="s">
        <v>496</v>
      </c>
      <c r="K85" t="s">
        <v>497</v>
      </c>
      <c r="L85">
        <v>1339</v>
      </c>
      <c r="N85">
        <v>1007</v>
      </c>
      <c r="O85" t="s">
        <v>391</v>
      </c>
      <c r="P85" t="s">
        <v>391</v>
      </c>
      <c r="Q85">
        <v>1</v>
      </c>
      <c r="W85">
        <v>0</v>
      </c>
      <c r="X85">
        <v>1086220539</v>
      </c>
      <c r="Y85">
        <v>0.4</v>
      </c>
      <c r="AA85">
        <v>75.069999999999993</v>
      </c>
      <c r="AB85">
        <v>0</v>
      </c>
      <c r="AC85">
        <v>0</v>
      </c>
      <c r="AD85">
        <v>0</v>
      </c>
      <c r="AE85">
        <v>6.23</v>
      </c>
      <c r="AF85">
        <v>0</v>
      </c>
      <c r="AG85">
        <v>0</v>
      </c>
      <c r="AH85">
        <v>0</v>
      </c>
      <c r="AI85">
        <v>12.05</v>
      </c>
      <c r="AJ85">
        <v>1</v>
      </c>
      <c r="AK85">
        <v>1</v>
      </c>
      <c r="AL85">
        <v>1</v>
      </c>
      <c r="AN85">
        <v>0</v>
      </c>
      <c r="AO85">
        <v>1</v>
      </c>
      <c r="AP85">
        <v>0</v>
      </c>
      <c r="AQ85">
        <v>0</v>
      </c>
      <c r="AR85">
        <v>0</v>
      </c>
      <c r="AS85" t="s">
        <v>3</v>
      </c>
      <c r="AT85">
        <v>0.4</v>
      </c>
      <c r="AU85" t="s">
        <v>3</v>
      </c>
      <c r="AV85">
        <v>0</v>
      </c>
      <c r="AW85">
        <v>2</v>
      </c>
      <c r="AX85">
        <v>35841725</v>
      </c>
      <c r="AY85">
        <v>1</v>
      </c>
      <c r="AZ85">
        <v>0</v>
      </c>
      <c r="BA85">
        <v>82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0</v>
      </c>
      <c r="BU85">
        <v>0</v>
      </c>
      <c r="BV85">
        <v>0</v>
      </c>
      <c r="BW85">
        <v>0</v>
      </c>
      <c r="CX85">
        <f>Y85*Source!I95</f>
        <v>8.0000000000000002E-3</v>
      </c>
      <c r="CY85">
        <f t="shared" si="14"/>
        <v>75.069999999999993</v>
      </c>
      <c r="CZ85">
        <f t="shared" si="15"/>
        <v>6.23</v>
      </c>
      <c r="DA85">
        <f t="shared" si="16"/>
        <v>12.05</v>
      </c>
      <c r="DB85">
        <f t="shared" si="17"/>
        <v>2.4900000000000002</v>
      </c>
      <c r="DC85">
        <f t="shared" si="18"/>
        <v>0</v>
      </c>
    </row>
    <row r="86" spans="1:107">
      <c r="A86">
        <f>ROW(Source!A95)</f>
        <v>95</v>
      </c>
      <c r="B86">
        <v>35841400</v>
      </c>
      <c r="C86">
        <v>35841695</v>
      </c>
      <c r="D86">
        <v>29113598</v>
      </c>
      <c r="E86">
        <v>1</v>
      </c>
      <c r="F86">
        <v>1</v>
      </c>
      <c r="G86">
        <v>1</v>
      </c>
      <c r="H86">
        <v>3</v>
      </c>
      <c r="I86" t="s">
        <v>498</v>
      </c>
      <c r="J86" t="s">
        <v>499</v>
      </c>
      <c r="K86" t="s">
        <v>500</v>
      </c>
      <c r="L86">
        <v>1348</v>
      </c>
      <c r="N86">
        <v>1009</v>
      </c>
      <c r="O86" t="s">
        <v>27</v>
      </c>
      <c r="P86" t="s">
        <v>27</v>
      </c>
      <c r="Q86">
        <v>1000</v>
      </c>
      <c r="W86">
        <v>0</v>
      </c>
      <c r="X86">
        <v>-18179437</v>
      </c>
      <c r="Y86">
        <v>3.0000000000000001E-5</v>
      </c>
      <c r="AA86">
        <v>57338.42</v>
      </c>
      <c r="AB86">
        <v>0</v>
      </c>
      <c r="AC86">
        <v>0</v>
      </c>
      <c r="AD86">
        <v>0</v>
      </c>
      <c r="AE86">
        <v>4455.2</v>
      </c>
      <c r="AF86">
        <v>0</v>
      </c>
      <c r="AG86">
        <v>0</v>
      </c>
      <c r="AH86">
        <v>0</v>
      </c>
      <c r="AI86">
        <v>12.87</v>
      </c>
      <c r="AJ86">
        <v>1</v>
      </c>
      <c r="AK86">
        <v>1</v>
      </c>
      <c r="AL86">
        <v>1</v>
      </c>
      <c r="AN86">
        <v>0</v>
      </c>
      <c r="AO86">
        <v>1</v>
      </c>
      <c r="AP86">
        <v>0</v>
      </c>
      <c r="AQ86">
        <v>0</v>
      </c>
      <c r="AR86">
        <v>0</v>
      </c>
      <c r="AS86" t="s">
        <v>3</v>
      </c>
      <c r="AT86">
        <v>3.0000000000000001E-5</v>
      </c>
      <c r="AU86" t="s">
        <v>3</v>
      </c>
      <c r="AV86">
        <v>0</v>
      </c>
      <c r="AW86">
        <v>2</v>
      </c>
      <c r="AX86">
        <v>35841726</v>
      </c>
      <c r="AY86">
        <v>1</v>
      </c>
      <c r="AZ86">
        <v>0</v>
      </c>
      <c r="BA86">
        <v>83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0</v>
      </c>
      <c r="BQ86">
        <v>0</v>
      </c>
      <c r="BR86">
        <v>0</v>
      </c>
      <c r="BS86">
        <v>0</v>
      </c>
      <c r="BT86">
        <v>0</v>
      </c>
      <c r="BU86">
        <v>0</v>
      </c>
      <c r="BV86">
        <v>0</v>
      </c>
      <c r="BW86">
        <v>0</v>
      </c>
      <c r="CX86">
        <f>Y86*Source!I95</f>
        <v>6.0000000000000008E-7</v>
      </c>
      <c r="CY86">
        <f t="shared" si="14"/>
        <v>57338.42</v>
      </c>
      <c r="CZ86">
        <f t="shared" si="15"/>
        <v>4455.2</v>
      </c>
      <c r="DA86">
        <f t="shared" si="16"/>
        <v>12.87</v>
      </c>
      <c r="DB86">
        <f t="shared" si="17"/>
        <v>0.13</v>
      </c>
      <c r="DC86">
        <f t="shared" si="18"/>
        <v>0</v>
      </c>
    </row>
    <row r="87" spans="1:107">
      <c r="A87">
        <f>ROW(Source!A95)</f>
        <v>95</v>
      </c>
      <c r="B87">
        <v>35841400</v>
      </c>
      <c r="C87">
        <v>35841695</v>
      </c>
      <c r="D87">
        <v>29113797</v>
      </c>
      <c r="E87">
        <v>1</v>
      </c>
      <c r="F87">
        <v>1</v>
      </c>
      <c r="G87">
        <v>1</v>
      </c>
      <c r="H87">
        <v>3</v>
      </c>
      <c r="I87" t="s">
        <v>501</v>
      </c>
      <c r="J87" t="s">
        <v>502</v>
      </c>
      <c r="K87" t="s">
        <v>503</v>
      </c>
      <c r="L87">
        <v>1348</v>
      </c>
      <c r="N87">
        <v>1009</v>
      </c>
      <c r="O87" t="s">
        <v>27</v>
      </c>
      <c r="P87" t="s">
        <v>27</v>
      </c>
      <c r="Q87">
        <v>1000</v>
      </c>
      <c r="W87">
        <v>0</v>
      </c>
      <c r="X87">
        <v>-1732621387</v>
      </c>
      <c r="Y87">
        <v>1.9400000000000001E-3</v>
      </c>
      <c r="AA87">
        <v>98301.6</v>
      </c>
      <c r="AB87">
        <v>0</v>
      </c>
      <c r="AC87">
        <v>0</v>
      </c>
      <c r="AD87">
        <v>0</v>
      </c>
      <c r="AE87">
        <v>4920</v>
      </c>
      <c r="AF87">
        <v>0</v>
      </c>
      <c r="AG87">
        <v>0</v>
      </c>
      <c r="AH87">
        <v>0</v>
      </c>
      <c r="AI87">
        <v>19.98</v>
      </c>
      <c r="AJ87">
        <v>1</v>
      </c>
      <c r="AK87">
        <v>1</v>
      </c>
      <c r="AL87">
        <v>1</v>
      </c>
      <c r="AN87">
        <v>0</v>
      </c>
      <c r="AO87">
        <v>1</v>
      </c>
      <c r="AP87">
        <v>0</v>
      </c>
      <c r="AQ87">
        <v>0</v>
      </c>
      <c r="AR87">
        <v>0</v>
      </c>
      <c r="AS87" t="s">
        <v>3</v>
      </c>
      <c r="AT87">
        <v>1.9400000000000001E-3</v>
      </c>
      <c r="AU87" t="s">
        <v>3</v>
      </c>
      <c r="AV87">
        <v>0</v>
      </c>
      <c r="AW87">
        <v>2</v>
      </c>
      <c r="AX87">
        <v>35841727</v>
      </c>
      <c r="AY87">
        <v>1</v>
      </c>
      <c r="AZ87">
        <v>0</v>
      </c>
      <c r="BA87">
        <v>84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0</v>
      </c>
      <c r="BN87">
        <v>0</v>
      </c>
      <c r="BO87">
        <v>0</v>
      </c>
      <c r="BP87">
        <v>0</v>
      </c>
      <c r="BQ87">
        <v>0</v>
      </c>
      <c r="BR87">
        <v>0</v>
      </c>
      <c r="BS87">
        <v>0</v>
      </c>
      <c r="BT87">
        <v>0</v>
      </c>
      <c r="BU87">
        <v>0</v>
      </c>
      <c r="BV87">
        <v>0</v>
      </c>
      <c r="BW87">
        <v>0</v>
      </c>
      <c r="CX87">
        <f>Y87*Source!I95</f>
        <v>3.8800000000000001E-5</v>
      </c>
      <c r="CY87">
        <f t="shared" si="14"/>
        <v>98301.6</v>
      </c>
      <c r="CZ87">
        <f t="shared" si="15"/>
        <v>4920</v>
      </c>
      <c r="DA87">
        <f t="shared" si="16"/>
        <v>19.98</v>
      </c>
      <c r="DB87">
        <f t="shared" si="17"/>
        <v>9.5399999999999991</v>
      </c>
      <c r="DC87">
        <f t="shared" si="18"/>
        <v>0</v>
      </c>
    </row>
    <row r="88" spans="1:107">
      <c r="A88">
        <f>ROW(Source!A95)</f>
        <v>95</v>
      </c>
      <c r="B88">
        <v>35841400</v>
      </c>
      <c r="C88">
        <v>35841695</v>
      </c>
      <c r="D88">
        <v>29113990</v>
      </c>
      <c r="E88">
        <v>1</v>
      </c>
      <c r="F88">
        <v>1</v>
      </c>
      <c r="G88">
        <v>1</v>
      </c>
      <c r="H88">
        <v>3</v>
      </c>
      <c r="I88" t="s">
        <v>504</v>
      </c>
      <c r="J88" t="s">
        <v>505</v>
      </c>
      <c r="K88" t="s">
        <v>506</v>
      </c>
      <c r="L88">
        <v>1348</v>
      </c>
      <c r="N88">
        <v>1009</v>
      </c>
      <c r="O88" t="s">
        <v>27</v>
      </c>
      <c r="P88" t="s">
        <v>27</v>
      </c>
      <c r="Q88">
        <v>1000</v>
      </c>
      <c r="W88">
        <v>0</v>
      </c>
      <c r="X88">
        <v>1524423963</v>
      </c>
      <c r="Y88">
        <v>3.5999999999999999E-3</v>
      </c>
      <c r="AA88">
        <v>89190.81</v>
      </c>
      <c r="AB88">
        <v>0</v>
      </c>
      <c r="AC88">
        <v>0</v>
      </c>
      <c r="AD88">
        <v>0</v>
      </c>
      <c r="AE88">
        <v>10169.99</v>
      </c>
      <c r="AF88">
        <v>0</v>
      </c>
      <c r="AG88">
        <v>0</v>
      </c>
      <c r="AH88">
        <v>0</v>
      </c>
      <c r="AI88">
        <v>8.77</v>
      </c>
      <c r="AJ88">
        <v>1</v>
      </c>
      <c r="AK88">
        <v>1</v>
      </c>
      <c r="AL88">
        <v>1</v>
      </c>
      <c r="AN88">
        <v>0</v>
      </c>
      <c r="AO88">
        <v>1</v>
      </c>
      <c r="AP88">
        <v>0</v>
      </c>
      <c r="AQ88">
        <v>0</v>
      </c>
      <c r="AR88">
        <v>0</v>
      </c>
      <c r="AS88" t="s">
        <v>3</v>
      </c>
      <c r="AT88">
        <v>3.5999999999999999E-3</v>
      </c>
      <c r="AU88" t="s">
        <v>3</v>
      </c>
      <c r="AV88">
        <v>0</v>
      </c>
      <c r="AW88">
        <v>2</v>
      </c>
      <c r="AX88">
        <v>35841728</v>
      </c>
      <c r="AY88">
        <v>1</v>
      </c>
      <c r="AZ88">
        <v>0</v>
      </c>
      <c r="BA88">
        <v>85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CX88">
        <f>Y88*Source!I95</f>
        <v>7.2000000000000002E-5</v>
      </c>
      <c r="CY88">
        <f t="shared" si="14"/>
        <v>89190.81</v>
      </c>
      <c r="CZ88">
        <f t="shared" si="15"/>
        <v>10169.99</v>
      </c>
      <c r="DA88">
        <f t="shared" si="16"/>
        <v>8.77</v>
      </c>
      <c r="DB88">
        <f t="shared" si="17"/>
        <v>36.61</v>
      </c>
      <c r="DC88">
        <f t="shared" si="18"/>
        <v>0</v>
      </c>
    </row>
    <row r="89" spans="1:107">
      <c r="A89">
        <f>ROW(Source!A95)</f>
        <v>95</v>
      </c>
      <c r="B89">
        <v>35841400</v>
      </c>
      <c r="C89">
        <v>35841695</v>
      </c>
      <c r="D89">
        <v>29114332</v>
      </c>
      <c r="E89">
        <v>1</v>
      </c>
      <c r="F89">
        <v>1</v>
      </c>
      <c r="G89">
        <v>1</v>
      </c>
      <c r="H89">
        <v>3</v>
      </c>
      <c r="I89" t="s">
        <v>440</v>
      </c>
      <c r="J89" t="s">
        <v>441</v>
      </c>
      <c r="K89" t="s">
        <v>442</v>
      </c>
      <c r="L89">
        <v>1348</v>
      </c>
      <c r="N89">
        <v>1009</v>
      </c>
      <c r="O89" t="s">
        <v>27</v>
      </c>
      <c r="P89" t="s">
        <v>27</v>
      </c>
      <c r="Q89">
        <v>1000</v>
      </c>
      <c r="W89">
        <v>0</v>
      </c>
      <c r="X89">
        <v>233971917</v>
      </c>
      <c r="Y89">
        <v>1.0000000000000001E-5</v>
      </c>
      <c r="AA89">
        <v>54619.68</v>
      </c>
      <c r="AB89">
        <v>0</v>
      </c>
      <c r="AC89">
        <v>0</v>
      </c>
      <c r="AD89">
        <v>0</v>
      </c>
      <c r="AE89">
        <v>11978</v>
      </c>
      <c r="AF89">
        <v>0</v>
      </c>
      <c r="AG89">
        <v>0</v>
      </c>
      <c r="AH89">
        <v>0</v>
      </c>
      <c r="AI89">
        <v>4.5599999999999996</v>
      </c>
      <c r="AJ89">
        <v>1</v>
      </c>
      <c r="AK89">
        <v>1</v>
      </c>
      <c r="AL89">
        <v>1</v>
      </c>
      <c r="AN89">
        <v>0</v>
      </c>
      <c r="AO89">
        <v>1</v>
      </c>
      <c r="AP89">
        <v>0</v>
      </c>
      <c r="AQ89">
        <v>0</v>
      </c>
      <c r="AR89">
        <v>0</v>
      </c>
      <c r="AS89" t="s">
        <v>3</v>
      </c>
      <c r="AT89">
        <v>1.0000000000000001E-5</v>
      </c>
      <c r="AU89" t="s">
        <v>3</v>
      </c>
      <c r="AV89">
        <v>0</v>
      </c>
      <c r="AW89">
        <v>2</v>
      </c>
      <c r="AX89">
        <v>35841729</v>
      </c>
      <c r="AY89">
        <v>1</v>
      </c>
      <c r="AZ89">
        <v>0</v>
      </c>
      <c r="BA89">
        <v>86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0</v>
      </c>
      <c r="CX89">
        <f>Y89*Source!I95</f>
        <v>2.0000000000000002E-7</v>
      </c>
      <c r="CY89">
        <f t="shared" si="14"/>
        <v>54619.68</v>
      </c>
      <c r="CZ89">
        <f t="shared" si="15"/>
        <v>11978</v>
      </c>
      <c r="DA89">
        <f t="shared" si="16"/>
        <v>4.5599999999999996</v>
      </c>
      <c r="DB89">
        <f t="shared" si="17"/>
        <v>0.12</v>
      </c>
      <c r="DC89">
        <f t="shared" si="18"/>
        <v>0</v>
      </c>
    </row>
    <row r="90" spans="1:107">
      <c r="A90">
        <f>ROW(Source!A95)</f>
        <v>95</v>
      </c>
      <c r="B90">
        <v>35841400</v>
      </c>
      <c r="C90">
        <v>35841695</v>
      </c>
      <c r="D90">
        <v>29107444</v>
      </c>
      <c r="E90">
        <v>1</v>
      </c>
      <c r="F90">
        <v>1</v>
      </c>
      <c r="G90">
        <v>1</v>
      </c>
      <c r="H90">
        <v>3</v>
      </c>
      <c r="I90" t="s">
        <v>507</v>
      </c>
      <c r="J90" t="s">
        <v>508</v>
      </c>
      <c r="K90" t="s">
        <v>509</v>
      </c>
      <c r="L90">
        <v>1346</v>
      </c>
      <c r="N90">
        <v>1009</v>
      </c>
      <c r="O90" t="s">
        <v>153</v>
      </c>
      <c r="P90" t="s">
        <v>153</v>
      </c>
      <c r="Q90">
        <v>1</v>
      </c>
      <c r="W90">
        <v>0</v>
      </c>
      <c r="X90">
        <v>-1984574147</v>
      </c>
      <c r="Y90">
        <v>0.45</v>
      </c>
      <c r="AA90">
        <v>55.54</v>
      </c>
      <c r="AB90">
        <v>0</v>
      </c>
      <c r="AC90">
        <v>0</v>
      </c>
      <c r="AD90">
        <v>0</v>
      </c>
      <c r="AE90">
        <v>6.09</v>
      </c>
      <c r="AF90">
        <v>0</v>
      </c>
      <c r="AG90">
        <v>0</v>
      </c>
      <c r="AH90">
        <v>0</v>
      </c>
      <c r="AI90">
        <v>9.1199999999999992</v>
      </c>
      <c r="AJ90">
        <v>1</v>
      </c>
      <c r="AK90">
        <v>1</v>
      </c>
      <c r="AL90">
        <v>1</v>
      </c>
      <c r="AN90">
        <v>0</v>
      </c>
      <c r="AO90">
        <v>1</v>
      </c>
      <c r="AP90">
        <v>0</v>
      </c>
      <c r="AQ90">
        <v>0</v>
      </c>
      <c r="AR90">
        <v>0</v>
      </c>
      <c r="AS90" t="s">
        <v>3</v>
      </c>
      <c r="AT90">
        <v>0.45</v>
      </c>
      <c r="AU90" t="s">
        <v>3</v>
      </c>
      <c r="AV90">
        <v>0</v>
      </c>
      <c r="AW90">
        <v>2</v>
      </c>
      <c r="AX90">
        <v>35841730</v>
      </c>
      <c r="AY90">
        <v>1</v>
      </c>
      <c r="AZ90">
        <v>0</v>
      </c>
      <c r="BA90">
        <v>87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0</v>
      </c>
      <c r="BU90">
        <v>0</v>
      </c>
      <c r="BV90">
        <v>0</v>
      </c>
      <c r="BW90">
        <v>0</v>
      </c>
      <c r="CX90">
        <f>Y90*Source!I95</f>
        <v>9.0000000000000011E-3</v>
      </c>
      <c r="CY90">
        <f t="shared" si="14"/>
        <v>55.54</v>
      </c>
      <c r="CZ90">
        <f t="shared" si="15"/>
        <v>6.09</v>
      </c>
      <c r="DA90">
        <f t="shared" si="16"/>
        <v>9.1199999999999992</v>
      </c>
      <c r="DB90">
        <f t="shared" si="17"/>
        <v>2.74</v>
      </c>
      <c r="DC90">
        <f t="shared" si="18"/>
        <v>0</v>
      </c>
    </row>
    <row r="91" spans="1:107">
      <c r="A91">
        <f>ROW(Source!A95)</f>
        <v>95</v>
      </c>
      <c r="B91">
        <v>35841400</v>
      </c>
      <c r="C91">
        <v>35841695</v>
      </c>
      <c r="D91">
        <v>29110606</v>
      </c>
      <c r="E91">
        <v>1</v>
      </c>
      <c r="F91">
        <v>1</v>
      </c>
      <c r="G91">
        <v>1</v>
      </c>
      <c r="H91">
        <v>3</v>
      </c>
      <c r="I91" t="s">
        <v>510</v>
      </c>
      <c r="J91" t="s">
        <v>511</v>
      </c>
      <c r="K91" t="s">
        <v>512</v>
      </c>
      <c r="L91">
        <v>1348</v>
      </c>
      <c r="N91">
        <v>1009</v>
      </c>
      <c r="O91" t="s">
        <v>27</v>
      </c>
      <c r="P91" t="s">
        <v>27</v>
      </c>
      <c r="Q91">
        <v>1000</v>
      </c>
      <c r="W91">
        <v>0</v>
      </c>
      <c r="X91">
        <v>-1672330871</v>
      </c>
      <c r="Y91">
        <v>5.9999999999999995E-4</v>
      </c>
      <c r="AA91">
        <v>85910.399999999994</v>
      </c>
      <c r="AB91">
        <v>0</v>
      </c>
      <c r="AC91">
        <v>0</v>
      </c>
      <c r="AD91">
        <v>0</v>
      </c>
      <c r="AE91">
        <v>9420</v>
      </c>
      <c r="AF91">
        <v>0</v>
      </c>
      <c r="AG91">
        <v>0</v>
      </c>
      <c r="AH91">
        <v>0</v>
      </c>
      <c r="AI91">
        <v>9.1199999999999992</v>
      </c>
      <c r="AJ91">
        <v>1</v>
      </c>
      <c r="AK91">
        <v>1</v>
      </c>
      <c r="AL91">
        <v>1</v>
      </c>
      <c r="AN91">
        <v>0</v>
      </c>
      <c r="AO91">
        <v>1</v>
      </c>
      <c r="AP91">
        <v>0</v>
      </c>
      <c r="AQ91">
        <v>0</v>
      </c>
      <c r="AR91">
        <v>0</v>
      </c>
      <c r="AS91" t="s">
        <v>3</v>
      </c>
      <c r="AT91">
        <v>5.9999999999999995E-4</v>
      </c>
      <c r="AU91" t="s">
        <v>3</v>
      </c>
      <c r="AV91">
        <v>0</v>
      </c>
      <c r="AW91">
        <v>2</v>
      </c>
      <c r="AX91">
        <v>35841731</v>
      </c>
      <c r="AY91">
        <v>1</v>
      </c>
      <c r="AZ91">
        <v>0</v>
      </c>
      <c r="BA91">
        <v>88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0</v>
      </c>
      <c r="BN91">
        <v>0</v>
      </c>
      <c r="BO91">
        <v>0</v>
      </c>
      <c r="BP91">
        <v>0</v>
      </c>
      <c r="BQ91">
        <v>0</v>
      </c>
      <c r="BR91">
        <v>0</v>
      </c>
      <c r="BS91">
        <v>0</v>
      </c>
      <c r="BT91">
        <v>0</v>
      </c>
      <c r="BU91">
        <v>0</v>
      </c>
      <c r="BV91">
        <v>0</v>
      </c>
      <c r="BW91">
        <v>0</v>
      </c>
      <c r="CX91">
        <f>Y91*Source!I95</f>
        <v>1.1999999999999999E-5</v>
      </c>
      <c r="CY91">
        <f t="shared" si="14"/>
        <v>85910.399999999994</v>
      </c>
      <c r="CZ91">
        <f t="shared" si="15"/>
        <v>9420</v>
      </c>
      <c r="DA91">
        <f t="shared" si="16"/>
        <v>9.1199999999999992</v>
      </c>
      <c r="DB91">
        <f t="shared" si="17"/>
        <v>5.65</v>
      </c>
      <c r="DC91">
        <f t="shared" si="18"/>
        <v>0</v>
      </c>
    </row>
    <row r="92" spans="1:107">
      <c r="A92">
        <f>ROW(Source!A95)</f>
        <v>95</v>
      </c>
      <c r="B92">
        <v>35841400</v>
      </c>
      <c r="C92">
        <v>35841695</v>
      </c>
      <c r="D92">
        <v>29122102</v>
      </c>
      <c r="E92">
        <v>1</v>
      </c>
      <c r="F92">
        <v>1</v>
      </c>
      <c r="G92">
        <v>1</v>
      </c>
      <c r="H92">
        <v>3</v>
      </c>
      <c r="I92" t="s">
        <v>513</v>
      </c>
      <c r="J92" t="s">
        <v>514</v>
      </c>
      <c r="K92" t="s">
        <v>515</v>
      </c>
      <c r="L92">
        <v>1348</v>
      </c>
      <c r="N92">
        <v>1009</v>
      </c>
      <c r="O92" t="s">
        <v>27</v>
      </c>
      <c r="P92" t="s">
        <v>27</v>
      </c>
      <c r="Q92">
        <v>1000</v>
      </c>
      <c r="W92">
        <v>0</v>
      </c>
      <c r="X92">
        <v>191355920</v>
      </c>
      <c r="Y92">
        <v>3.1E-4</v>
      </c>
      <c r="AA92">
        <v>47641</v>
      </c>
      <c r="AB92">
        <v>0</v>
      </c>
      <c r="AC92">
        <v>0</v>
      </c>
      <c r="AD92">
        <v>0</v>
      </c>
      <c r="AE92">
        <v>15620</v>
      </c>
      <c r="AF92">
        <v>0</v>
      </c>
      <c r="AG92">
        <v>0</v>
      </c>
      <c r="AH92">
        <v>0</v>
      </c>
      <c r="AI92">
        <v>3.05</v>
      </c>
      <c r="AJ92">
        <v>1</v>
      </c>
      <c r="AK92">
        <v>1</v>
      </c>
      <c r="AL92">
        <v>1</v>
      </c>
      <c r="AN92">
        <v>0</v>
      </c>
      <c r="AO92">
        <v>1</v>
      </c>
      <c r="AP92">
        <v>0</v>
      </c>
      <c r="AQ92">
        <v>0</v>
      </c>
      <c r="AR92">
        <v>0</v>
      </c>
      <c r="AS92" t="s">
        <v>3</v>
      </c>
      <c r="AT92">
        <v>3.1E-4</v>
      </c>
      <c r="AU92" t="s">
        <v>3</v>
      </c>
      <c r="AV92">
        <v>0</v>
      </c>
      <c r="AW92">
        <v>2</v>
      </c>
      <c r="AX92">
        <v>35841732</v>
      </c>
      <c r="AY92">
        <v>1</v>
      </c>
      <c r="AZ92">
        <v>0</v>
      </c>
      <c r="BA92">
        <v>89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0</v>
      </c>
      <c r="BL92">
        <v>0</v>
      </c>
      <c r="BM92">
        <v>0</v>
      </c>
      <c r="BN92">
        <v>0</v>
      </c>
      <c r="BO92">
        <v>0</v>
      </c>
      <c r="BP92">
        <v>0</v>
      </c>
      <c r="BQ92">
        <v>0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0</v>
      </c>
      <c r="CX92">
        <f>Y92*Source!I95</f>
        <v>6.1999999999999999E-6</v>
      </c>
      <c r="CY92">
        <f t="shared" si="14"/>
        <v>47641</v>
      </c>
      <c r="CZ92">
        <f t="shared" si="15"/>
        <v>15620</v>
      </c>
      <c r="DA92">
        <f t="shared" si="16"/>
        <v>3.05</v>
      </c>
      <c r="DB92">
        <f t="shared" si="17"/>
        <v>4.84</v>
      </c>
      <c r="DC92">
        <f t="shared" si="18"/>
        <v>0</v>
      </c>
    </row>
    <row r="93" spans="1:107">
      <c r="A93">
        <f>ROW(Source!A95)</f>
        <v>95</v>
      </c>
      <c r="B93">
        <v>35841400</v>
      </c>
      <c r="C93">
        <v>35841695</v>
      </c>
      <c r="D93">
        <v>29126715</v>
      </c>
      <c r="E93">
        <v>1</v>
      </c>
      <c r="F93">
        <v>1</v>
      </c>
      <c r="G93">
        <v>1</v>
      </c>
      <c r="H93">
        <v>3</v>
      </c>
      <c r="I93" t="s">
        <v>202</v>
      </c>
      <c r="J93" t="s">
        <v>205</v>
      </c>
      <c r="K93" t="s">
        <v>203</v>
      </c>
      <c r="L93">
        <v>1035</v>
      </c>
      <c r="N93">
        <v>1013</v>
      </c>
      <c r="O93" t="s">
        <v>204</v>
      </c>
      <c r="P93" t="s">
        <v>204</v>
      </c>
      <c r="Q93">
        <v>1</v>
      </c>
      <c r="W93">
        <v>0</v>
      </c>
      <c r="X93">
        <v>-601878019</v>
      </c>
      <c r="Y93">
        <v>50</v>
      </c>
      <c r="AA93">
        <v>49485.3</v>
      </c>
      <c r="AB93">
        <v>0</v>
      </c>
      <c r="AC93">
        <v>0</v>
      </c>
      <c r="AD93">
        <v>0</v>
      </c>
      <c r="AE93">
        <v>8473.51</v>
      </c>
      <c r="AF93">
        <v>0</v>
      </c>
      <c r="AG93">
        <v>0</v>
      </c>
      <c r="AH93">
        <v>0</v>
      </c>
      <c r="AI93">
        <v>5.84</v>
      </c>
      <c r="AJ93">
        <v>1</v>
      </c>
      <c r="AK93">
        <v>1</v>
      </c>
      <c r="AL93">
        <v>1</v>
      </c>
      <c r="AN93">
        <v>0</v>
      </c>
      <c r="AO93">
        <v>0</v>
      </c>
      <c r="AP93">
        <v>0</v>
      </c>
      <c r="AQ93">
        <v>0</v>
      </c>
      <c r="AR93">
        <v>0</v>
      </c>
      <c r="AS93" t="s">
        <v>3</v>
      </c>
      <c r="AT93">
        <v>50</v>
      </c>
      <c r="AU93" t="s">
        <v>3</v>
      </c>
      <c r="AV93">
        <v>0</v>
      </c>
      <c r="AW93">
        <v>1</v>
      </c>
      <c r="AX93">
        <v>-1</v>
      </c>
      <c r="AY93">
        <v>0</v>
      </c>
      <c r="AZ93">
        <v>0</v>
      </c>
      <c r="BA93" t="s">
        <v>3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0</v>
      </c>
      <c r="BL93">
        <v>0</v>
      </c>
      <c r="BM93">
        <v>0</v>
      </c>
      <c r="BN93">
        <v>0</v>
      </c>
      <c r="BO93">
        <v>0</v>
      </c>
      <c r="BP93">
        <v>0</v>
      </c>
      <c r="BQ93">
        <v>0</v>
      </c>
      <c r="BR93">
        <v>0</v>
      </c>
      <c r="BS93">
        <v>0</v>
      </c>
      <c r="BT93">
        <v>0</v>
      </c>
      <c r="BU93">
        <v>0</v>
      </c>
      <c r="BV93">
        <v>0</v>
      </c>
      <c r="BW93">
        <v>0</v>
      </c>
      <c r="CX93">
        <f>Y93*Source!I95</f>
        <v>1</v>
      </c>
      <c r="CY93">
        <f t="shared" si="14"/>
        <v>49485.3</v>
      </c>
      <c r="CZ93">
        <f t="shared" si="15"/>
        <v>8473.51</v>
      </c>
      <c r="DA93">
        <f t="shared" si="16"/>
        <v>5.84</v>
      </c>
      <c r="DB93">
        <f t="shared" si="17"/>
        <v>423675.5</v>
      </c>
      <c r="DC93">
        <f t="shared" si="18"/>
        <v>0</v>
      </c>
    </row>
    <row r="94" spans="1:107">
      <c r="A94">
        <f>ROW(Source!A95)</f>
        <v>95</v>
      </c>
      <c r="B94">
        <v>35841400</v>
      </c>
      <c r="C94">
        <v>35841695</v>
      </c>
      <c r="D94">
        <v>29162764</v>
      </c>
      <c r="E94">
        <v>1</v>
      </c>
      <c r="F94">
        <v>1</v>
      </c>
      <c r="G94">
        <v>1</v>
      </c>
      <c r="H94">
        <v>3</v>
      </c>
      <c r="I94" t="s">
        <v>516</v>
      </c>
      <c r="J94" t="s">
        <v>517</v>
      </c>
      <c r="K94" t="s">
        <v>518</v>
      </c>
      <c r="L94">
        <v>1302</v>
      </c>
      <c r="N94">
        <v>1003</v>
      </c>
      <c r="O94" t="s">
        <v>519</v>
      </c>
      <c r="P94" t="s">
        <v>519</v>
      </c>
      <c r="Q94">
        <v>10</v>
      </c>
      <c r="W94">
        <v>0</v>
      </c>
      <c r="X94">
        <v>-74884692</v>
      </c>
      <c r="Y94">
        <v>1.8700000000000001E-2</v>
      </c>
      <c r="AA94">
        <v>386.05</v>
      </c>
      <c r="AB94">
        <v>0</v>
      </c>
      <c r="AC94">
        <v>0</v>
      </c>
      <c r="AD94">
        <v>0</v>
      </c>
      <c r="AE94">
        <v>71.489999999999995</v>
      </c>
      <c r="AF94">
        <v>0</v>
      </c>
      <c r="AG94">
        <v>0</v>
      </c>
      <c r="AH94">
        <v>0</v>
      </c>
      <c r="AI94">
        <v>5.4</v>
      </c>
      <c r="AJ94">
        <v>1</v>
      </c>
      <c r="AK94">
        <v>1</v>
      </c>
      <c r="AL94">
        <v>1</v>
      </c>
      <c r="AN94">
        <v>0</v>
      </c>
      <c r="AO94">
        <v>1</v>
      </c>
      <c r="AP94">
        <v>0</v>
      </c>
      <c r="AQ94">
        <v>0</v>
      </c>
      <c r="AR94">
        <v>0</v>
      </c>
      <c r="AS94" t="s">
        <v>3</v>
      </c>
      <c r="AT94">
        <v>1.8700000000000001E-2</v>
      </c>
      <c r="AU94" t="s">
        <v>3</v>
      </c>
      <c r="AV94">
        <v>0</v>
      </c>
      <c r="AW94">
        <v>2</v>
      </c>
      <c r="AX94">
        <v>35841734</v>
      </c>
      <c r="AY94">
        <v>1</v>
      </c>
      <c r="AZ94">
        <v>0</v>
      </c>
      <c r="BA94">
        <v>91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0</v>
      </c>
      <c r="BQ94">
        <v>0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0</v>
      </c>
      <c r="CX94">
        <f>Y94*Source!I95</f>
        <v>3.7400000000000004E-4</v>
      </c>
      <c r="CY94">
        <f t="shared" si="14"/>
        <v>386.05</v>
      </c>
      <c r="CZ94">
        <f t="shared" si="15"/>
        <v>71.489999999999995</v>
      </c>
      <c r="DA94">
        <f t="shared" si="16"/>
        <v>5.4</v>
      </c>
      <c r="DB94">
        <f t="shared" si="17"/>
        <v>1.34</v>
      </c>
      <c r="DC94">
        <f t="shared" si="18"/>
        <v>0</v>
      </c>
    </row>
    <row r="95" spans="1:107">
      <c r="A95">
        <f>ROW(Source!A95)</f>
        <v>95</v>
      </c>
      <c r="B95">
        <v>35841400</v>
      </c>
      <c r="C95">
        <v>35841695</v>
      </c>
      <c r="D95">
        <v>0</v>
      </c>
      <c r="E95">
        <v>0</v>
      </c>
      <c r="F95">
        <v>1</v>
      </c>
      <c r="G95">
        <v>1</v>
      </c>
      <c r="H95">
        <v>3</v>
      </c>
      <c r="I95" t="s">
        <v>207</v>
      </c>
      <c r="J95" t="s">
        <v>3</v>
      </c>
      <c r="K95" t="s">
        <v>208</v>
      </c>
      <c r="L95">
        <v>1354</v>
      </c>
      <c r="N95">
        <v>1010</v>
      </c>
      <c r="O95" t="s">
        <v>209</v>
      </c>
      <c r="P95" t="s">
        <v>209</v>
      </c>
      <c r="Q95">
        <v>1</v>
      </c>
      <c r="W95">
        <v>0</v>
      </c>
      <c r="X95">
        <v>1500290331</v>
      </c>
      <c r="Y95">
        <v>50</v>
      </c>
      <c r="AA95">
        <v>15148.89</v>
      </c>
      <c r="AB95">
        <v>0</v>
      </c>
      <c r="AC95">
        <v>0</v>
      </c>
      <c r="AD95">
        <v>0</v>
      </c>
      <c r="AE95">
        <v>15148.89</v>
      </c>
      <c r="AF95">
        <v>0</v>
      </c>
      <c r="AG95">
        <v>0</v>
      </c>
      <c r="AH95">
        <v>0</v>
      </c>
      <c r="AI95">
        <v>1</v>
      </c>
      <c r="AJ95">
        <v>1</v>
      </c>
      <c r="AK95">
        <v>1</v>
      </c>
      <c r="AL95">
        <v>1</v>
      </c>
      <c r="AN95">
        <v>0</v>
      </c>
      <c r="AO95">
        <v>0</v>
      </c>
      <c r="AP95">
        <v>0</v>
      </c>
      <c r="AQ95">
        <v>0</v>
      </c>
      <c r="AR95">
        <v>0</v>
      </c>
      <c r="AS95" t="s">
        <v>3</v>
      </c>
      <c r="AT95">
        <v>50</v>
      </c>
      <c r="AU95" t="s">
        <v>3</v>
      </c>
      <c r="AV95">
        <v>0</v>
      </c>
      <c r="AW95">
        <v>1</v>
      </c>
      <c r="AX95">
        <v>-1</v>
      </c>
      <c r="AY95">
        <v>0</v>
      </c>
      <c r="AZ95">
        <v>0</v>
      </c>
      <c r="BA95" t="s">
        <v>3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0</v>
      </c>
      <c r="BL95">
        <v>0</v>
      </c>
      <c r="BM95">
        <v>0</v>
      </c>
      <c r="BN95">
        <v>0</v>
      </c>
      <c r="BO95">
        <v>0</v>
      </c>
      <c r="BP95">
        <v>0</v>
      </c>
      <c r="BQ95">
        <v>0</v>
      </c>
      <c r="BR95">
        <v>0</v>
      </c>
      <c r="BS95">
        <v>0</v>
      </c>
      <c r="BT95">
        <v>0</v>
      </c>
      <c r="BU95">
        <v>0</v>
      </c>
      <c r="BV95">
        <v>0</v>
      </c>
      <c r="BW95">
        <v>0</v>
      </c>
      <c r="CX95">
        <f>Y95*Source!I95</f>
        <v>1</v>
      </c>
      <c r="CY95">
        <f t="shared" si="14"/>
        <v>15148.89</v>
      </c>
      <c r="CZ95">
        <f t="shared" si="15"/>
        <v>15148.89</v>
      </c>
      <c r="DA95">
        <f t="shared" si="16"/>
        <v>1</v>
      </c>
      <c r="DB95">
        <f t="shared" si="17"/>
        <v>757444.5</v>
      </c>
      <c r="DC95">
        <f t="shared" si="18"/>
        <v>0</v>
      </c>
    </row>
    <row r="96" spans="1:107">
      <c r="A96">
        <f>ROW(Source!A163)</f>
        <v>163</v>
      </c>
      <c r="B96">
        <v>35841400</v>
      </c>
      <c r="C96">
        <v>35844605</v>
      </c>
      <c r="D96">
        <v>18407525</v>
      </c>
      <c r="E96">
        <v>1</v>
      </c>
      <c r="F96">
        <v>1</v>
      </c>
      <c r="G96">
        <v>1</v>
      </c>
      <c r="H96">
        <v>1</v>
      </c>
      <c r="I96" t="s">
        <v>520</v>
      </c>
      <c r="J96" t="s">
        <v>3</v>
      </c>
      <c r="K96" t="s">
        <v>521</v>
      </c>
      <c r="L96">
        <v>1369</v>
      </c>
      <c r="N96">
        <v>1013</v>
      </c>
      <c r="O96" t="s">
        <v>369</v>
      </c>
      <c r="P96" t="s">
        <v>369</v>
      </c>
      <c r="Q96">
        <v>1</v>
      </c>
      <c r="W96">
        <v>0</v>
      </c>
      <c r="X96">
        <v>-364664199</v>
      </c>
      <c r="Y96">
        <v>110</v>
      </c>
      <c r="AA96">
        <v>0</v>
      </c>
      <c r="AB96">
        <v>0</v>
      </c>
      <c r="AC96">
        <v>0</v>
      </c>
      <c r="AD96">
        <v>256.95</v>
      </c>
      <c r="AE96">
        <v>0</v>
      </c>
      <c r="AF96">
        <v>0</v>
      </c>
      <c r="AG96">
        <v>0</v>
      </c>
      <c r="AH96">
        <v>256.95</v>
      </c>
      <c r="AI96">
        <v>1</v>
      </c>
      <c r="AJ96">
        <v>1</v>
      </c>
      <c r="AK96">
        <v>1</v>
      </c>
      <c r="AL96">
        <v>1</v>
      </c>
      <c r="AN96">
        <v>0</v>
      </c>
      <c r="AO96">
        <v>1</v>
      </c>
      <c r="AP96">
        <v>0</v>
      </c>
      <c r="AQ96">
        <v>0</v>
      </c>
      <c r="AR96">
        <v>0</v>
      </c>
      <c r="AS96" t="s">
        <v>3</v>
      </c>
      <c r="AT96">
        <v>110</v>
      </c>
      <c r="AU96" t="s">
        <v>3</v>
      </c>
      <c r="AV96">
        <v>1</v>
      </c>
      <c r="AW96">
        <v>2</v>
      </c>
      <c r="AX96">
        <v>35844606</v>
      </c>
      <c r="AY96">
        <v>1</v>
      </c>
      <c r="AZ96">
        <v>0</v>
      </c>
      <c r="BA96">
        <v>92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0</v>
      </c>
      <c r="BM96">
        <v>0</v>
      </c>
      <c r="BN96">
        <v>0</v>
      </c>
      <c r="BO96">
        <v>0</v>
      </c>
      <c r="BP96">
        <v>0</v>
      </c>
      <c r="BQ96">
        <v>0</v>
      </c>
      <c r="BR96">
        <v>0</v>
      </c>
      <c r="BS96">
        <v>0</v>
      </c>
      <c r="BT96">
        <v>0</v>
      </c>
      <c r="BU96">
        <v>0</v>
      </c>
      <c r="BV96">
        <v>0</v>
      </c>
      <c r="BW96">
        <v>0</v>
      </c>
      <c r="CX96">
        <f>Y96*Source!I163</f>
        <v>13.2</v>
      </c>
      <c r="CY96">
        <f>AD96</f>
        <v>256.95</v>
      </c>
      <c r="CZ96">
        <f>AH96</f>
        <v>256.95</v>
      </c>
      <c r="DA96">
        <f>AL96</f>
        <v>1</v>
      </c>
      <c r="DB96">
        <f t="shared" si="17"/>
        <v>28264.5</v>
      </c>
      <c r="DC96">
        <f t="shared" si="18"/>
        <v>0</v>
      </c>
    </row>
    <row r="97" spans="1:107">
      <c r="A97">
        <f>ROW(Source!A163)</f>
        <v>163</v>
      </c>
      <c r="B97">
        <v>35841400</v>
      </c>
      <c r="C97">
        <v>35844605</v>
      </c>
      <c r="D97">
        <v>121548</v>
      </c>
      <c r="E97">
        <v>1</v>
      </c>
      <c r="F97">
        <v>1</v>
      </c>
      <c r="G97">
        <v>1</v>
      </c>
      <c r="H97">
        <v>1</v>
      </c>
      <c r="I97" t="s">
        <v>212</v>
      </c>
      <c r="J97" t="s">
        <v>3</v>
      </c>
      <c r="K97" t="s">
        <v>374</v>
      </c>
      <c r="L97">
        <v>608254</v>
      </c>
      <c r="N97">
        <v>1013</v>
      </c>
      <c r="O97" t="s">
        <v>375</v>
      </c>
      <c r="P97" t="s">
        <v>375</v>
      </c>
      <c r="Q97">
        <v>1</v>
      </c>
      <c r="W97">
        <v>0</v>
      </c>
      <c r="X97">
        <v>-185737400</v>
      </c>
      <c r="Y97">
        <v>2.2400000000000002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1</v>
      </c>
      <c r="AJ97">
        <v>1</v>
      </c>
      <c r="AK97">
        <v>1</v>
      </c>
      <c r="AL97">
        <v>1</v>
      </c>
      <c r="AN97">
        <v>0</v>
      </c>
      <c r="AO97">
        <v>1</v>
      </c>
      <c r="AP97">
        <v>0</v>
      </c>
      <c r="AQ97">
        <v>0</v>
      </c>
      <c r="AR97">
        <v>0</v>
      </c>
      <c r="AS97" t="s">
        <v>3</v>
      </c>
      <c r="AT97">
        <v>2.2400000000000002</v>
      </c>
      <c r="AU97" t="s">
        <v>3</v>
      </c>
      <c r="AV97">
        <v>2</v>
      </c>
      <c r="AW97">
        <v>2</v>
      </c>
      <c r="AX97">
        <v>35844607</v>
      </c>
      <c r="AY97">
        <v>1</v>
      </c>
      <c r="AZ97">
        <v>0</v>
      </c>
      <c r="BA97">
        <v>93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0</v>
      </c>
      <c r="BK97">
        <v>0</v>
      </c>
      <c r="BL97">
        <v>0</v>
      </c>
      <c r="BM97">
        <v>0</v>
      </c>
      <c r="BN97">
        <v>0</v>
      </c>
      <c r="BO97">
        <v>0</v>
      </c>
      <c r="BP97">
        <v>0</v>
      </c>
      <c r="BQ97">
        <v>0</v>
      </c>
      <c r="BR97">
        <v>0</v>
      </c>
      <c r="BS97">
        <v>0</v>
      </c>
      <c r="BT97">
        <v>0</v>
      </c>
      <c r="BU97">
        <v>0</v>
      </c>
      <c r="BV97">
        <v>0</v>
      </c>
      <c r="BW97">
        <v>0</v>
      </c>
      <c r="CX97">
        <f>Y97*Source!I163</f>
        <v>0.26880000000000004</v>
      </c>
      <c r="CY97">
        <f>AD97</f>
        <v>0</v>
      </c>
      <c r="CZ97">
        <f>AH97</f>
        <v>0</v>
      </c>
      <c r="DA97">
        <f>AL97</f>
        <v>1</v>
      </c>
      <c r="DB97">
        <f t="shared" si="17"/>
        <v>0</v>
      </c>
      <c r="DC97">
        <f t="shared" si="18"/>
        <v>0</v>
      </c>
    </row>
    <row r="98" spans="1:107">
      <c r="A98">
        <f>ROW(Source!A163)</f>
        <v>163</v>
      </c>
      <c r="B98">
        <v>35841400</v>
      </c>
      <c r="C98">
        <v>35844605</v>
      </c>
      <c r="D98">
        <v>29172556</v>
      </c>
      <c r="E98">
        <v>1</v>
      </c>
      <c r="F98">
        <v>1</v>
      </c>
      <c r="G98">
        <v>1</v>
      </c>
      <c r="H98">
        <v>2</v>
      </c>
      <c r="I98" t="s">
        <v>376</v>
      </c>
      <c r="J98" t="s">
        <v>377</v>
      </c>
      <c r="K98" t="s">
        <v>378</v>
      </c>
      <c r="L98">
        <v>1368</v>
      </c>
      <c r="N98">
        <v>1011</v>
      </c>
      <c r="O98" t="s">
        <v>379</v>
      </c>
      <c r="P98" t="s">
        <v>379</v>
      </c>
      <c r="Q98">
        <v>1</v>
      </c>
      <c r="W98">
        <v>0</v>
      </c>
      <c r="X98">
        <v>-1302720870</v>
      </c>
      <c r="Y98">
        <v>2.2400000000000002</v>
      </c>
      <c r="AA98">
        <v>0</v>
      </c>
      <c r="AB98">
        <v>466.71</v>
      </c>
      <c r="AC98">
        <v>446.18</v>
      </c>
      <c r="AD98">
        <v>0</v>
      </c>
      <c r="AE98">
        <v>0</v>
      </c>
      <c r="AF98">
        <v>31.26</v>
      </c>
      <c r="AG98">
        <v>13.5</v>
      </c>
      <c r="AH98">
        <v>0</v>
      </c>
      <c r="AI98">
        <v>1</v>
      </c>
      <c r="AJ98">
        <v>14.93</v>
      </c>
      <c r="AK98">
        <v>33.049999999999997</v>
      </c>
      <c r="AL98">
        <v>1</v>
      </c>
      <c r="AN98">
        <v>0</v>
      </c>
      <c r="AO98">
        <v>1</v>
      </c>
      <c r="AP98">
        <v>0</v>
      </c>
      <c r="AQ98">
        <v>0</v>
      </c>
      <c r="AR98">
        <v>0</v>
      </c>
      <c r="AS98" t="s">
        <v>3</v>
      </c>
      <c r="AT98">
        <v>2.2400000000000002</v>
      </c>
      <c r="AU98" t="s">
        <v>3</v>
      </c>
      <c r="AV98">
        <v>0</v>
      </c>
      <c r="AW98">
        <v>2</v>
      </c>
      <c r="AX98">
        <v>35844608</v>
      </c>
      <c r="AY98">
        <v>1</v>
      </c>
      <c r="AZ98">
        <v>0</v>
      </c>
      <c r="BA98">
        <v>94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0</v>
      </c>
      <c r="BL98">
        <v>0</v>
      </c>
      <c r="BM98">
        <v>0</v>
      </c>
      <c r="BN98">
        <v>0</v>
      </c>
      <c r="BO98">
        <v>0</v>
      </c>
      <c r="BP98">
        <v>0</v>
      </c>
      <c r="BQ98">
        <v>0</v>
      </c>
      <c r="BR98">
        <v>0</v>
      </c>
      <c r="BS98">
        <v>0</v>
      </c>
      <c r="BT98">
        <v>0</v>
      </c>
      <c r="BU98">
        <v>0</v>
      </c>
      <c r="BV98">
        <v>0</v>
      </c>
      <c r="BW98">
        <v>0</v>
      </c>
      <c r="CX98">
        <f>Y98*Source!I163</f>
        <v>0.26880000000000004</v>
      </c>
      <c r="CY98">
        <f>AB98</f>
        <v>466.71</v>
      </c>
      <c r="CZ98">
        <f>AF98</f>
        <v>31.26</v>
      </c>
      <c r="DA98">
        <f>AJ98</f>
        <v>14.93</v>
      </c>
      <c r="DB98">
        <f t="shared" si="17"/>
        <v>70.02</v>
      </c>
      <c r="DC98">
        <f t="shared" si="18"/>
        <v>30.24</v>
      </c>
    </row>
    <row r="99" spans="1:107">
      <c r="A99">
        <f>ROW(Source!A164)</f>
        <v>164</v>
      </c>
      <c r="B99">
        <v>35841400</v>
      </c>
      <c r="C99">
        <v>35844688</v>
      </c>
      <c r="D99">
        <v>18407150</v>
      </c>
      <c r="E99">
        <v>1</v>
      </c>
      <c r="F99">
        <v>1</v>
      </c>
      <c r="G99">
        <v>1</v>
      </c>
      <c r="H99">
        <v>1</v>
      </c>
      <c r="I99" t="s">
        <v>426</v>
      </c>
      <c r="J99" t="s">
        <v>3</v>
      </c>
      <c r="K99" t="s">
        <v>427</v>
      </c>
      <c r="L99">
        <v>1369</v>
      </c>
      <c r="N99">
        <v>1013</v>
      </c>
      <c r="O99" t="s">
        <v>369</v>
      </c>
      <c r="P99" t="s">
        <v>369</v>
      </c>
      <c r="Q99">
        <v>1</v>
      </c>
      <c r="W99">
        <v>0</v>
      </c>
      <c r="X99">
        <v>-931037793</v>
      </c>
      <c r="Y99">
        <v>43.6</v>
      </c>
      <c r="AA99">
        <v>0</v>
      </c>
      <c r="AB99">
        <v>0</v>
      </c>
      <c r="AC99">
        <v>0</v>
      </c>
      <c r="AD99">
        <v>278.5</v>
      </c>
      <c r="AE99">
        <v>0</v>
      </c>
      <c r="AF99">
        <v>0</v>
      </c>
      <c r="AG99">
        <v>0</v>
      </c>
      <c r="AH99">
        <v>278.5</v>
      </c>
      <c r="AI99">
        <v>1</v>
      </c>
      <c r="AJ99">
        <v>1</v>
      </c>
      <c r="AK99">
        <v>1</v>
      </c>
      <c r="AL99">
        <v>1</v>
      </c>
      <c r="AN99">
        <v>0</v>
      </c>
      <c r="AO99">
        <v>1</v>
      </c>
      <c r="AP99">
        <v>0</v>
      </c>
      <c r="AQ99">
        <v>0</v>
      </c>
      <c r="AR99">
        <v>0</v>
      </c>
      <c r="AS99" t="s">
        <v>3</v>
      </c>
      <c r="AT99">
        <v>43.6</v>
      </c>
      <c r="AU99" t="s">
        <v>3</v>
      </c>
      <c r="AV99">
        <v>1</v>
      </c>
      <c r="AW99">
        <v>2</v>
      </c>
      <c r="AX99">
        <v>35914100</v>
      </c>
      <c r="AY99">
        <v>1</v>
      </c>
      <c r="AZ99">
        <v>0</v>
      </c>
      <c r="BA99">
        <v>95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0</v>
      </c>
      <c r="BL99">
        <v>0</v>
      </c>
      <c r="BM99">
        <v>0</v>
      </c>
      <c r="BN99">
        <v>0</v>
      </c>
      <c r="BO99">
        <v>0</v>
      </c>
      <c r="BP99">
        <v>0</v>
      </c>
      <c r="BQ99">
        <v>0</v>
      </c>
      <c r="BR99">
        <v>0</v>
      </c>
      <c r="BS99">
        <v>0</v>
      </c>
      <c r="BT99">
        <v>0</v>
      </c>
      <c r="BU99">
        <v>0</v>
      </c>
      <c r="BV99">
        <v>0</v>
      </c>
      <c r="BW99">
        <v>0</v>
      </c>
      <c r="CX99">
        <f>Y99*Source!I164</f>
        <v>8.7200000000000006</v>
      </c>
      <c r="CY99">
        <f>AD99</f>
        <v>278.5</v>
      </c>
      <c r="CZ99">
        <f>AH99</f>
        <v>278.5</v>
      </c>
      <c r="DA99">
        <f>AL99</f>
        <v>1</v>
      </c>
      <c r="DB99">
        <f t="shared" si="17"/>
        <v>12142.6</v>
      </c>
      <c r="DC99">
        <f t="shared" si="18"/>
        <v>0</v>
      </c>
    </row>
    <row r="100" spans="1:107">
      <c r="A100">
        <f>ROW(Source!A164)</f>
        <v>164</v>
      </c>
      <c r="B100">
        <v>35841400</v>
      </c>
      <c r="C100">
        <v>35844688</v>
      </c>
      <c r="D100">
        <v>29172659</v>
      </c>
      <c r="E100">
        <v>1</v>
      </c>
      <c r="F100">
        <v>1</v>
      </c>
      <c r="G100">
        <v>1</v>
      </c>
      <c r="H100">
        <v>2</v>
      </c>
      <c r="I100" t="s">
        <v>480</v>
      </c>
      <c r="J100" t="s">
        <v>481</v>
      </c>
      <c r="K100" t="s">
        <v>482</v>
      </c>
      <c r="L100">
        <v>1368</v>
      </c>
      <c r="N100">
        <v>1011</v>
      </c>
      <c r="O100" t="s">
        <v>379</v>
      </c>
      <c r="P100" t="s">
        <v>379</v>
      </c>
      <c r="Q100">
        <v>1</v>
      </c>
      <c r="W100">
        <v>0</v>
      </c>
      <c r="X100">
        <v>-664376910</v>
      </c>
      <c r="Y100">
        <v>5.45</v>
      </c>
      <c r="AA100">
        <v>0</v>
      </c>
      <c r="AB100">
        <v>8.5399999999999991</v>
      </c>
      <c r="AC100">
        <v>0</v>
      </c>
      <c r="AD100">
        <v>0</v>
      </c>
      <c r="AE100">
        <v>0</v>
      </c>
      <c r="AF100">
        <v>1.2</v>
      </c>
      <c r="AG100">
        <v>0</v>
      </c>
      <c r="AH100">
        <v>0</v>
      </c>
      <c r="AI100">
        <v>1</v>
      </c>
      <c r="AJ100">
        <v>7.12</v>
      </c>
      <c r="AK100">
        <v>33.049999999999997</v>
      </c>
      <c r="AL100">
        <v>1</v>
      </c>
      <c r="AN100">
        <v>0</v>
      </c>
      <c r="AO100">
        <v>1</v>
      </c>
      <c r="AP100">
        <v>0</v>
      </c>
      <c r="AQ100">
        <v>0</v>
      </c>
      <c r="AR100">
        <v>0</v>
      </c>
      <c r="AS100" t="s">
        <v>3</v>
      </c>
      <c r="AT100">
        <v>5.45</v>
      </c>
      <c r="AU100" t="s">
        <v>3</v>
      </c>
      <c r="AV100">
        <v>0</v>
      </c>
      <c r="AW100">
        <v>2</v>
      </c>
      <c r="AX100">
        <v>35914101</v>
      </c>
      <c r="AY100">
        <v>1</v>
      </c>
      <c r="AZ100">
        <v>0</v>
      </c>
      <c r="BA100">
        <v>96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0</v>
      </c>
      <c r="BM100">
        <v>0</v>
      </c>
      <c r="BN100">
        <v>0</v>
      </c>
      <c r="BO100">
        <v>0</v>
      </c>
      <c r="BP100">
        <v>0</v>
      </c>
      <c r="BQ100">
        <v>0</v>
      </c>
      <c r="BR100">
        <v>0</v>
      </c>
      <c r="BS100">
        <v>0</v>
      </c>
      <c r="BT100">
        <v>0</v>
      </c>
      <c r="BU100">
        <v>0</v>
      </c>
      <c r="BV100">
        <v>0</v>
      </c>
      <c r="BW100">
        <v>0</v>
      </c>
      <c r="CX100">
        <f>Y100*Source!I164</f>
        <v>1.0900000000000001</v>
      </c>
      <c r="CY100">
        <f>AB100</f>
        <v>8.5399999999999991</v>
      </c>
      <c r="CZ100">
        <f>AF100</f>
        <v>1.2</v>
      </c>
      <c r="DA100">
        <f>AJ100</f>
        <v>7.12</v>
      </c>
      <c r="DB100">
        <f t="shared" si="17"/>
        <v>6.54</v>
      </c>
      <c r="DC100">
        <f t="shared" si="18"/>
        <v>0</v>
      </c>
    </row>
    <row r="101" spans="1:107">
      <c r="A101">
        <f>ROW(Source!A164)</f>
        <v>164</v>
      </c>
      <c r="B101">
        <v>35841400</v>
      </c>
      <c r="C101">
        <v>35844688</v>
      </c>
      <c r="D101">
        <v>29107441</v>
      </c>
      <c r="E101">
        <v>1</v>
      </c>
      <c r="F101">
        <v>1</v>
      </c>
      <c r="G101">
        <v>1</v>
      </c>
      <c r="H101">
        <v>3</v>
      </c>
      <c r="I101" t="s">
        <v>495</v>
      </c>
      <c r="J101" t="s">
        <v>496</v>
      </c>
      <c r="K101" t="s">
        <v>497</v>
      </c>
      <c r="L101">
        <v>1339</v>
      </c>
      <c r="N101">
        <v>1007</v>
      </c>
      <c r="O101" t="s">
        <v>391</v>
      </c>
      <c r="P101" t="s">
        <v>391</v>
      </c>
      <c r="Q101">
        <v>1</v>
      </c>
      <c r="W101">
        <v>0</v>
      </c>
      <c r="X101">
        <v>1086220539</v>
      </c>
      <c r="Y101">
        <v>1.0900000000000001</v>
      </c>
      <c r="AA101">
        <v>75.069999999999993</v>
      </c>
      <c r="AB101">
        <v>0</v>
      </c>
      <c r="AC101">
        <v>0</v>
      </c>
      <c r="AD101">
        <v>0</v>
      </c>
      <c r="AE101">
        <v>6.23</v>
      </c>
      <c r="AF101">
        <v>0</v>
      </c>
      <c r="AG101">
        <v>0</v>
      </c>
      <c r="AH101">
        <v>0</v>
      </c>
      <c r="AI101">
        <v>12.05</v>
      </c>
      <c r="AJ101">
        <v>1</v>
      </c>
      <c r="AK101">
        <v>1</v>
      </c>
      <c r="AL101">
        <v>1</v>
      </c>
      <c r="AN101">
        <v>0</v>
      </c>
      <c r="AO101">
        <v>1</v>
      </c>
      <c r="AP101">
        <v>0</v>
      </c>
      <c r="AQ101">
        <v>0</v>
      </c>
      <c r="AR101">
        <v>0</v>
      </c>
      <c r="AS101" t="s">
        <v>3</v>
      </c>
      <c r="AT101">
        <v>1.0900000000000001</v>
      </c>
      <c r="AU101" t="s">
        <v>3</v>
      </c>
      <c r="AV101">
        <v>0</v>
      </c>
      <c r="AW101">
        <v>2</v>
      </c>
      <c r="AX101">
        <v>35914102</v>
      </c>
      <c r="AY101">
        <v>1</v>
      </c>
      <c r="AZ101">
        <v>0</v>
      </c>
      <c r="BA101">
        <v>97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0</v>
      </c>
      <c r="BM101">
        <v>0</v>
      </c>
      <c r="BN101">
        <v>0</v>
      </c>
      <c r="BO101">
        <v>0</v>
      </c>
      <c r="BP101">
        <v>0</v>
      </c>
      <c r="BQ101">
        <v>0</v>
      </c>
      <c r="BR101">
        <v>0</v>
      </c>
      <c r="BS101">
        <v>0</v>
      </c>
      <c r="BT101">
        <v>0</v>
      </c>
      <c r="BU101">
        <v>0</v>
      </c>
      <c r="BV101">
        <v>0</v>
      </c>
      <c r="BW101">
        <v>0</v>
      </c>
      <c r="CX101">
        <f>Y101*Source!I164</f>
        <v>0.21800000000000003</v>
      </c>
      <c r="CY101">
        <f>AA101</f>
        <v>75.069999999999993</v>
      </c>
      <c r="CZ101">
        <f>AE101</f>
        <v>6.23</v>
      </c>
      <c r="DA101">
        <f>AI101</f>
        <v>12.05</v>
      </c>
      <c r="DB101">
        <f t="shared" si="17"/>
        <v>6.79</v>
      </c>
      <c r="DC101">
        <f t="shared" si="18"/>
        <v>0</v>
      </c>
    </row>
    <row r="102" spans="1:107">
      <c r="A102">
        <f>ROW(Source!A164)</f>
        <v>164</v>
      </c>
      <c r="B102">
        <v>35841400</v>
      </c>
      <c r="C102">
        <v>35844688</v>
      </c>
      <c r="D102">
        <v>29107430</v>
      </c>
      <c r="E102">
        <v>1</v>
      </c>
      <c r="F102">
        <v>1</v>
      </c>
      <c r="G102">
        <v>1</v>
      </c>
      <c r="H102">
        <v>3</v>
      </c>
      <c r="I102" t="s">
        <v>522</v>
      </c>
      <c r="J102" t="s">
        <v>523</v>
      </c>
      <c r="K102" t="s">
        <v>524</v>
      </c>
      <c r="L102">
        <v>1339</v>
      </c>
      <c r="N102">
        <v>1007</v>
      </c>
      <c r="O102" t="s">
        <v>391</v>
      </c>
      <c r="P102" t="s">
        <v>391</v>
      </c>
      <c r="Q102">
        <v>1</v>
      </c>
      <c r="W102">
        <v>0</v>
      </c>
      <c r="X102">
        <v>-1343210809</v>
      </c>
      <c r="Y102">
        <v>0.15</v>
      </c>
      <c r="AA102">
        <v>401.45</v>
      </c>
      <c r="AB102">
        <v>0</v>
      </c>
      <c r="AC102">
        <v>0</v>
      </c>
      <c r="AD102">
        <v>0</v>
      </c>
      <c r="AE102">
        <v>38.49</v>
      </c>
      <c r="AF102">
        <v>0</v>
      </c>
      <c r="AG102">
        <v>0</v>
      </c>
      <c r="AH102">
        <v>0</v>
      </c>
      <c r="AI102">
        <v>10.43</v>
      </c>
      <c r="AJ102">
        <v>1</v>
      </c>
      <c r="AK102">
        <v>1</v>
      </c>
      <c r="AL102">
        <v>1</v>
      </c>
      <c r="AN102">
        <v>0</v>
      </c>
      <c r="AO102">
        <v>1</v>
      </c>
      <c r="AP102">
        <v>0</v>
      </c>
      <c r="AQ102">
        <v>0</v>
      </c>
      <c r="AR102">
        <v>0</v>
      </c>
      <c r="AS102" t="s">
        <v>3</v>
      </c>
      <c r="AT102">
        <v>0.15</v>
      </c>
      <c r="AU102" t="s">
        <v>3</v>
      </c>
      <c r="AV102">
        <v>0</v>
      </c>
      <c r="AW102">
        <v>2</v>
      </c>
      <c r="AX102">
        <v>35914103</v>
      </c>
      <c r="AY102">
        <v>1</v>
      </c>
      <c r="AZ102">
        <v>0</v>
      </c>
      <c r="BA102">
        <v>98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0</v>
      </c>
      <c r="BM102">
        <v>0</v>
      </c>
      <c r="BN102">
        <v>0</v>
      </c>
      <c r="BO102">
        <v>0</v>
      </c>
      <c r="BP102">
        <v>0</v>
      </c>
      <c r="BQ102">
        <v>0</v>
      </c>
      <c r="BR102">
        <v>0</v>
      </c>
      <c r="BS102">
        <v>0</v>
      </c>
      <c r="BT102">
        <v>0</v>
      </c>
      <c r="BU102">
        <v>0</v>
      </c>
      <c r="BV102">
        <v>0</v>
      </c>
      <c r="BW102">
        <v>0</v>
      </c>
      <c r="CX102">
        <f>Y102*Source!I164</f>
        <v>0.03</v>
      </c>
      <c r="CY102">
        <f>AA102</f>
        <v>401.45</v>
      </c>
      <c r="CZ102">
        <f>AE102</f>
        <v>38.49</v>
      </c>
      <c r="DA102">
        <f>AI102</f>
        <v>10.43</v>
      </c>
      <c r="DB102">
        <f t="shared" si="17"/>
        <v>5.77</v>
      </c>
      <c r="DC102">
        <f t="shared" si="18"/>
        <v>0</v>
      </c>
    </row>
    <row r="103" spans="1:107">
      <c r="A103">
        <f>ROW(Source!A165)</f>
        <v>165</v>
      </c>
      <c r="B103">
        <v>35841400</v>
      </c>
      <c r="C103">
        <v>35844690</v>
      </c>
      <c r="D103">
        <v>18410171</v>
      </c>
      <c r="E103">
        <v>1</v>
      </c>
      <c r="F103">
        <v>1</v>
      </c>
      <c r="G103">
        <v>1</v>
      </c>
      <c r="H103">
        <v>1</v>
      </c>
      <c r="I103" t="s">
        <v>418</v>
      </c>
      <c r="J103" t="s">
        <v>3</v>
      </c>
      <c r="K103" t="s">
        <v>419</v>
      </c>
      <c r="L103">
        <v>1369</v>
      </c>
      <c r="N103">
        <v>1013</v>
      </c>
      <c r="O103" t="s">
        <v>369</v>
      </c>
      <c r="P103" t="s">
        <v>369</v>
      </c>
      <c r="Q103">
        <v>1</v>
      </c>
      <c r="W103">
        <v>0</v>
      </c>
      <c r="X103">
        <v>1151098980</v>
      </c>
      <c r="Y103">
        <v>75.439999999999984</v>
      </c>
      <c r="AA103">
        <v>0</v>
      </c>
      <c r="AB103">
        <v>0</v>
      </c>
      <c r="AC103">
        <v>0</v>
      </c>
      <c r="AD103">
        <v>292.87</v>
      </c>
      <c r="AE103">
        <v>0</v>
      </c>
      <c r="AF103">
        <v>0</v>
      </c>
      <c r="AG103">
        <v>0</v>
      </c>
      <c r="AH103">
        <v>292.87</v>
      </c>
      <c r="AI103">
        <v>1</v>
      </c>
      <c r="AJ103">
        <v>1</v>
      </c>
      <c r="AK103">
        <v>1</v>
      </c>
      <c r="AL103">
        <v>1</v>
      </c>
      <c r="AN103">
        <v>0</v>
      </c>
      <c r="AO103">
        <v>1</v>
      </c>
      <c r="AP103">
        <v>1</v>
      </c>
      <c r="AQ103">
        <v>0</v>
      </c>
      <c r="AR103">
        <v>0</v>
      </c>
      <c r="AS103" t="s">
        <v>3</v>
      </c>
      <c r="AT103">
        <v>65.599999999999994</v>
      </c>
      <c r="AU103" t="s">
        <v>147</v>
      </c>
      <c r="AV103">
        <v>1</v>
      </c>
      <c r="AW103">
        <v>2</v>
      </c>
      <c r="AX103">
        <v>35844704</v>
      </c>
      <c r="AY103">
        <v>1</v>
      </c>
      <c r="AZ103">
        <v>0</v>
      </c>
      <c r="BA103">
        <v>99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</v>
      </c>
      <c r="BK103">
        <v>0</v>
      </c>
      <c r="BL103">
        <v>0</v>
      </c>
      <c r="BM103">
        <v>0</v>
      </c>
      <c r="BN103">
        <v>0</v>
      </c>
      <c r="BO103">
        <v>0</v>
      </c>
      <c r="BP103">
        <v>0</v>
      </c>
      <c r="BQ103">
        <v>0</v>
      </c>
      <c r="BR103">
        <v>0</v>
      </c>
      <c r="BS103">
        <v>0</v>
      </c>
      <c r="BT103">
        <v>0</v>
      </c>
      <c r="BU103">
        <v>0</v>
      </c>
      <c r="BV103">
        <v>0</v>
      </c>
      <c r="BW103">
        <v>0</v>
      </c>
      <c r="CX103">
        <f>Y103*Source!I165</f>
        <v>16.370479999999997</v>
      </c>
      <c r="CY103">
        <f>AD103</f>
        <v>292.87</v>
      </c>
      <c r="CZ103">
        <f>AH103</f>
        <v>292.87</v>
      </c>
      <c r="DA103">
        <f>AL103</f>
        <v>1</v>
      </c>
      <c r="DB103">
        <f>ROUND((ROUND(AT103*CZ103,2)*1.15),6)</f>
        <v>22094.110499999999</v>
      </c>
      <c r="DC103">
        <f>ROUND((ROUND(AT103*AG103,2)*1.15),6)</f>
        <v>0</v>
      </c>
    </row>
    <row r="104" spans="1:107">
      <c r="A104">
        <f>ROW(Source!A165)</f>
        <v>165</v>
      </c>
      <c r="B104">
        <v>35841400</v>
      </c>
      <c r="C104">
        <v>35844690</v>
      </c>
      <c r="D104">
        <v>121548</v>
      </c>
      <c r="E104">
        <v>1</v>
      </c>
      <c r="F104">
        <v>1</v>
      </c>
      <c r="G104">
        <v>1</v>
      </c>
      <c r="H104">
        <v>1</v>
      </c>
      <c r="I104" t="s">
        <v>212</v>
      </c>
      <c r="J104" t="s">
        <v>3</v>
      </c>
      <c r="K104" t="s">
        <v>374</v>
      </c>
      <c r="L104">
        <v>608254</v>
      </c>
      <c r="N104">
        <v>1013</v>
      </c>
      <c r="O104" t="s">
        <v>375</v>
      </c>
      <c r="P104" t="s">
        <v>375</v>
      </c>
      <c r="Q104">
        <v>1</v>
      </c>
      <c r="W104">
        <v>0</v>
      </c>
      <c r="X104">
        <v>-185737400</v>
      </c>
      <c r="Y104">
        <v>1.6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1</v>
      </c>
      <c r="AJ104">
        <v>1</v>
      </c>
      <c r="AK104">
        <v>1</v>
      </c>
      <c r="AL104">
        <v>1</v>
      </c>
      <c r="AN104">
        <v>0</v>
      </c>
      <c r="AO104">
        <v>1</v>
      </c>
      <c r="AP104">
        <v>1</v>
      </c>
      <c r="AQ104">
        <v>0</v>
      </c>
      <c r="AR104">
        <v>0</v>
      </c>
      <c r="AS104" t="s">
        <v>3</v>
      </c>
      <c r="AT104">
        <v>1.28</v>
      </c>
      <c r="AU104" t="s">
        <v>146</v>
      </c>
      <c r="AV104">
        <v>2</v>
      </c>
      <c r="AW104">
        <v>2</v>
      </c>
      <c r="AX104">
        <v>35844705</v>
      </c>
      <c r="AY104">
        <v>1</v>
      </c>
      <c r="AZ104">
        <v>0</v>
      </c>
      <c r="BA104">
        <v>100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0</v>
      </c>
      <c r="BL104">
        <v>0</v>
      </c>
      <c r="BM104">
        <v>0</v>
      </c>
      <c r="BN104">
        <v>0</v>
      </c>
      <c r="BO104">
        <v>0</v>
      </c>
      <c r="BP104">
        <v>0</v>
      </c>
      <c r="BQ104">
        <v>0</v>
      </c>
      <c r="BR104">
        <v>0</v>
      </c>
      <c r="BS104">
        <v>0</v>
      </c>
      <c r="BT104">
        <v>0</v>
      </c>
      <c r="BU104">
        <v>0</v>
      </c>
      <c r="BV104">
        <v>0</v>
      </c>
      <c r="BW104">
        <v>0</v>
      </c>
      <c r="CX104">
        <f>Y104*Source!I165</f>
        <v>0.34720000000000001</v>
      </c>
      <c r="CY104">
        <f>AD104</f>
        <v>0</v>
      </c>
      <c r="CZ104">
        <f>AH104</f>
        <v>0</v>
      </c>
      <c r="DA104">
        <f>AL104</f>
        <v>1</v>
      </c>
      <c r="DB104">
        <f t="shared" ref="DB104:DB109" si="19">ROUND((ROUND(AT104*CZ104,2)*1.25),6)</f>
        <v>0</v>
      </c>
      <c r="DC104">
        <f t="shared" ref="DC104:DC109" si="20">ROUND((ROUND(AT104*AG104,2)*1.25),6)</f>
        <v>0</v>
      </c>
    </row>
    <row r="105" spans="1:107">
      <c r="A105">
        <f>ROW(Source!A165)</f>
        <v>165</v>
      </c>
      <c r="B105">
        <v>35841400</v>
      </c>
      <c r="C105">
        <v>35844690</v>
      </c>
      <c r="D105">
        <v>29172379</v>
      </c>
      <c r="E105">
        <v>1</v>
      </c>
      <c r="F105">
        <v>1</v>
      </c>
      <c r="G105">
        <v>1</v>
      </c>
      <c r="H105">
        <v>2</v>
      </c>
      <c r="I105" t="s">
        <v>477</v>
      </c>
      <c r="J105" t="s">
        <v>478</v>
      </c>
      <c r="K105" t="s">
        <v>479</v>
      </c>
      <c r="L105">
        <v>1368</v>
      </c>
      <c r="N105">
        <v>1011</v>
      </c>
      <c r="O105" t="s">
        <v>379</v>
      </c>
      <c r="P105" t="s">
        <v>379</v>
      </c>
      <c r="Q105">
        <v>1</v>
      </c>
      <c r="W105">
        <v>0</v>
      </c>
      <c r="X105">
        <v>-151619853</v>
      </c>
      <c r="Y105">
        <v>0.11249999999999999</v>
      </c>
      <c r="AA105">
        <v>0</v>
      </c>
      <c r="AB105">
        <v>1102.08</v>
      </c>
      <c r="AC105">
        <v>446.18</v>
      </c>
      <c r="AD105">
        <v>0</v>
      </c>
      <c r="AE105">
        <v>0</v>
      </c>
      <c r="AF105">
        <v>112</v>
      </c>
      <c r="AG105">
        <v>13.5</v>
      </c>
      <c r="AH105">
        <v>0</v>
      </c>
      <c r="AI105">
        <v>1</v>
      </c>
      <c r="AJ105">
        <v>9.84</v>
      </c>
      <c r="AK105">
        <v>33.049999999999997</v>
      </c>
      <c r="AL105">
        <v>1</v>
      </c>
      <c r="AN105">
        <v>0</v>
      </c>
      <c r="AO105">
        <v>1</v>
      </c>
      <c r="AP105">
        <v>1</v>
      </c>
      <c r="AQ105">
        <v>0</v>
      </c>
      <c r="AR105">
        <v>0</v>
      </c>
      <c r="AS105" t="s">
        <v>3</v>
      </c>
      <c r="AT105">
        <v>0.09</v>
      </c>
      <c r="AU105" t="s">
        <v>146</v>
      </c>
      <c r="AV105">
        <v>0</v>
      </c>
      <c r="AW105">
        <v>2</v>
      </c>
      <c r="AX105">
        <v>35844706</v>
      </c>
      <c r="AY105">
        <v>1</v>
      </c>
      <c r="AZ105">
        <v>0</v>
      </c>
      <c r="BA105">
        <v>101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0</v>
      </c>
      <c r="BL105">
        <v>0</v>
      </c>
      <c r="BM105">
        <v>0</v>
      </c>
      <c r="BN105">
        <v>0</v>
      </c>
      <c r="BO105">
        <v>0</v>
      </c>
      <c r="BP105">
        <v>0</v>
      </c>
      <c r="BQ105">
        <v>0</v>
      </c>
      <c r="BR105">
        <v>0</v>
      </c>
      <c r="BS105">
        <v>0</v>
      </c>
      <c r="BT105">
        <v>0</v>
      </c>
      <c r="BU105">
        <v>0</v>
      </c>
      <c r="BV105">
        <v>0</v>
      </c>
      <c r="BW105">
        <v>0</v>
      </c>
      <c r="CX105">
        <f>Y105*Source!I165</f>
        <v>2.4412499999999997E-2</v>
      </c>
      <c r="CY105">
        <f>AB105</f>
        <v>1102.08</v>
      </c>
      <c r="CZ105">
        <f>AF105</f>
        <v>112</v>
      </c>
      <c r="DA105">
        <f>AJ105</f>
        <v>9.84</v>
      </c>
      <c r="DB105">
        <f t="shared" si="19"/>
        <v>12.6</v>
      </c>
      <c r="DC105">
        <f t="shared" si="20"/>
        <v>1.5249999999999999</v>
      </c>
    </row>
    <row r="106" spans="1:107">
      <c r="A106">
        <f>ROW(Source!A165)</f>
        <v>165</v>
      </c>
      <c r="B106">
        <v>35841400</v>
      </c>
      <c r="C106">
        <v>35844690</v>
      </c>
      <c r="D106">
        <v>29172556</v>
      </c>
      <c r="E106">
        <v>1</v>
      </c>
      <c r="F106">
        <v>1</v>
      </c>
      <c r="G106">
        <v>1</v>
      </c>
      <c r="H106">
        <v>2</v>
      </c>
      <c r="I106" t="s">
        <v>376</v>
      </c>
      <c r="J106" t="s">
        <v>377</v>
      </c>
      <c r="K106" t="s">
        <v>378</v>
      </c>
      <c r="L106">
        <v>1368</v>
      </c>
      <c r="N106">
        <v>1011</v>
      </c>
      <c r="O106" t="s">
        <v>379</v>
      </c>
      <c r="P106" t="s">
        <v>379</v>
      </c>
      <c r="Q106">
        <v>1</v>
      </c>
      <c r="W106">
        <v>0</v>
      </c>
      <c r="X106">
        <v>-1302720870</v>
      </c>
      <c r="Y106">
        <v>1.4874999999999998</v>
      </c>
      <c r="AA106">
        <v>0</v>
      </c>
      <c r="AB106">
        <v>466.71</v>
      </c>
      <c r="AC106">
        <v>446.18</v>
      </c>
      <c r="AD106">
        <v>0</v>
      </c>
      <c r="AE106">
        <v>0</v>
      </c>
      <c r="AF106">
        <v>31.26</v>
      </c>
      <c r="AG106">
        <v>13.5</v>
      </c>
      <c r="AH106">
        <v>0</v>
      </c>
      <c r="AI106">
        <v>1</v>
      </c>
      <c r="AJ106">
        <v>14.93</v>
      </c>
      <c r="AK106">
        <v>33.049999999999997</v>
      </c>
      <c r="AL106">
        <v>1</v>
      </c>
      <c r="AN106">
        <v>0</v>
      </c>
      <c r="AO106">
        <v>1</v>
      </c>
      <c r="AP106">
        <v>1</v>
      </c>
      <c r="AQ106">
        <v>0</v>
      </c>
      <c r="AR106">
        <v>0</v>
      </c>
      <c r="AS106" t="s">
        <v>3</v>
      </c>
      <c r="AT106">
        <v>1.19</v>
      </c>
      <c r="AU106" t="s">
        <v>146</v>
      </c>
      <c r="AV106">
        <v>0</v>
      </c>
      <c r="AW106">
        <v>2</v>
      </c>
      <c r="AX106">
        <v>35844707</v>
      </c>
      <c r="AY106">
        <v>1</v>
      </c>
      <c r="AZ106">
        <v>0</v>
      </c>
      <c r="BA106">
        <v>102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0</v>
      </c>
      <c r="BK106">
        <v>0</v>
      </c>
      <c r="BL106">
        <v>0</v>
      </c>
      <c r="BM106">
        <v>0</v>
      </c>
      <c r="BN106">
        <v>0</v>
      </c>
      <c r="BO106">
        <v>0</v>
      </c>
      <c r="BP106">
        <v>0</v>
      </c>
      <c r="BQ106">
        <v>0</v>
      </c>
      <c r="BR106">
        <v>0</v>
      </c>
      <c r="BS106">
        <v>0</v>
      </c>
      <c r="BT106">
        <v>0</v>
      </c>
      <c r="BU106">
        <v>0</v>
      </c>
      <c r="BV106">
        <v>0</v>
      </c>
      <c r="BW106">
        <v>0</v>
      </c>
      <c r="CX106">
        <f>Y106*Source!I165</f>
        <v>0.32278749999999995</v>
      </c>
      <c r="CY106">
        <f>AB106</f>
        <v>466.71</v>
      </c>
      <c r="CZ106">
        <f>AF106</f>
        <v>31.26</v>
      </c>
      <c r="DA106">
        <f>AJ106</f>
        <v>14.93</v>
      </c>
      <c r="DB106">
        <f t="shared" si="19"/>
        <v>46.5</v>
      </c>
      <c r="DC106">
        <f t="shared" si="20"/>
        <v>20.087499999999999</v>
      </c>
    </row>
    <row r="107" spans="1:107">
      <c r="A107">
        <f>ROW(Source!A165)</f>
        <v>165</v>
      </c>
      <c r="B107">
        <v>35841400</v>
      </c>
      <c r="C107">
        <v>35844690</v>
      </c>
      <c r="D107">
        <v>29172703</v>
      </c>
      <c r="E107">
        <v>1</v>
      </c>
      <c r="F107">
        <v>1</v>
      </c>
      <c r="G107">
        <v>1</v>
      </c>
      <c r="H107">
        <v>2</v>
      </c>
      <c r="I107" t="s">
        <v>525</v>
      </c>
      <c r="J107" t="s">
        <v>526</v>
      </c>
      <c r="K107" t="s">
        <v>527</v>
      </c>
      <c r="L107">
        <v>1368</v>
      </c>
      <c r="N107">
        <v>1011</v>
      </c>
      <c r="O107" t="s">
        <v>379</v>
      </c>
      <c r="P107" t="s">
        <v>379</v>
      </c>
      <c r="Q107">
        <v>1</v>
      </c>
      <c r="W107">
        <v>0</v>
      </c>
      <c r="X107">
        <v>-613290542</v>
      </c>
      <c r="Y107">
        <v>1</v>
      </c>
      <c r="AA107">
        <v>0</v>
      </c>
      <c r="AB107">
        <v>154.88</v>
      </c>
      <c r="AC107">
        <v>0</v>
      </c>
      <c r="AD107">
        <v>0</v>
      </c>
      <c r="AE107">
        <v>0</v>
      </c>
      <c r="AF107">
        <v>29.67</v>
      </c>
      <c r="AG107">
        <v>0</v>
      </c>
      <c r="AH107">
        <v>0</v>
      </c>
      <c r="AI107">
        <v>1</v>
      </c>
      <c r="AJ107">
        <v>5.22</v>
      </c>
      <c r="AK107">
        <v>33.049999999999997</v>
      </c>
      <c r="AL107">
        <v>1</v>
      </c>
      <c r="AN107">
        <v>0</v>
      </c>
      <c r="AO107">
        <v>1</v>
      </c>
      <c r="AP107">
        <v>1</v>
      </c>
      <c r="AQ107">
        <v>0</v>
      </c>
      <c r="AR107">
        <v>0</v>
      </c>
      <c r="AS107" t="s">
        <v>3</v>
      </c>
      <c r="AT107">
        <v>0.8</v>
      </c>
      <c r="AU107" t="s">
        <v>146</v>
      </c>
      <c r="AV107">
        <v>0</v>
      </c>
      <c r="AW107">
        <v>2</v>
      </c>
      <c r="AX107">
        <v>35844708</v>
      </c>
      <c r="AY107">
        <v>1</v>
      </c>
      <c r="AZ107">
        <v>0</v>
      </c>
      <c r="BA107">
        <v>103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0</v>
      </c>
      <c r="BK107">
        <v>0</v>
      </c>
      <c r="BL107">
        <v>0</v>
      </c>
      <c r="BM107">
        <v>0</v>
      </c>
      <c r="BN107">
        <v>0</v>
      </c>
      <c r="BO107">
        <v>0</v>
      </c>
      <c r="BP107">
        <v>0</v>
      </c>
      <c r="BQ107">
        <v>0</v>
      </c>
      <c r="BR107">
        <v>0</v>
      </c>
      <c r="BS107">
        <v>0</v>
      </c>
      <c r="BT107">
        <v>0</v>
      </c>
      <c r="BU107">
        <v>0</v>
      </c>
      <c r="BV107">
        <v>0</v>
      </c>
      <c r="BW107">
        <v>0</v>
      </c>
      <c r="CX107">
        <f>Y107*Source!I165</f>
        <v>0.217</v>
      </c>
      <c r="CY107">
        <f>AB107</f>
        <v>154.88</v>
      </c>
      <c r="CZ107">
        <f>AF107</f>
        <v>29.67</v>
      </c>
      <c r="DA107">
        <f>AJ107</f>
        <v>5.22</v>
      </c>
      <c r="DB107">
        <f t="shared" si="19"/>
        <v>29.675000000000001</v>
      </c>
      <c r="DC107">
        <f t="shared" si="20"/>
        <v>0</v>
      </c>
    </row>
    <row r="108" spans="1:107">
      <c r="A108">
        <f>ROW(Source!A165)</f>
        <v>165</v>
      </c>
      <c r="B108">
        <v>35841400</v>
      </c>
      <c r="C108">
        <v>35844690</v>
      </c>
      <c r="D108">
        <v>29174500</v>
      </c>
      <c r="E108">
        <v>1</v>
      </c>
      <c r="F108">
        <v>1</v>
      </c>
      <c r="G108">
        <v>1</v>
      </c>
      <c r="H108">
        <v>2</v>
      </c>
      <c r="I108" t="s">
        <v>528</v>
      </c>
      <c r="J108" t="s">
        <v>529</v>
      </c>
      <c r="K108" t="s">
        <v>530</v>
      </c>
      <c r="L108">
        <v>1368</v>
      </c>
      <c r="N108">
        <v>1011</v>
      </c>
      <c r="O108" t="s">
        <v>379</v>
      </c>
      <c r="P108" t="s">
        <v>379</v>
      </c>
      <c r="Q108">
        <v>1</v>
      </c>
      <c r="W108">
        <v>0</v>
      </c>
      <c r="X108">
        <v>-239831557</v>
      </c>
      <c r="Y108">
        <v>0.26250000000000001</v>
      </c>
      <c r="AA108">
        <v>0</v>
      </c>
      <c r="AB108">
        <v>7.33</v>
      </c>
      <c r="AC108">
        <v>0</v>
      </c>
      <c r="AD108">
        <v>0</v>
      </c>
      <c r="AE108">
        <v>0</v>
      </c>
      <c r="AF108">
        <v>1.95</v>
      </c>
      <c r="AG108">
        <v>0</v>
      </c>
      <c r="AH108">
        <v>0</v>
      </c>
      <c r="AI108">
        <v>1</v>
      </c>
      <c r="AJ108">
        <v>3.76</v>
      </c>
      <c r="AK108">
        <v>33.049999999999997</v>
      </c>
      <c r="AL108">
        <v>1</v>
      </c>
      <c r="AN108">
        <v>0</v>
      </c>
      <c r="AO108">
        <v>1</v>
      </c>
      <c r="AP108">
        <v>1</v>
      </c>
      <c r="AQ108">
        <v>0</v>
      </c>
      <c r="AR108">
        <v>0</v>
      </c>
      <c r="AS108" t="s">
        <v>3</v>
      </c>
      <c r="AT108">
        <v>0.21</v>
      </c>
      <c r="AU108" t="s">
        <v>146</v>
      </c>
      <c r="AV108">
        <v>0</v>
      </c>
      <c r="AW108">
        <v>2</v>
      </c>
      <c r="AX108">
        <v>35844709</v>
      </c>
      <c r="AY108">
        <v>1</v>
      </c>
      <c r="AZ108">
        <v>0</v>
      </c>
      <c r="BA108">
        <v>104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0</v>
      </c>
      <c r="BK108">
        <v>0</v>
      </c>
      <c r="BL108">
        <v>0</v>
      </c>
      <c r="BM108">
        <v>0</v>
      </c>
      <c r="BN108">
        <v>0</v>
      </c>
      <c r="BO108">
        <v>0</v>
      </c>
      <c r="BP108">
        <v>0</v>
      </c>
      <c r="BQ108">
        <v>0</v>
      </c>
      <c r="BR108">
        <v>0</v>
      </c>
      <c r="BS108">
        <v>0</v>
      </c>
      <c r="BT108">
        <v>0</v>
      </c>
      <c r="BU108">
        <v>0</v>
      </c>
      <c r="BV108">
        <v>0</v>
      </c>
      <c r="BW108">
        <v>0</v>
      </c>
      <c r="CX108">
        <f>Y108*Source!I165</f>
        <v>5.6962499999999999E-2</v>
      </c>
      <c r="CY108">
        <f>AB108</f>
        <v>7.33</v>
      </c>
      <c r="CZ108">
        <f>AF108</f>
        <v>1.95</v>
      </c>
      <c r="DA108">
        <f>AJ108</f>
        <v>3.76</v>
      </c>
      <c r="DB108">
        <f t="shared" si="19"/>
        <v>0.51249999999999996</v>
      </c>
      <c r="DC108">
        <f t="shared" si="20"/>
        <v>0</v>
      </c>
    </row>
    <row r="109" spans="1:107">
      <c r="A109">
        <f>ROW(Source!A165)</f>
        <v>165</v>
      </c>
      <c r="B109">
        <v>35841400</v>
      </c>
      <c r="C109">
        <v>35844690</v>
      </c>
      <c r="D109">
        <v>29174913</v>
      </c>
      <c r="E109">
        <v>1</v>
      </c>
      <c r="F109">
        <v>1</v>
      </c>
      <c r="G109">
        <v>1</v>
      </c>
      <c r="H109">
        <v>2</v>
      </c>
      <c r="I109" t="s">
        <v>394</v>
      </c>
      <c r="J109" t="s">
        <v>395</v>
      </c>
      <c r="K109" t="s">
        <v>396</v>
      </c>
      <c r="L109">
        <v>1368</v>
      </c>
      <c r="N109">
        <v>1011</v>
      </c>
      <c r="O109" t="s">
        <v>379</v>
      </c>
      <c r="P109" t="s">
        <v>379</v>
      </c>
      <c r="Q109">
        <v>1</v>
      </c>
      <c r="W109">
        <v>0</v>
      </c>
      <c r="X109">
        <v>458544584</v>
      </c>
      <c r="Y109">
        <v>2.3125</v>
      </c>
      <c r="AA109">
        <v>0</v>
      </c>
      <c r="AB109">
        <v>932.72</v>
      </c>
      <c r="AC109">
        <v>383.38</v>
      </c>
      <c r="AD109">
        <v>0</v>
      </c>
      <c r="AE109">
        <v>0</v>
      </c>
      <c r="AF109">
        <v>87.17</v>
      </c>
      <c r="AG109">
        <v>11.6</v>
      </c>
      <c r="AH109">
        <v>0</v>
      </c>
      <c r="AI109">
        <v>1</v>
      </c>
      <c r="AJ109">
        <v>10.7</v>
      </c>
      <c r="AK109">
        <v>33.049999999999997</v>
      </c>
      <c r="AL109">
        <v>1</v>
      </c>
      <c r="AN109">
        <v>0</v>
      </c>
      <c r="AO109">
        <v>1</v>
      </c>
      <c r="AP109">
        <v>1</v>
      </c>
      <c r="AQ109">
        <v>0</v>
      </c>
      <c r="AR109">
        <v>0</v>
      </c>
      <c r="AS109" t="s">
        <v>3</v>
      </c>
      <c r="AT109">
        <v>1.85</v>
      </c>
      <c r="AU109" t="s">
        <v>146</v>
      </c>
      <c r="AV109">
        <v>0</v>
      </c>
      <c r="AW109">
        <v>2</v>
      </c>
      <c r="AX109">
        <v>35844710</v>
      </c>
      <c r="AY109">
        <v>1</v>
      </c>
      <c r="AZ109">
        <v>0</v>
      </c>
      <c r="BA109">
        <v>105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0</v>
      </c>
      <c r="BI109">
        <v>0</v>
      </c>
      <c r="BJ109">
        <v>0</v>
      </c>
      <c r="BK109">
        <v>0</v>
      </c>
      <c r="BL109">
        <v>0</v>
      </c>
      <c r="BM109">
        <v>0</v>
      </c>
      <c r="BN109">
        <v>0</v>
      </c>
      <c r="BO109">
        <v>0</v>
      </c>
      <c r="BP109">
        <v>0</v>
      </c>
      <c r="BQ109">
        <v>0</v>
      </c>
      <c r="BR109">
        <v>0</v>
      </c>
      <c r="BS109">
        <v>0</v>
      </c>
      <c r="BT109">
        <v>0</v>
      </c>
      <c r="BU109">
        <v>0</v>
      </c>
      <c r="BV109">
        <v>0</v>
      </c>
      <c r="BW109">
        <v>0</v>
      </c>
      <c r="CX109">
        <f>Y109*Source!I165</f>
        <v>0.50181249999999999</v>
      </c>
      <c r="CY109">
        <f>AB109</f>
        <v>932.72</v>
      </c>
      <c r="CZ109">
        <f>AF109</f>
        <v>87.17</v>
      </c>
      <c r="DA109">
        <f>AJ109</f>
        <v>10.7</v>
      </c>
      <c r="DB109">
        <f t="shared" si="19"/>
        <v>201.57499999999999</v>
      </c>
      <c r="DC109">
        <f t="shared" si="20"/>
        <v>26.824999999999999</v>
      </c>
    </row>
    <row r="110" spans="1:107">
      <c r="A110">
        <f>ROW(Source!A165)</f>
        <v>165</v>
      </c>
      <c r="B110">
        <v>35841400</v>
      </c>
      <c r="C110">
        <v>35844690</v>
      </c>
      <c r="D110">
        <v>29114681</v>
      </c>
      <c r="E110">
        <v>1</v>
      </c>
      <c r="F110">
        <v>1</v>
      </c>
      <c r="G110">
        <v>1</v>
      </c>
      <c r="H110">
        <v>3</v>
      </c>
      <c r="I110" t="s">
        <v>531</v>
      </c>
      <c r="J110" t="s">
        <v>532</v>
      </c>
      <c r="K110" t="s">
        <v>533</v>
      </c>
      <c r="L110">
        <v>1348</v>
      </c>
      <c r="N110">
        <v>1009</v>
      </c>
      <c r="O110" t="s">
        <v>27</v>
      </c>
      <c r="P110" t="s">
        <v>27</v>
      </c>
      <c r="Q110">
        <v>1000</v>
      </c>
      <c r="W110">
        <v>0</v>
      </c>
      <c r="X110">
        <v>-501375784</v>
      </c>
      <c r="Y110">
        <v>4.4999999999999997E-3</v>
      </c>
      <c r="AA110">
        <v>108411.28</v>
      </c>
      <c r="AB110">
        <v>0</v>
      </c>
      <c r="AC110">
        <v>0</v>
      </c>
      <c r="AD110">
        <v>0</v>
      </c>
      <c r="AE110">
        <v>9628</v>
      </c>
      <c r="AF110">
        <v>0</v>
      </c>
      <c r="AG110">
        <v>0</v>
      </c>
      <c r="AH110">
        <v>0</v>
      </c>
      <c r="AI110">
        <v>11.26</v>
      </c>
      <c r="AJ110">
        <v>1</v>
      </c>
      <c r="AK110">
        <v>1</v>
      </c>
      <c r="AL110">
        <v>1</v>
      </c>
      <c r="AN110">
        <v>0</v>
      </c>
      <c r="AO110">
        <v>1</v>
      </c>
      <c r="AP110">
        <v>0</v>
      </c>
      <c r="AQ110">
        <v>0</v>
      </c>
      <c r="AR110">
        <v>0</v>
      </c>
      <c r="AS110" t="s">
        <v>3</v>
      </c>
      <c r="AT110">
        <v>4.4999999999999997E-3</v>
      </c>
      <c r="AU110" t="s">
        <v>3</v>
      </c>
      <c r="AV110">
        <v>0</v>
      </c>
      <c r="AW110">
        <v>2</v>
      </c>
      <c r="AX110">
        <v>35844711</v>
      </c>
      <c r="AY110">
        <v>1</v>
      </c>
      <c r="AZ110">
        <v>0</v>
      </c>
      <c r="BA110">
        <v>106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0</v>
      </c>
      <c r="BK110">
        <v>0</v>
      </c>
      <c r="BL110">
        <v>0</v>
      </c>
      <c r="BM110">
        <v>0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0</v>
      </c>
      <c r="BT110">
        <v>0</v>
      </c>
      <c r="BU110">
        <v>0</v>
      </c>
      <c r="BV110">
        <v>0</v>
      </c>
      <c r="BW110">
        <v>0</v>
      </c>
      <c r="CX110">
        <f>Y110*Source!I165</f>
        <v>9.7649999999999994E-4</v>
      </c>
      <c r="CY110">
        <f t="shared" ref="CY110:CY116" si="21">AA110</f>
        <v>108411.28</v>
      </c>
      <c r="CZ110">
        <f t="shared" ref="CZ110:CZ116" si="22">AE110</f>
        <v>9628</v>
      </c>
      <c r="DA110">
        <f t="shared" ref="DA110:DA116" si="23">AI110</f>
        <v>11.26</v>
      </c>
      <c r="DB110">
        <f t="shared" ref="DB110:DB116" si="24">ROUND(ROUND(AT110*CZ110,2),6)</f>
        <v>43.33</v>
      </c>
      <c r="DC110">
        <f t="shared" ref="DC110:DC116" si="25">ROUND(ROUND(AT110*AG110,2),6)</f>
        <v>0</v>
      </c>
    </row>
    <row r="111" spans="1:107">
      <c r="A111">
        <f>ROW(Source!A165)</f>
        <v>165</v>
      </c>
      <c r="B111">
        <v>35841400</v>
      </c>
      <c r="C111">
        <v>35844690</v>
      </c>
      <c r="D111">
        <v>29114471</v>
      </c>
      <c r="E111">
        <v>1</v>
      </c>
      <c r="F111">
        <v>1</v>
      </c>
      <c r="G111">
        <v>1</v>
      </c>
      <c r="H111">
        <v>3</v>
      </c>
      <c r="I111" t="s">
        <v>534</v>
      </c>
      <c r="J111" t="s">
        <v>535</v>
      </c>
      <c r="K111" t="s">
        <v>536</v>
      </c>
      <c r="L111">
        <v>1358</v>
      </c>
      <c r="N111">
        <v>1010</v>
      </c>
      <c r="O111" t="s">
        <v>537</v>
      </c>
      <c r="P111" t="s">
        <v>537</v>
      </c>
      <c r="Q111">
        <v>10</v>
      </c>
      <c r="W111">
        <v>0</v>
      </c>
      <c r="X111">
        <v>610395517</v>
      </c>
      <c r="Y111">
        <v>8.9</v>
      </c>
      <c r="AA111">
        <v>1.55</v>
      </c>
      <c r="AB111">
        <v>0</v>
      </c>
      <c r="AC111">
        <v>0</v>
      </c>
      <c r="AD111">
        <v>0</v>
      </c>
      <c r="AE111">
        <v>1.6</v>
      </c>
      <c r="AF111">
        <v>0</v>
      </c>
      <c r="AG111">
        <v>0</v>
      </c>
      <c r="AH111">
        <v>0</v>
      </c>
      <c r="AI111">
        <v>0.97</v>
      </c>
      <c r="AJ111">
        <v>1</v>
      </c>
      <c r="AK111">
        <v>1</v>
      </c>
      <c r="AL111">
        <v>1</v>
      </c>
      <c r="AN111">
        <v>0</v>
      </c>
      <c r="AO111">
        <v>1</v>
      </c>
      <c r="AP111">
        <v>0</v>
      </c>
      <c r="AQ111">
        <v>0</v>
      </c>
      <c r="AR111">
        <v>0</v>
      </c>
      <c r="AS111" t="s">
        <v>3</v>
      </c>
      <c r="AT111">
        <v>8.9</v>
      </c>
      <c r="AU111" t="s">
        <v>3</v>
      </c>
      <c r="AV111">
        <v>0</v>
      </c>
      <c r="AW111">
        <v>2</v>
      </c>
      <c r="AX111">
        <v>35844712</v>
      </c>
      <c r="AY111">
        <v>1</v>
      </c>
      <c r="AZ111">
        <v>0</v>
      </c>
      <c r="BA111">
        <v>107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0</v>
      </c>
      <c r="BK111">
        <v>0</v>
      </c>
      <c r="BL111">
        <v>0</v>
      </c>
      <c r="BM111">
        <v>0</v>
      </c>
      <c r="BN111">
        <v>0</v>
      </c>
      <c r="BO111">
        <v>0</v>
      </c>
      <c r="BP111">
        <v>0</v>
      </c>
      <c r="BQ111">
        <v>0</v>
      </c>
      <c r="BR111">
        <v>0</v>
      </c>
      <c r="BS111">
        <v>0</v>
      </c>
      <c r="BT111">
        <v>0</v>
      </c>
      <c r="BU111">
        <v>0</v>
      </c>
      <c r="BV111">
        <v>0</v>
      </c>
      <c r="BW111">
        <v>0</v>
      </c>
      <c r="CX111">
        <f>Y111*Source!I165</f>
        <v>1.9313</v>
      </c>
      <c r="CY111">
        <f t="shared" si="21"/>
        <v>1.55</v>
      </c>
      <c r="CZ111">
        <f t="shared" si="22"/>
        <v>1.6</v>
      </c>
      <c r="DA111">
        <f t="shared" si="23"/>
        <v>0.97</v>
      </c>
      <c r="DB111">
        <f t="shared" si="24"/>
        <v>14.24</v>
      </c>
      <c r="DC111">
        <f t="shared" si="25"/>
        <v>0</v>
      </c>
    </row>
    <row r="112" spans="1:107">
      <c r="A112">
        <f>ROW(Source!A165)</f>
        <v>165</v>
      </c>
      <c r="B112">
        <v>35841400</v>
      </c>
      <c r="C112">
        <v>35844690</v>
      </c>
      <c r="D112">
        <v>29140948</v>
      </c>
      <c r="E112">
        <v>1</v>
      </c>
      <c r="F112">
        <v>1</v>
      </c>
      <c r="G112">
        <v>1</v>
      </c>
      <c r="H112">
        <v>3</v>
      </c>
      <c r="I112" t="s">
        <v>232</v>
      </c>
      <c r="J112" t="s">
        <v>235</v>
      </c>
      <c r="K112" t="s">
        <v>233</v>
      </c>
      <c r="L112">
        <v>1033</v>
      </c>
      <c r="N112">
        <v>1013</v>
      </c>
      <c r="O112" t="s">
        <v>234</v>
      </c>
      <c r="P112" t="s">
        <v>234</v>
      </c>
      <c r="Q112">
        <v>1</v>
      </c>
      <c r="W112">
        <v>1</v>
      </c>
      <c r="X112">
        <v>-758357303</v>
      </c>
      <c r="Y112">
        <v>-100</v>
      </c>
      <c r="AA112">
        <v>617.83000000000004</v>
      </c>
      <c r="AB112">
        <v>0</v>
      </c>
      <c r="AC112">
        <v>0</v>
      </c>
      <c r="AD112">
        <v>0</v>
      </c>
      <c r="AE112">
        <v>166.98</v>
      </c>
      <c r="AF112">
        <v>0</v>
      </c>
      <c r="AG112">
        <v>0</v>
      </c>
      <c r="AH112">
        <v>0</v>
      </c>
      <c r="AI112">
        <v>3.7</v>
      </c>
      <c r="AJ112">
        <v>1</v>
      </c>
      <c r="AK112">
        <v>1</v>
      </c>
      <c r="AL112">
        <v>1</v>
      </c>
      <c r="AN112">
        <v>0</v>
      </c>
      <c r="AO112">
        <v>1</v>
      </c>
      <c r="AP112">
        <v>0</v>
      </c>
      <c r="AQ112">
        <v>0</v>
      </c>
      <c r="AR112">
        <v>0</v>
      </c>
      <c r="AS112" t="s">
        <v>3</v>
      </c>
      <c r="AT112">
        <v>-100</v>
      </c>
      <c r="AU112" t="s">
        <v>3</v>
      </c>
      <c r="AV112">
        <v>0</v>
      </c>
      <c r="AW112">
        <v>2</v>
      </c>
      <c r="AX112">
        <v>35844713</v>
      </c>
      <c r="AY112">
        <v>1</v>
      </c>
      <c r="AZ112">
        <v>6144</v>
      </c>
      <c r="BA112">
        <v>108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0</v>
      </c>
      <c r="BK112">
        <v>0</v>
      </c>
      <c r="BL112">
        <v>0</v>
      </c>
      <c r="BM112">
        <v>0</v>
      </c>
      <c r="BN112">
        <v>0</v>
      </c>
      <c r="BO112">
        <v>0</v>
      </c>
      <c r="BP112">
        <v>0</v>
      </c>
      <c r="BQ112">
        <v>0</v>
      </c>
      <c r="BR112">
        <v>0</v>
      </c>
      <c r="BS112">
        <v>0</v>
      </c>
      <c r="BT112">
        <v>0</v>
      </c>
      <c r="BU112">
        <v>0</v>
      </c>
      <c r="BV112">
        <v>0</v>
      </c>
      <c r="BW112">
        <v>0</v>
      </c>
      <c r="CX112">
        <f>Y112*Source!I165</f>
        <v>-21.7</v>
      </c>
      <c r="CY112">
        <f t="shared" si="21"/>
        <v>617.83000000000004</v>
      </c>
      <c r="CZ112">
        <f t="shared" si="22"/>
        <v>166.98</v>
      </c>
      <c r="DA112">
        <f t="shared" si="23"/>
        <v>3.7</v>
      </c>
      <c r="DB112">
        <f t="shared" si="24"/>
        <v>-16698</v>
      </c>
      <c r="DC112">
        <f t="shared" si="25"/>
        <v>0</v>
      </c>
    </row>
    <row r="113" spans="1:107">
      <c r="A113">
        <f>ROW(Source!A165)</f>
        <v>165</v>
      </c>
      <c r="B113">
        <v>35841400</v>
      </c>
      <c r="C113">
        <v>35844690</v>
      </c>
      <c r="D113">
        <v>29141204</v>
      </c>
      <c r="E113">
        <v>1</v>
      </c>
      <c r="F113">
        <v>1</v>
      </c>
      <c r="G113">
        <v>1</v>
      </c>
      <c r="H113">
        <v>3</v>
      </c>
      <c r="I113" t="s">
        <v>228</v>
      </c>
      <c r="J113" t="s">
        <v>230</v>
      </c>
      <c r="K113" t="s">
        <v>229</v>
      </c>
      <c r="L113">
        <v>1354</v>
      </c>
      <c r="N113">
        <v>1010</v>
      </c>
      <c r="O113" t="s">
        <v>209</v>
      </c>
      <c r="P113" t="s">
        <v>209</v>
      </c>
      <c r="Q113">
        <v>1</v>
      </c>
      <c r="W113">
        <v>0</v>
      </c>
      <c r="X113">
        <v>1544372410</v>
      </c>
      <c r="Y113">
        <v>55.299539000000003</v>
      </c>
      <c r="AA113">
        <v>4681.37</v>
      </c>
      <c r="AB113">
        <v>0</v>
      </c>
      <c r="AC113">
        <v>0</v>
      </c>
      <c r="AD113">
        <v>0</v>
      </c>
      <c r="AE113">
        <v>1570.93</v>
      </c>
      <c r="AF113">
        <v>0</v>
      </c>
      <c r="AG113">
        <v>0</v>
      </c>
      <c r="AH113">
        <v>0</v>
      </c>
      <c r="AI113">
        <v>2.98</v>
      </c>
      <c r="AJ113">
        <v>1</v>
      </c>
      <c r="AK113">
        <v>1</v>
      </c>
      <c r="AL113">
        <v>1</v>
      </c>
      <c r="AN113">
        <v>0</v>
      </c>
      <c r="AO113">
        <v>0</v>
      </c>
      <c r="AP113">
        <v>0</v>
      </c>
      <c r="AQ113">
        <v>0</v>
      </c>
      <c r="AR113">
        <v>0</v>
      </c>
      <c r="AS113" t="s">
        <v>3</v>
      </c>
      <c r="AT113">
        <v>55.299539000000003</v>
      </c>
      <c r="AU113" t="s">
        <v>3</v>
      </c>
      <c r="AV113">
        <v>0</v>
      </c>
      <c r="AW113">
        <v>1</v>
      </c>
      <c r="AX113">
        <v>-1</v>
      </c>
      <c r="AY113">
        <v>0</v>
      </c>
      <c r="AZ113">
        <v>0</v>
      </c>
      <c r="BA113" t="s">
        <v>3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0</v>
      </c>
      <c r="BK113">
        <v>0</v>
      </c>
      <c r="BL113">
        <v>0</v>
      </c>
      <c r="BM113">
        <v>0</v>
      </c>
      <c r="BN113">
        <v>0</v>
      </c>
      <c r="BO113">
        <v>0</v>
      </c>
      <c r="BP113">
        <v>0</v>
      </c>
      <c r="BQ113">
        <v>0</v>
      </c>
      <c r="BR113">
        <v>0</v>
      </c>
      <c r="BS113">
        <v>0</v>
      </c>
      <c r="BT113">
        <v>0</v>
      </c>
      <c r="BU113">
        <v>0</v>
      </c>
      <c r="BV113">
        <v>0</v>
      </c>
      <c r="BW113">
        <v>0</v>
      </c>
      <c r="CX113">
        <f>Y113*Source!I165</f>
        <v>11.999999963</v>
      </c>
      <c r="CY113">
        <f t="shared" si="21"/>
        <v>4681.37</v>
      </c>
      <c r="CZ113">
        <f t="shared" si="22"/>
        <v>1570.93</v>
      </c>
      <c r="DA113">
        <f t="shared" si="23"/>
        <v>2.98</v>
      </c>
      <c r="DB113">
        <f t="shared" si="24"/>
        <v>86871.7</v>
      </c>
      <c r="DC113">
        <f t="shared" si="25"/>
        <v>0</v>
      </c>
    </row>
    <row r="114" spans="1:107">
      <c r="A114">
        <f>ROW(Source!A165)</f>
        <v>165</v>
      </c>
      <c r="B114">
        <v>35841400</v>
      </c>
      <c r="C114">
        <v>35844690</v>
      </c>
      <c r="D114">
        <v>29140930</v>
      </c>
      <c r="E114">
        <v>1</v>
      </c>
      <c r="F114">
        <v>1</v>
      </c>
      <c r="G114">
        <v>1</v>
      </c>
      <c r="H114">
        <v>3</v>
      </c>
      <c r="I114" t="s">
        <v>538</v>
      </c>
      <c r="J114" t="s">
        <v>539</v>
      </c>
      <c r="K114" t="s">
        <v>540</v>
      </c>
      <c r="L114">
        <v>1035</v>
      </c>
      <c r="N114">
        <v>1013</v>
      </c>
      <c r="O114" t="s">
        <v>204</v>
      </c>
      <c r="P114" t="s">
        <v>204</v>
      </c>
      <c r="Q114">
        <v>1</v>
      </c>
      <c r="W114">
        <v>0</v>
      </c>
      <c r="X114">
        <v>-1223032932</v>
      </c>
      <c r="Y114">
        <v>44.2</v>
      </c>
      <c r="AA114">
        <v>373.08</v>
      </c>
      <c r="AB114">
        <v>0</v>
      </c>
      <c r="AC114">
        <v>0</v>
      </c>
      <c r="AD114">
        <v>0</v>
      </c>
      <c r="AE114">
        <v>24.74</v>
      </c>
      <c r="AF114">
        <v>0</v>
      </c>
      <c r="AG114">
        <v>0</v>
      </c>
      <c r="AH114">
        <v>0</v>
      </c>
      <c r="AI114">
        <v>15.08</v>
      </c>
      <c r="AJ114">
        <v>1</v>
      </c>
      <c r="AK114">
        <v>1</v>
      </c>
      <c r="AL114">
        <v>1</v>
      </c>
      <c r="AN114">
        <v>0</v>
      </c>
      <c r="AO114">
        <v>1</v>
      </c>
      <c r="AP114">
        <v>0</v>
      </c>
      <c r="AQ114">
        <v>0</v>
      </c>
      <c r="AR114">
        <v>0</v>
      </c>
      <c r="AS114" t="s">
        <v>3</v>
      </c>
      <c r="AT114">
        <v>44.2</v>
      </c>
      <c r="AU114" t="s">
        <v>3</v>
      </c>
      <c r="AV114">
        <v>0</v>
      </c>
      <c r="AW114">
        <v>2</v>
      </c>
      <c r="AX114">
        <v>35844714</v>
      </c>
      <c r="AY114">
        <v>1</v>
      </c>
      <c r="AZ114">
        <v>0</v>
      </c>
      <c r="BA114">
        <v>109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0</v>
      </c>
      <c r="BK114">
        <v>0</v>
      </c>
      <c r="BL114">
        <v>0</v>
      </c>
      <c r="BM114">
        <v>0</v>
      </c>
      <c r="BN114">
        <v>0</v>
      </c>
      <c r="BO114">
        <v>0</v>
      </c>
      <c r="BP114">
        <v>0</v>
      </c>
      <c r="BQ114">
        <v>0</v>
      </c>
      <c r="BR114">
        <v>0</v>
      </c>
      <c r="BS114">
        <v>0</v>
      </c>
      <c r="BT114">
        <v>0</v>
      </c>
      <c r="BU114">
        <v>0</v>
      </c>
      <c r="BV114">
        <v>0</v>
      </c>
      <c r="BW114">
        <v>0</v>
      </c>
      <c r="CX114">
        <f>Y114*Source!I165</f>
        <v>9.5914000000000001</v>
      </c>
      <c r="CY114">
        <f t="shared" si="21"/>
        <v>373.08</v>
      </c>
      <c r="CZ114">
        <f t="shared" si="22"/>
        <v>24.74</v>
      </c>
      <c r="DA114">
        <f t="shared" si="23"/>
        <v>15.08</v>
      </c>
      <c r="DB114">
        <f t="shared" si="24"/>
        <v>1093.51</v>
      </c>
      <c r="DC114">
        <f t="shared" si="25"/>
        <v>0</v>
      </c>
    </row>
    <row r="115" spans="1:107">
      <c r="A115">
        <f>ROW(Source!A165)</f>
        <v>165</v>
      </c>
      <c r="B115">
        <v>35841400</v>
      </c>
      <c r="C115">
        <v>35844690</v>
      </c>
      <c r="D115">
        <v>29140920</v>
      </c>
      <c r="E115">
        <v>1</v>
      </c>
      <c r="F115">
        <v>1</v>
      </c>
      <c r="G115">
        <v>1</v>
      </c>
      <c r="H115">
        <v>3</v>
      </c>
      <c r="I115" t="s">
        <v>541</v>
      </c>
      <c r="J115" t="s">
        <v>542</v>
      </c>
      <c r="K115" t="s">
        <v>543</v>
      </c>
      <c r="L115">
        <v>1339</v>
      </c>
      <c r="N115">
        <v>1007</v>
      </c>
      <c r="O115" t="s">
        <v>391</v>
      </c>
      <c r="P115" t="s">
        <v>391</v>
      </c>
      <c r="Q115">
        <v>1</v>
      </c>
      <c r="W115">
        <v>0</v>
      </c>
      <c r="X115">
        <v>-1612027092</v>
      </c>
      <c r="Y115">
        <v>0.67</v>
      </c>
      <c r="AA115">
        <v>89.83</v>
      </c>
      <c r="AB115">
        <v>0</v>
      </c>
      <c r="AC115">
        <v>0</v>
      </c>
      <c r="AD115">
        <v>0</v>
      </c>
      <c r="AE115">
        <v>45.83</v>
      </c>
      <c r="AF115">
        <v>0</v>
      </c>
      <c r="AG115">
        <v>0</v>
      </c>
      <c r="AH115">
        <v>0</v>
      </c>
      <c r="AI115">
        <v>1.96</v>
      </c>
      <c r="AJ115">
        <v>1</v>
      </c>
      <c r="AK115">
        <v>1</v>
      </c>
      <c r="AL115">
        <v>1</v>
      </c>
      <c r="AN115">
        <v>0</v>
      </c>
      <c r="AO115">
        <v>1</v>
      </c>
      <c r="AP115">
        <v>0</v>
      </c>
      <c r="AQ115">
        <v>0</v>
      </c>
      <c r="AR115">
        <v>0</v>
      </c>
      <c r="AS115" t="s">
        <v>3</v>
      </c>
      <c r="AT115">
        <v>0.67</v>
      </c>
      <c r="AU115" t="s">
        <v>3</v>
      </c>
      <c r="AV115">
        <v>0</v>
      </c>
      <c r="AW115">
        <v>2</v>
      </c>
      <c r="AX115">
        <v>35844715</v>
      </c>
      <c r="AY115">
        <v>1</v>
      </c>
      <c r="AZ115">
        <v>0</v>
      </c>
      <c r="BA115">
        <v>110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0</v>
      </c>
      <c r="BK115">
        <v>0</v>
      </c>
      <c r="BL115">
        <v>0</v>
      </c>
      <c r="BM115">
        <v>0</v>
      </c>
      <c r="BN115">
        <v>0</v>
      </c>
      <c r="BO115">
        <v>0</v>
      </c>
      <c r="BP115">
        <v>0</v>
      </c>
      <c r="BQ115">
        <v>0</v>
      </c>
      <c r="BR115">
        <v>0</v>
      </c>
      <c r="BS115">
        <v>0</v>
      </c>
      <c r="BT115">
        <v>0</v>
      </c>
      <c r="BU115">
        <v>0</v>
      </c>
      <c r="BV115">
        <v>0</v>
      </c>
      <c r="BW115">
        <v>0</v>
      </c>
      <c r="CX115">
        <f>Y115*Source!I165</f>
        <v>0.14539000000000002</v>
      </c>
      <c r="CY115">
        <f t="shared" si="21"/>
        <v>89.83</v>
      </c>
      <c r="CZ115">
        <f t="shared" si="22"/>
        <v>45.83</v>
      </c>
      <c r="DA115">
        <f t="shared" si="23"/>
        <v>1.96</v>
      </c>
      <c r="DB115">
        <f t="shared" si="24"/>
        <v>30.71</v>
      </c>
      <c r="DC115">
        <f t="shared" si="25"/>
        <v>0</v>
      </c>
    </row>
    <row r="116" spans="1:107">
      <c r="A116">
        <f>ROW(Source!A165)</f>
        <v>165</v>
      </c>
      <c r="B116">
        <v>35841400</v>
      </c>
      <c r="C116">
        <v>35844690</v>
      </c>
      <c r="D116">
        <v>29150040</v>
      </c>
      <c r="E116">
        <v>1</v>
      </c>
      <c r="F116">
        <v>1</v>
      </c>
      <c r="G116">
        <v>1</v>
      </c>
      <c r="H116">
        <v>3</v>
      </c>
      <c r="I116" t="s">
        <v>388</v>
      </c>
      <c r="J116" t="s">
        <v>389</v>
      </c>
      <c r="K116" t="s">
        <v>390</v>
      </c>
      <c r="L116">
        <v>1339</v>
      </c>
      <c r="N116">
        <v>1007</v>
      </c>
      <c r="O116" t="s">
        <v>391</v>
      </c>
      <c r="P116" t="s">
        <v>391</v>
      </c>
      <c r="Q116">
        <v>1</v>
      </c>
      <c r="W116">
        <v>0</v>
      </c>
      <c r="X116">
        <v>693153122</v>
      </c>
      <c r="Y116">
        <v>15</v>
      </c>
      <c r="AA116">
        <v>22.2</v>
      </c>
      <c r="AB116">
        <v>0</v>
      </c>
      <c r="AC116">
        <v>0</v>
      </c>
      <c r="AD116">
        <v>0</v>
      </c>
      <c r="AE116">
        <v>2.44</v>
      </c>
      <c r="AF116">
        <v>0</v>
      </c>
      <c r="AG116">
        <v>0</v>
      </c>
      <c r="AH116">
        <v>0</v>
      </c>
      <c r="AI116">
        <v>9.1</v>
      </c>
      <c r="AJ116">
        <v>1</v>
      </c>
      <c r="AK116">
        <v>1</v>
      </c>
      <c r="AL116">
        <v>1</v>
      </c>
      <c r="AN116">
        <v>0</v>
      </c>
      <c r="AO116">
        <v>1</v>
      </c>
      <c r="AP116">
        <v>0</v>
      </c>
      <c r="AQ116">
        <v>0</v>
      </c>
      <c r="AR116">
        <v>0</v>
      </c>
      <c r="AS116" t="s">
        <v>3</v>
      </c>
      <c r="AT116">
        <v>15</v>
      </c>
      <c r="AU116" t="s">
        <v>3</v>
      </c>
      <c r="AV116">
        <v>0</v>
      </c>
      <c r="AW116">
        <v>2</v>
      </c>
      <c r="AX116">
        <v>35844716</v>
      </c>
      <c r="AY116">
        <v>1</v>
      </c>
      <c r="AZ116">
        <v>0</v>
      </c>
      <c r="BA116">
        <v>111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0</v>
      </c>
      <c r="BI116">
        <v>0</v>
      </c>
      <c r="BJ116">
        <v>0</v>
      </c>
      <c r="BK116">
        <v>0</v>
      </c>
      <c r="BL116">
        <v>0</v>
      </c>
      <c r="BM116">
        <v>0</v>
      </c>
      <c r="BN116">
        <v>0</v>
      </c>
      <c r="BO116">
        <v>0</v>
      </c>
      <c r="BP116">
        <v>0</v>
      </c>
      <c r="BQ116">
        <v>0</v>
      </c>
      <c r="BR116">
        <v>0</v>
      </c>
      <c r="BS116">
        <v>0</v>
      </c>
      <c r="BT116">
        <v>0</v>
      </c>
      <c r="BU116">
        <v>0</v>
      </c>
      <c r="BV116">
        <v>0</v>
      </c>
      <c r="BW116">
        <v>0</v>
      </c>
      <c r="CX116">
        <f>Y116*Source!I165</f>
        <v>3.2549999999999999</v>
      </c>
      <c r="CY116">
        <f t="shared" si="21"/>
        <v>22.2</v>
      </c>
      <c r="CZ116">
        <f t="shared" si="22"/>
        <v>2.44</v>
      </c>
      <c r="DA116">
        <f t="shared" si="23"/>
        <v>9.1</v>
      </c>
      <c r="DB116">
        <f t="shared" si="24"/>
        <v>36.6</v>
      </c>
      <c r="DC116">
        <f t="shared" si="25"/>
        <v>0</v>
      </c>
    </row>
    <row r="117" spans="1:107">
      <c r="A117">
        <f>ROW(Source!A168)</f>
        <v>168</v>
      </c>
      <c r="B117">
        <v>35841400</v>
      </c>
      <c r="C117">
        <v>35903806</v>
      </c>
      <c r="D117">
        <v>31427698</v>
      </c>
      <c r="E117">
        <v>1</v>
      </c>
      <c r="F117">
        <v>1</v>
      </c>
      <c r="G117">
        <v>1</v>
      </c>
      <c r="H117">
        <v>1</v>
      </c>
      <c r="I117" t="s">
        <v>544</v>
      </c>
      <c r="J117" t="s">
        <v>3</v>
      </c>
      <c r="K117" t="s">
        <v>545</v>
      </c>
      <c r="L117">
        <v>1369</v>
      </c>
      <c r="N117">
        <v>1013</v>
      </c>
      <c r="O117" t="s">
        <v>369</v>
      </c>
      <c r="P117" t="s">
        <v>369</v>
      </c>
      <c r="Q117">
        <v>1</v>
      </c>
      <c r="W117">
        <v>0</v>
      </c>
      <c r="X117">
        <v>882061936</v>
      </c>
      <c r="Y117">
        <v>15.766500000000001</v>
      </c>
      <c r="AA117">
        <v>0</v>
      </c>
      <c r="AB117">
        <v>0</v>
      </c>
      <c r="AC117">
        <v>0</v>
      </c>
      <c r="AD117">
        <v>306.91000000000003</v>
      </c>
      <c r="AE117">
        <v>0</v>
      </c>
      <c r="AF117">
        <v>0</v>
      </c>
      <c r="AG117">
        <v>0</v>
      </c>
      <c r="AH117">
        <v>306.91000000000003</v>
      </c>
      <c r="AI117">
        <v>1</v>
      </c>
      <c r="AJ117">
        <v>1</v>
      </c>
      <c r="AK117">
        <v>1</v>
      </c>
      <c r="AL117">
        <v>1</v>
      </c>
      <c r="AN117">
        <v>0</v>
      </c>
      <c r="AO117">
        <v>1</v>
      </c>
      <c r="AP117">
        <v>1</v>
      </c>
      <c r="AQ117">
        <v>0</v>
      </c>
      <c r="AR117">
        <v>0</v>
      </c>
      <c r="AS117" t="s">
        <v>3</v>
      </c>
      <c r="AT117">
        <v>13.71</v>
      </c>
      <c r="AU117" t="s">
        <v>147</v>
      </c>
      <c r="AV117">
        <v>1</v>
      </c>
      <c r="AW117">
        <v>2</v>
      </c>
      <c r="AX117">
        <v>35903807</v>
      </c>
      <c r="AY117">
        <v>1</v>
      </c>
      <c r="AZ117">
        <v>0</v>
      </c>
      <c r="BA117">
        <v>112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0</v>
      </c>
      <c r="BK117">
        <v>0</v>
      </c>
      <c r="BL117">
        <v>0</v>
      </c>
      <c r="BM117">
        <v>0</v>
      </c>
      <c r="BN117">
        <v>0</v>
      </c>
      <c r="BO117">
        <v>0</v>
      </c>
      <c r="BP117">
        <v>0</v>
      </c>
      <c r="BQ117">
        <v>0</v>
      </c>
      <c r="BR117">
        <v>0</v>
      </c>
      <c r="BS117">
        <v>0</v>
      </c>
      <c r="BT117">
        <v>0</v>
      </c>
      <c r="BU117">
        <v>0</v>
      </c>
      <c r="BV117">
        <v>0</v>
      </c>
      <c r="BW117">
        <v>0</v>
      </c>
      <c r="CX117">
        <f>Y117*Source!I168</f>
        <v>3.9416250000000002</v>
      </c>
      <c r="CY117">
        <f>AD117</f>
        <v>306.91000000000003</v>
      </c>
      <c r="CZ117">
        <f>AH117</f>
        <v>306.91000000000003</v>
      </c>
      <c r="DA117">
        <f>AL117</f>
        <v>1</v>
      </c>
      <c r="DB117">
        <f>ROUND((ROUND(AT117*CZ117,2)*1.15),6)</f>
        <v>4838.9009999999998</v>
      </c>
      <c r="DC117">
        <f>ROUND((ROUND(AT117*AG117,2)*1.15),6)</f>
        <v>0</v>
      </c>
    </row>
    <row r="118" spans="1:107">
      <c r="A118">
        <f>ROW(Source!A168)</f>
        <v>168</v>
      </c>
      <c r="B118">
        <v>35841400</v>
      </c>
      <c r="C118">
        <v>35903806</v>
      </c>
      <c r="D118">
        <v>35554771</v>
      </c>
      <c r="E118">
        <v>1</v>
      </c>
      <c r="F118">
        <v>1</v>
      </c>
      <c r="G118">
        <v>1</v>
      </c>
      <c r="H118">
        <v>2</v>
      </c>
      <c r="I118" t="s">
        <v>525</v>
      </c>
      <c r="J118" t="s">
        <v>546</v>
      </c>
      <c r="K118" t="s">
        <v>547</v>
      </c>
      <c r="L118">
        <v>1368</v>
      </c>
      <c r="N118">
        <v>1011</v>
      </c>
      <c r="O118" t="s">
        <v>379</v>
      </c>
      <c r="P118" t="s">
        <v>379</v>
      </c>
      <c r="Q118">
        <v>1</v>
      </c>
      <c r="W118">
        <v>0</v>
      </c>
      <c r="X118">
        <v>1816581558</v>
      </c>
      <c r="Y118">
        <v>1.5874999999999999</v>
      </c>
      <c r="AA118">
        <v>0</v>
      </c>
      <c r="AB118">
        <v>154.88</v>
      </c>
      <c r="AC118">
        <v>0</v>
      </c>
      <c r="AD118">
        <v>0</v>
      </c>
      <c r="AE118">
        <v>0</v>
      </c>
      <c r="AF118">
        <v>29.67</v>
      </c>
      <c r="AG118">
        <v>0</v>
      </c>
      <c r="AH118">
        <v>0</v>
      </c>
      <c r="AI118">
        <v>1</v>
      </c>
      <c r="AJ118">
        <v>5.22</v>
      </c>
      <c r="AK118">
        <v>33.049999999999997</v>
      </c>
      <c r="AL118">
        <v>1</v>
      </c>
      <c r="AN118">
        <v>0</v>
      </c>
      <c r="AO118">
        <v>1</v>
      </c>
      <c r="AP118">
        <v>1</v>
      </c>
      <c r="AQ118">
        <v>0</v>
      </c>
      <c r="AR118">
        <v>0</v>
      </c>
      <c r="AS118" t="s">
        <v>3</v>
      </c>
      <c r="AT118">
        <v>1.27</v>
      </c>
      <c r="AU118" t="s">
        <v>146</v>
      </c>
      <c r="AV118">
        <v>0</v>
      </c>
      <c r="AW118">
        <v>2</v>
      </c>
      <c r="AX118">
        <v>35903808</v>
      </c>
      <c r="AY118">
        <v>1</v>
      </c>
      <c r="AZ118">
        <v>0</v>
      </c>
      <c r="BA118">
        <v>113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0</v>
      </c>
      <c r="BK118">
        <v>0</v>
      </c>
      <c r="BL118">
        <v>0</v>
      </c>
      <c r="BM118">
        <v>0</v>
      </c>
      <c r="BN118">
        <v>0</v>
      </c>
      <c r="BO118">
        <v>0</v>
      </c>
      <c r="BP118">
        <v>0</v>
      </c>
      <c r="BQ118">
        <v>0</v>
      </c>
      <c r="BR118">
        <v>0</v>
      </c>
      <c r="BS118">
        <v>0</v>
      </c>
      <c r="BT118">
        <v>0</v>
      </c>
      <c r="BU118">
        <v>0</v>
      </c>
      <c r="BV118">
        <v>0</v>
      </c>
      <c r="BW118">
        <v>0</v>
      </c>
      <c r="CX118">
        <f>Y118*Source!I168</f>
        <v>0.39687499999999998</v>
      </c>
      <c r="CY118">
        <f>AB118</f>
        <v>154.88</v>
      </c>
      <c r="CZ118">
        <f>AF118</f>
        <v>29.67</v>
      </c>
      <c r="DA118">
        <f>AJ118</f>
        <v>5.22</v>
      </c>
      <c r="DB118">
        <f>ROUND((ROUND(AT118*CZ118,2)*1.25),6)</f>
        <v>47.1</v>
      </c>
      <c r="DC118">
        <f>ROUND((ROUND(AT118*AG118,2)*1.25),6)</f>
        <v>0</v>
      </c>
    </row>
    <row r="119" spans="1:107">
      <c r="A119">
        <f>ROW(Source!A168)</f>
        <v>168</v>
      </c>
      <c r="B119">
        <v>35841400</v>
      </c>
      <c r="C119">
        <v>35903806</v>
      </c>
      <c r="D119">
        <v>35555088</v>
      </c>
      <c r="E119">
        <v>1</v>
      </c>
      <c r="F119">
        <v>1</v>
      </c>
      <c r="G119">
        <v>1</v>
      </c>
      <c r="H119">
        <v>2</v>
      </c>
      <c r="I119" t="s">
        <v>394</v>
      </c>
      <c r="J119" t="s">
        <v>464</v>
      </c>
      <c r="K119" t="s">
        <v>396</v>
      </c>
      <c r="L119">
        <v>1368</v>
      </c>
      <c r="N119">
        <v>1011</v>
      </c>
      <c r="O119" t="s">
        <v>379</v>
      </c>
      <c r="P119" t="s">
        <v>379</v>
      </c>
      <c r="Q119">
        <v>1</v>
      </c>
      <c r="W119">
        <v>0</v>
      </c>
      <c r="X119">
        <v>586434904</v>
      </c>
      <c r="Y119">
        <v>2.5000000000000001E-2</v>
      </c>
      <c r="AA119">
        <v>0</v>
      </c>
      <c r="AB119">
        <v>932.72</v>
      </c>
      <c r="AC119">
        <v>383.38</v>
      </c>
      <c r="AD119">
        <v>0</v>
      </c>
      <c r="AE119">
        <v>0</v>
      </c>
      <c r="AF119">
        <v>87.17</v>
      </c>
      <c r="AG119">
        <v>11.6</v>
      </c>
      <c r="AH119">
        <v>0</v>
      </c>
      <c r="AI119">
        <v>1</v>
      </c>
      <c r="AJ119">
        <v>10.7</v>
      </c>
      <c r="AK119">
        <v>33.049999999999997</v>
      </c>
      <c r="AL119">
        <v>1</v>
      </c>
      <c r="AN119">
        <v>0</v>
      </c>
      <c r="AO119">
        <v>1</v>
      </c>
      <c r="AP119">
        <v>1</v>
      </c>
      <c r="AQ119">
        <v>0</v>
      </c>
      <c r="AR119">
        <v>0</v>
      </c>
      <c r="AS119" t="s">
        <v>3</v>
      </c>
      <c r="AT119">
        <v>0.02</v>
      </c>
      <c r="AU119" t="s">
        <v>146</v>
      </c>
      <c r="AV119">
        <v>0</v>
      </c>
      <c r="AW119">
        <v>2</v>
      </c>
      <c r="AX119">
        <v>35903809</v>
      </c>
      <c r="AY119">
        <v>1</v>
      </c>
      <c r="AZ119">
        <v>0</v>
      </c>
      <c r="BA119">
        <v>114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0</v>
      </c>
      <c r="BK119">
        <v>0</v>
      </c>
      <c r="BL119">
        <v>0</v>
      </c>
      <c r="BM119">
        <v>0</v>
      </c>
      <c r="BN119">
        <v>0</v>
      </c>
      <c r="BO119">
        <v>0</v>
      </c>
      <c r="BP119">
        <v>0</v>
      </c>
      <c r="BQ119">
        <v>0</v>
      </c>
      <c r="BR119">
        <v>0</v>
      </c>
      <c r="BS119">
        <v>0</v>
      </c>
      <c r="BT119">
        <v>0</v>
      </c>
      <c r="BU119">
        <v>0</v>
      </c>
      <c r="BV119">
        <v>0</v>
      </c>
      <c r="BW119">
        <v>0</v>
      </c>
      <c r="CX119">
        <f>Y119*Source!I168</f>
        <v>6.2500000000000003E-3</v>
      </c>
      <c r="CY119">
        <f>AB119</f>
        <v>932.72</v>
      </c>
      <c r="CZ119">
        <f>AF119</f>
        <v>87.17</v>
      </c>
      <c r="DA119">
        <f>AJ119</f>
        <v>10.7</v>
      </c>
      <c r="DB119">
        <f>ROUND((ROUND(AT119*CZ119,2)*1.25),6)</f>
        <v>2.1749999999999998</v>
      </c>
      <c r="DC119">
        <f>ROUND((ROUND(AT119*AG119,2)*1.25),6)</f>
        <v>0.28749999999999998</v>
      </c>
    </row>
    <row r="120" spans="1:107">
      <c r="A120">
        <f>ROW(Source!A168)</f>
        <v>168</v>
      </c>
      <c r="B120">
        <v>35841400</v>
      </c>
      <c r="C120">
        <v>35903806</v>
      </c>
      <c r="D120">
        <v>35552706</v>
      </c>
      <c r="E120">
        <v>1</v>
      </c>
      <c r="F120">
        <v>1</v>
      </c>
      <c r="G120">
        <v>1</v>
      </c>
      <c r="H120">
        <v>3</v>
      </c>
      <c r="I120" t="s">
        <v>548</v>
      </c>
      <c r="J120" t="s">
        <v>549</v>
      </c>
      <c r="K120" t="s">
        <v>550</v>
      </c>
      <c r="L120">
        <v>1348</v>
      </c>
      <c r="N120">
        <v>1009</v>
      </c>
      <c r="O120" t="s">
        <v>27</v>
      </c>
      <c r="P120" t="s">
        <v>27</v>
      </c>
      <c r="Q120">
        <v>1000</v>
      </c>
      <c r="W120">
        <v>0</v>
      </c>
      <c r="X120">
        <v>-1462311545</v>
      </c>
      <c r="Y120">
        <v>3.1700000000000001E-3</v>
      </c>
      <c r="AA120">
        <v>67994.460000000006</v>
      </c>
      <c r="AB120">
        <v>0</v>
      </c>
      <c r="AC120">
        <v>0</v>
      </c>
      <c r="AD120">
        <v>0</v>
      </c>
      <c r="AE120">
        <v>14528.73</v>
      </c>
      <c r="AF120">
        <v>0</v>
      </c>
      <c r="AG120">
        <v>0</v>
      </c>
      <c r="AH120">
        <v>0</v>
      </c>
      <c r="AI120">
        <v>4.68</v>
      </c>
      <c r="AJ120">
        <v>1</v>
      </c>
      <c r="AK120">
        <v>1</v>
      </c>
      <c r="AL120">
        <v>1</v>
      </c>
      <c r="AN120">
        <v>0</v>
      </c>
      <c r="AO120">
        <v>1</v>
      </c>
      <c r="AP120">
        <v>0</v>
      </c>
      <c r="AQ120">
        <v>0</v>
      </c>
      <c r="AR120">
        <v>0</v>
      </c>
      <c r="AS120" t="s">
        <v>3</v>
      </c>
      <c r="AT120">
        <v>3.1700000000000001E-3</v>
      </c>
      <c r="AU120" t="s">
        <v>3</v>
      </c>
      <c r="AV120">
        <v>0</v>
      </c>
      <c r="AW120">
        <v>2</v>
      </c>
      <c r="AX120">
        <v>35903811</v>
      </c>
      <c r="AY120">
        <v>1</v>
      </c>
      <c r="AZ120">
        <v>0</v>
      </c>
      <c r="BA120">
        <v>116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0</v>
      </c>
      <c r="BK120">
        <v>0</v>
      </c>
      <c r="BL120">
        <v>0</v>
      </c>
      <c r="BM120">
        <v>0</v>
      </c>
      <c r="BN120">
        <v>0</v>
      </c>
      <c r="BO120">
        <v>0</v>
      </c>
      <c r="BP120">
        <v>0</v>
      </c>
      <c r="BQ120">
        <v>0</v>
      </c>
      <c r="BR120">
        <v>0</v>
      </c>
      <c r="BS120">
        <v>0</v>
      </c>
      <c r="BT120">
        <v>0</v>
      </c>
      <c r="BU120">
        <v>0</v>
      </c>
      <c r="BV120">
        <v>0</v>
      </c>
      <c r="BW120">
        <v>0</v>
      </c>
      <c r="CX120">
        <f>Y120*Source!I168</f>
        <v>7.9250000000000002E-4</v>
      </c>
      <c r="CY120">
        <f>AA120</f>
        <v>67994.460000000006</v>
      </c>
      <c r="CZ120">
        <f>AE120</f>
        <v>14528.73</v>
      </c>
      <c r="DA120">
        <f>AI120</f>
        <v>4.68</v>
      </c>
      <c r="DB120">
        <f t="shared" ref="DB120:DB161" si="26">ROUND(ROUND(AT120*CZ120,2),6)</f>
        <v>46.06</v>
      </c>
      <c r="DC120">
        <f t="shared" ref="DC120:DC161" si="27">ROUND(ROUND(AT120*AG120,2),6)</f>
        <v>0</v>
      </c>
    </row>
    <row r="121" spans="1:107">
      <c r="A121">
        <f>ROW(Source!A168)</f>
        <v>168</v>
      </c>
      <c r="B121">
        <v>35841400</v>
      </c>
      <c r="C121">
        <v>35903806</v>
      </c>
      <c r="D121">
        <v>35552838</v>
      </c>
      <c r="E121">
        <v>1</v>
      </c>
      <c r="F121">
        <v>1</v>
      </c>
      <c r="G121">
        <v>1</v>
      </c>
      <c r="H121">
        <v>3</v>
      </c>
      <c r="I121" t="s">
        <v>551</v>
      </c>
      <c r="J121" t="s">
        <v>552</v>
      </c>
      <c r="K121" t="s">
        <v>553</v>
      </c>
      <c r="L121">
        <v>1356</v>
      </c>
      <c r="N121">
        <v>1010</v>
      </c>
      <c r="O121" t="s">
        <v>554</v>
      </c>
      <c r="P121" t="s">
        <v>554</v>
      </c>
      <c r="Q121">
        <v>1000</v>
      </c>
      <c r="W121">
        <v>0</v>
      </c>
      <c r="X121">
        <v>-587492009</v>
      </c>
      <c r="Y121">
        <v>0.16700000000000001</v>
      </c>
      <c r="AA121">
        <v>390.05</v>
      </c>
      <c r="AB121">
        <v>0</v>
      </c>
      <c r="AC121">
        <v>0</v>
      </c>
      <c r="AD121">
        <v>0</v>
      </c>
      <c r="AE121">
        <v>269</v>
      </c>
      <c r="AF121">
        <v>0</v>
      </c>
      <c r="AG121">
        <v>0</v>
      </c>
      <c r="AH121">
        <v>0</v>
      </c>
      <c r="AI121">
        <v>1.45</v>
      </c>
      <c r="AJ121">
        <v>1</v>
      </c>
      <c r="AK121">
        <v>1</v>
      </c>
      <c r="AL121">
        <v>1</v>
      </c>
      <c r="AN121">
        <v>0</v>
      </c>
      <c r="AO121">
        <v>1</v>
      </c>
      <c r="AP121">
        <v>0</v>
      </c>
      <c r="AQ121">
        <v>0</v>
      </c>
      <c r="AR121">
        <v>0</v>
      </c>
      <c r="AS121" t="s">
        <v>3</v>
      </c>
      <c r="AT121">
        <v>0.16700000000000001</v>
      </c>
      <c r="AU121" t="s">
        <v>3</v>
      </c>
      <c r="AV121">
        <v>0</v>
      </c>
      <c r="AW121">
        <v>2</v>
      </c>
      <c r="AX121">
        <v>35903812</v>
      </c>
      <c r="AY121">
        <v>1</v>
      </c>
      <c r="AZ121">
        <v>0</v>
      </c>
      <c r="BA121">
        <v>117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0</v>
      </c>
      <c r="BK121">
        <v>0</v>
      </c>
      <c r="BL121">
        <v>0</v>
      </c>
      <c r="BM121">
        <v>0</v>
      </c>
      <c r="BN121">
        <v>0</v>
      </c>
      <c r="BO121">
        <v>0</v>
      </c>
      <c r="BP121">
        <v>0</v>
      </c>
      <c r="BQ121">
        <v>0</v>
      </c>
      <c r="BR121">
        <v>0</v>
      </c>
      <c r="BS121">
        <v>0</v>
      </c>
      <c r="BT121">
        <v>0</v>
      </c>
      <c r="BU121">
        <v>0</v>
      </c>
      <c r="BV121">
        <v>0</v>
      </c>
      <c r="BW121">
        <v>0</v>
      </c>
      <c r="CX121">
        <f>Y121*Source!I168</f>
        <v>4.1750000000000002E-2</v>
      </c>
      <c r="CY121">
        <f>AA121</f>
        <v>390.05</v>
      </c>
      <c r="CZ121">
        <f>AE121</f>
        <v>269</v>
      </c>
      <c r="DA121">
        <f>AI121</f>
        <v>1.45</v>
      </c>
      <c r="DB121">
        <f t="shared" si="26"/>
        <v>44.92</v>
      </c>
      <c r="DC121">
        <f t="shared" si="27"/>
        <v>0</v>
      </c>
    </row>
    <row r="122" spans="1:107">
      <c r="A122">
        <f>ROW(Source!A168)</f>
        <v>168</v>
      </c>
      <c r="B122">
        <v>35841400</v>
      </c>
      <c r="C122">
        <v>35903806</v>
      </c>
      <c r="D122">
        <v>35554227</v>
      </c>
      <c r="E122">
        <v>1</v>
      </c>
      <c r="F122">
        <v>1</v>
      </c>
      <c r="G122">
        <v>1</v>
      </c>
      <c r="H122">
        <v>3</v>
      </c>
      <c r="I122" t="s">
        <v>388</v>
      </c>
      <c r="J122" t="s">
        <v>555</v>
      </c>
      <c r="K122" t="s">
        <v>390</v>
      </c>
      <c r="L122">
        <v>1339</v>
      </c>
      <c r="N122">
        <v>1007</v>
      </c>
      <c r="O122" t="s">
        <v>391</v>
      </c>
      <c r="P122" t="s">
        <v>391</v>
      </c>
      <c r="Q122">
        <v>1</v>
      </c>
      <c r="W122">
        <v>0</v>
      </c>
      <c r="X122">
        <v>1003927546</v>
      </c>
      <c r="Y122">
        <v>0.29299999999999998</v>
      </c>
      <c r="AA122">
        <v>22.2</v>
      </c>
      <c r="AB122">
        <v>0</v>
      </c>
      <c r="AC122">
        <v>0</v>
      </c>
      <c r="AD122">
        <v>0</v>
      </c>
      <c r="AE122">
        <v>2.44</v>
      </c>
      <c r="AF122">
        <v>0</v>
      </c>
      <c r="AG122">
        <v>0</v>
      </c>
      <c r="AH122">
        <v>0</v>
      </c>
      <c r="AI122">
        <v>9.1</v>
      </c>
      <c r="AJ122">
        <v>1</v>
      </c>
      <c r="AK122">
        <v>1</v>
      </c>
      <c r="AL122">
        <v>1</v>
      </c>
      <c r="AN122">
        <v>0</v>
      </c>
      <c r="AO122">
        <v>1</v>
      </c>
      <c r="AP122">
        <v>0</v>
      </c>
      <c r="AQ122">
        <v>0</v>
      </c>
      <c r="AR122">
        <v>0</v>
      </c>
      <c r="AS122" t="s">
        <v>3</v>
      </c>
      <c r="AT122">
        <v>0.29299999999999998</v>
      </c>
      <c r="AU122" t="s">
        <v>3</v>
      </c>
      <c r="AV122">
        <v>0</v>
      </c>
      <c r="AW122">
        <v>2</v>
      </c>
      <c r="AX122">
        <v>35903816</v>
      </c>
      <c r="AY122">
        <v>1</v>
      </c>
      <c r="AZ122">
        <v>0</v>
      </c>
      <c r="BA122">
        <v>121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0</v>
      </c>
      <c r="BI122">
        <v>0</v>
      </c>
      <c r="BJ122">
        <v>0</v>
      </c>
      <c r="BK122">
        <v>0</v>
      </c>
      <c r="BL122">
        <v>0</v>
      </c>
      <c r="BM122">
        <v>0</v>
      </c>
      <c r="BN122">
        <v>0</v>
      </c>
      <c r="BO122">
        <v>0</v>
      </c>
      <c r="BP122">
        <v>0</v>
      </c>
      <c r="BQ122">
        <v>0</v>
      </c>
      <c r="BR122">
        <v>0</v>
      </c>
      <c r="BS122">
        <v>0</v>
      </c>
      <c r="BT122">
        <v>0</v>
      </c>
      <c r="BU122">
        <v>0</v>
      </c>
      <c r="BV122">
        <v>0</v>
      </c>
      <c r="BW122">
        <v>0</v>
      </c>
      <c r="CX122">
        <f>Y122*Source!I168</f>
        <v>7.3249999999999996E-2</v>
      </c>
      <c r="CY122">
        <f>AA122</f>
        <v>22.2</v>
      </c>
      <c r="CZ122">
        <f>AE122</f>
        <v>2.44</v>
      </c>
      <c r="DA122">
        <f>AI122</f>
        <v>9.1</v>
      </c>
      <c r="DB122">
        <f t="shared" si="26"/>
        <v>0.71</v>
      </c>
      <c r="DC122">
        <f t="shared" si="27"/>
        <v>0</v>
      </c>
    </row>
    <row r="123" spans="1:107">
      <c r="A123">
        <f>ROW(Source!A168)</f>
        <v>168</v>
      </c>
      <c r="B123">
        <v>35841400</v>
      </c>
      <c r="C123">
        <v>35903806</v>
      </c>
      <c r="D123">
        <v>29158792</v>
      </c>
      <c r="E123">
        <v>1</v>
      </c>
      <c r="F123">
        <v>1</v>
      </c>
      <c r="G123">
        <v>1</v>
      </c>
      <c r="H123">
        <v>3</v>
      </c>
      <c r="I123" t="s">
        <v>243</v>
      </c>
      <c r="J123" t="s">
        <v>246</v>
      </c>
      <c r="K123" t="s">
        <v>244</v>
      </c>
      <c r="L123">
        <v>1301</v>
      </c>
      <c r="N123">
        <v>1003</v>
      </c>
      <c r="O123" t="s">
        <v>245</v>
      </c>
      <c r="P123" t="s">
        <v>245</v>
      </c>
      <c r="Q123">
        <v>1</v>
      </c>
      <c r="W123">
        <v>0</v>
      </c>
      <c r="X123">
        <v>-1931204490</v>
      </c>
      <c r="Y123">
        <v>100</v>
      </c>
      <c r="AA123">
        <v>259.06</v>
      </c>
      <c r="AB123">
        <v>0</v>
      </c>
      <c r="AC123">
        <v>0</v>
      </c>
      <c r="AD123">
        <v>0</v>
      </c>
      <c r="AE123">
        <v>26.79</v>
      </c>
      <c r="AF123">
        <v>0</v>
      </c>
      <c r="AG123">
        <v>0</v>
      </c>
      <c r="AH123">
        <v>0</v>
      </c>
      <c r="AI123">
        <v>9.67</v>
      </c>
      <c r="AJ123">
        <v>1</v>
      </c>
      <c r="AK123">
        <v>1</v>
      </c>
      <c r="AL123">
        <v>1</v>
      </c>
      <c r="AN123">
        <v>0</v>
      </c>
      <c r="AO123">
        <v>0</v>
      </c>
      <c r="AP123">
        <v>0</v>
      </c>
      <c r="AQ123">
        <v>0</v>
      </c>
      <c r="AR123">
        <v>0</v>
      </c>
      <c r="AS123" t="s">
        <v>3</v>
      </c>
      <c r="AT123">
        <v>100</v>
      </c>
      <c r="AU123" t="s">
        <v>3</v>
      </c>
      <c r="AV123">
        <v>0</v>
      </c>
      <c r="AW123">
        <v>1</v>
      </c>
      <c r="AX123">
        <v>-1</v>
      </c>
      <c r="AY123">
        <v>0</v>
      </c>
      <c r="AZ123">
        <v>0</v>
      </c>
      <c r="BA123" t="s">
        <v>3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0</v>
      </c>
      <c r="BK123">
        <v>0</v>
      </c>
      <c r="BL123">
        <v>0</v>
      </c>
      <c r="BM123">
        <v>0</v>
      </c>
      <c r="BN123">
        <v>0</v>
      </c>
      <c r="BO123">
        <v>0</v>
      </c>
      <c r="BP123">
        <v>0</v>
      </c>
      <c r="BQ123">
        <v>0</v>
      </c>
      <c r="BR123">
        <v>0</v>
      </c>
      <c r="BS123">
        <v>0</v>
      </c>
      <c r="BT123">
        <v>0</v>
      </c>
      <c r="BU123">
        <v>0</v>
      </c>
      <c r="BV123">
        <v>0</v>
      </c>
      <c r="BW123">
        <v>0</v>
      </c>
      <c r="CX123">
        <f>Y123*Source!I168</f>
        <v>25</v>
      </c>
      <c r="CY123">
        <f>AA123</f>
        <v>259.06</v>
      </c>
      <c r="CZ123">
        <f>AE123</f>
        <v>26.79</v>
      </c>
      <c r="DA123">
        <f>AI123</f>
        <v>9.67</v>
      </c>
      <c r="DB123">
        <f t="shared" si="26"/>
        <v>2679</v>
      </c>
      <c r="DC123">
        <f t="shared" si="27"/>
        <v>0</v>
      </c>
    </row>
    <row r="124" spans="1:107">
      <c r="A124">
        <f>ROW(Source!A172)</f>
        <v>172</v>
      </c>
      <c r="B124">
        <v>35841400</v>
      </c>
      <c r="C124">
        <v>35914227</v>
      </c>
      <c r="D124">
        <v>18409992</v>
      </c>
      <c r="E124">
        <v>1</v>
      </c>
      <c r="F124">
        <v>1</v>
      </c>
      <c r="G124">
        <v>1</v>
      </c>
      <c r="H124">
        <v>1</v>
      </c>
      <c r="I124" t="s">
        <v>556</v>
      </c>
      <c r="J124" t="s">
        <v>3</v>
      </c>
      <c r="K124" t="s">
        <v>557</v>
      </c>
      <c r="L124">
        <v>1369</v>
      </c>
      <c r="N124">
        <v>1013</v>
      </c>
      <c r="O124" t="s">
        <v>369</v>
      </c>
      <c r="P124" t="s">
        <v>369</v>
      </c>
      <c r="Q124">
        <v>1</v>
      </c>
      <c r="W124">
        <v>0</v>
      </c>
      <c r="X124">
        <v>-932636904</v>
      </c>
      <c r="Y124">
        <v>55.16</v>
      </c>
      <c r="AA124">
        <v>0</v>
      </c>
      <c r="AB124">
        <v>0</v>
      </c>
      <c r="AC124">
        <v>0</v>
      </c>
      <c r="AD124">
        <v>264.14</v>
      </c>
      <c r="AE124">
        <v>0</v>
      </c>
      <c r="AF124">
        <v>0</v>
      </c>
      <c r="AG124">
        <v>0</v>
      </c>
      <c r="AH124">
        <v>264.14</v>
      </c>
      <c r="AI124">
        <v>1</v>
      </c>
      <c r="AJ124">
        <v>1</v>
      </c>
      <c r="AK124">
        <v>1</v>
      </c>
      <c r="AL124">
        <v>1</v>
      </c>
      <c r="AN124">
        <v>0</v>
      </c>
      <c r="AO124">
        <v>1</v>
      </c>
      <c r="AP124">
        <v>0</v>
      </c>
      <c r="AQ124">
        <v>0</v>
      </c>
      <c r="AR124">
        <v>0</v>
      </c>
      <c r="AS124" t="s">
        <v>3</v>
      </c>
      <c r="AT124">
        <v>55.16</v>
      </c>
      <c r="AU124" t="s">
        <v>3</v>
      </c>
      <c r="AV124">
        <v>1</v>
      </c>
      <c r="AW124">
        <v>2</v>
      </c>
      <c r="AX124">
        <v>35914228</v>
      </c>
      <c r="AY124">
        <v>1</v>
      </c>
      <c r="AZ124">
        <v>0</v>
      </c>
      <c r="BA124">
        <v>123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0</v>
      </c>
      <c r="BK124">
        <v>0</v>
      </c>
      <c r="BL124">
        <v>0</v>
      </c>
      <c r="BM124">
        <v>0</v>
      </c>
      <c r="BN124">
        <v>0</v>
      </c>
      <c r="BO124">
        <v>0</v>
      </c>
      <c r="BP124">
        <v>0</v>
      </c>
      <c r="BQ124">
        <v>0</v>
      </c>
      <c r="BR124">
        <v>0</v>
      </c>
      <c r="BS124">
        <v>0</v>
      </c>
      <c r="BT124">
        <v>0</v>
      </c>
      <c r="BU124">
        <v>0</v>
      </c>
      <c r="BV124">
        <v>0</v>
      </c>
      <c r="BW124">
        <v>0</v>
      </c>
      <c r="CX124">
        <f>Y124*Source!I172</f>
        <v>0.27579999999999999</v>
      </c>
      <c r="CY124">
        <f>AD124</f>
        <v>264.14</v>
      </c>
      <c r="CZ124">
        <f>AH124</f>
        <v>264.14</v>
      </c>
      <c r="DA124">
        <f>AL124</f>
        <v>1</v>
      </c>
      <c r="DB124">
        <f t="shared" si="26"/>
        <v>14569.96</v>
      </c>
      <c r="DC124">
        <f t="shared" si="27"/>
        <v>0</v>
      </c>
    </row>
    <row r="125" spans="1:107">
      <c r="A125">
        <f>ROW(Source!A172)</f>
        <v>172</v>
      </c>
      <c r="B125">
        <v>35841400</v>
      </c>
      <c r="C125">
        <v>35914227</v>
      </c>
      <c r="D125">
        <v>29172513</v>
      </c>
      <c r="E125">
        <v>1</v>
      </c>
      <c r="F125">
        <v>1</v>
      </c>
      <c r="G125">
        <v>1</v>
      </c>
      <c r="H125">
        <v>2</v>
      </c>
      <c r="I125" t="s">
        <v>558</v>
      </c>
      <c r="J125" t="s">
        <v>559</v>
      </c>
      <c r="K125" t="s">
        <v>560</v>
      </c>
      <c r="L125">
        <v>1368</v>
      </c>
      <c r="N125">
        <v>1011</v>
      </c>
      <c r="O125" t="s">
        <v>379</v>
      </c>
      <c r="P125" t="s">
        <v>379</v>
      </c>
      <c r="Q125">
        <v>1</v>
      </c>
      <c r="W125">
        <v>0</v>
      </c>
      <c r="X125">
        <v>1679132089</v>
      </c>
      <c r="Y125">
        <v>0.44</v>
      </c>
      <c r="AA125">
        <v>0</v>
      </c>
      <c r="AB125">
        <v>18.02</v>
      </c>
      <c r="AC125">
        <v>0</v>
      </c>
      <c r="AD125">
        <v>0</v>
      </c>
      <c r="AE125">
        <v>0</v>
      </c>
      <c r="AF125">
        <v>1.7</v>
      </c>
      <c r="AG125">
        <v>0</v>
      </c>
      <c r="AH125">
        <v>0</v>
      </c>
      <c r="AI125">
        <v>1</v>
      </c>
      <c r="AJ125">
        <v>10.6</v>
      </c>
      <c r="AK125">
        <v>33.049999999999997</v>
      </c>
      <c r="AL125">
        <v>1</v>
      </c>
      <c r="AN125">
        <v>0</v>
      </c>
      <c r="AO125">
        <v>1</v>
      </c>
      <c r="AP125">
        <v>0</v>
      </c>
      <c r="AQ125">
        <v>0</v>
      </c>
      <c r="AR125">
        <v>0</v>
      </c>
      <c r="AS125" t="s">
        <v>3</v>
      </c>
      <c r="AT125">
        <v>0.44</v>
      </c>
      <c r="AU125" t="s">
        <v>3</v>
      </c>
      <c r="AV125">
        <v>0</v>
      </c>
      <c r="AW125">
        <v>2</v>
      </c>
      <c r="AX125">
        <v>35914229</v>
      </c>
      <c r="AY125">
        <v>1</v>
      </c>
      <c r="AZ125">
        <v>0</v>
      </c>
      <c r="BA125">
        <v>124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0</v>
      </c>
      <c r="BK125">
        <v>0</v>
      </c>
      <c r="BL125">
        <v>0</v>
      </c>
      <c r="BM125">
        <v>0</v>
      </c>
      <c r="BN125">
        <v>0</v>
      </c>
      <c r="BO125">
        <v>0</v>
      </c>
      <c r="BP125">
        <v>0</v>
      </c>
      <c r="BQ125">
        <v>0</v>
      </c>
      <c r="BR125">
        <v>0</v>
      </c>
      <c r="BS125">
        <v>0</v>
      </c>
      <c r="BT125">
        <v>0</v>
      </c>
      <c r="BU125">
        <v>0</v>
      </c>
      <c r="BV125">
        <v>0</v>
      </c>
      <c r="BW125">
        <v>0</v>
      </c>
      <c r="CX125">
        <f>Y125*Source!I172</f>
        <v>2.2000000000000001E-3</v>
      </c>
      <c r="CY125">
        <f>AB125</f>
        <v>18.02</v>
      </c>
      <c r="CZ125">
        <f>AF125</f>
        <v>1.7</v>
      </c>
      <c r="DA125">
        <f>AJ125</f>
        <v>10.6</v>
      </c>
      <c r="DB125">
        <f t="shared" si="26"/>
        <v>0.75</v>
      </c>
      <c r="DC125">
        <f t="shared" si="27"/>
        <v>0</v>
      </c>
    </row>
    <row r="126" spans="1:107">
      <c r="A126">
        <f>ROW(Source!A172)</f>
        <v>172</v>
      </c>
      <c r="B126">
        <v>35841400</v>
      </c>
      <c r="C126">
        <v>35914227</v>
      </c>
      <c r="D126">
        <v>29174913</v>
      </c>
      <c r="E126">
        <v>1</v>
      </c>
      <c r="F126">
        <v>1</v>
      </c>
      <c r="G126">
        <v>1</v>
      </c>
      <c r="H126">
        <v>2</v>
      </c>
      <c r="I126" t="s">
        <v>394</v>
      </c>
      <c r="J126" t="s">
        <v>395</v>
      </c>
      <c r="K126" t="s">
        <v>396</v>
      </c>
      <c r="L126">
        <v>1368</v>
      </c>
      <c r="N126">
        <v>1011</v>
      </c>
      <c r="O126" t="s">
        <v>379</v>
      </c>
      <c r="P126" t="s">
        <v>379</v>
      </c>
      <c r="Q126">
        <v>1</v>
      </c>
      <c r="W126">
        <v>0</v>
      </c>
      <c r="X126">
        <v>458544584</v>
      </c>
      <c r="Y126">
        <v>0.24</v>
      </c>
      <c r="AA126">
        <v>0</v>
      </c>
      <c r="AB126">
        <v>932.72</v>
      </c>
      <c r="AC126">
        <v>383.38</v>
      </c>
      <c r="AD126">
        <v>0</v>
      </c>
      <c r="AE126">
        <v>0</v>
      </c>
      <c r="AF126">
        <v>87.17</v>
      </c>
      <c r="AG126">
        <v>11.6</v>
      </c>
      <c r="AH126">
        <v>0</v>
      </c>
      <c r="AI126">
        <v>1</v>
      </c>
      <c r="AJ126">
        <v>10.7</v>
      </c>
      <c r="AK126">
        <v>33.049999999999997</v>
      </c>
      <c r="AL126">
        <v>1</v>
      </c>
      <c r="AN126">
        <v>0</v>
      </c>
      <c r="AO126">
        <v>1</v>
      </c>
      <c r="AP126">
        <v>0</v>
      </c>
      <c r="AQ126">
        <v>0</v>
      </c>
      <c r="AR126">
        <v>0</v>
      </c>
      <c r="AS126" t="s">
        <v>3</v>
      </c>
      <c r="AT126">
        <v>0.24</v>
      </c>
      <c r="AU126" t="s">
        <v>3</v>
      </c>
      <c r="AV126">
        <v>0</v>
      </c>
      <c r="AW126">
        <v>2</v>
      </c>
      <c r="AX126">
        <v>35914230</v>
      </c>
      <c r="AY126">
        <v>1</v>
      </c>
      <c r="AZ126">
        <v>0</v>
      </c>
      <c r="BA126">
        <v>125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0</v>
      </c>
      <c r="BK126">
        <v>0</v>
      </c>
      <c r="BL126">
        <v>0</v>
      </c>
      <c r="BM126">
        <v>0</v>
      </c>
      <c r="BN126">
        <v>0</v>
      </c>
      <c r="BO126">
        <v>0</v>
      </c>
      <c r="BP126">
        <v>0</v>
      </c>
      <c r="BQ126">
        <v>0</v>
      </c>
      <c r="BR126">
        <v>0</v>
      </c>
      <c r="BS126">
        <v>0</v>
      </c>
      <c r="BT126">
        <v>0</v>
      </c>
      <c r="BU126">
        <v>0</v>
      </c>
      <c r="BV126">
        <v>0</v>
      </c>
      <c r="BW126">
        <v>0</v>
      </c>
      <c r="CX126">
        <f>Y126*Source!I172</f>
        <v>1.1999999999999999E-3</v>
      </c>
      <c r="CY126">
        <f>AB126</f>
        <v>932.72</v>
      </c>
      <c r="CZ126">
        <f>AF126</f>
        <v>87.17</v>
      </c>
      <c r="DA126">
        <f>AJ126</f>
        <v>10.7</v>
      </c>
      <c r="DB126">
        <f t="shared" si="26"/>
        <v>20.92</v>
      </c>
      <c r="DC126">
        <f t="shared" si="27"/>
        <v>2.78</v>
      </c>
    </row>
    <row r="127" spans="1:107">
      <c r="A127">
        <f>ROW(Source!A172)</f>
        <v>172</v>
      </c>
      <c r="B127">
        <v>35841400</v>
      </c>
      <c r="C127">
        <v>35914227</v>
      </c>
      <c r="D127">
        <v>29113598</v>
      </c>
      <c r="E127">
        <v>1</v>
      </c>
      <c r="F127">
        <v>1</v>
      </c>
      <c r="G127">
        <v>1</v>
      </c>
      <c r="H127">
        <v>3</v>
      </c>
      <c r="I127" t="s">
        <v>498</v>
      </c>
      <c r="J127" t="s">
        <v>499</v>
      </c>
      <c r="K127" t="s">
        <v>500</v>
      </c>
      <c r="L127">
        <v>1348</v>
      </c>
      <c r="N127">
        <v>1009</v>
      </c>
      <c r="O127" t="s">
        <v>27</v>
      </c>
      <c r="P127" t="s">
        <v>27</v>
      </c>
      <c r="Q127">
        <v>1000</v>
      </c>
      <c r="W127">
        <v>0</v>
      </c>
      <c r="X127">
        <v>-18179437</v>
      </c>
      <c r="Y127">
        <v>9.4999999999999998E-3</v>
      </c>
      <c r="AA127">
        <v>57338.42</v>
      </c>
      <c r="AB127">
        <v>0</v>
      </c>
      <c r="AC127">
        <v>0</v>
      </c>
      <c r="AD127">
        <v>0</v>
      </c>
      <c r="AE127">
        <v>4455.2</v>
      </c>
      <c r="AF127">
        <v>0</v>
      </c>
      <c r="AG127">
        <v>0</v>
      </c>
      <c r="AH127">
        <v>0</v>
      </c>
      <c r="AI127">
        <v>12.87</v>
      </c>
      <c r="AJ127">
        <v>1</v>
      </c>
      <c r="AK127">
        <v>1</v>
      </c>
      <c r="AL127">
        <v>1</v>
      </c>
      <c r="AN127">
        <v>0</v>
      </c>
      <c r="AO127">
        <v>1</v>
      </c>
      <c r="AP127">
        <v>0</v>
      </c>
      <c r="AQ127">
        <v>0</v>
      </c>
      <c r="AR127">
        <v>0</v>
      </c>
      <c r="AS127" t="s">
        <v>3</v>
      </c>
      <c r="AT127">
        <v>9.4999999999999998E-3</v>
      </c>
      <c r="AU127" t="s">
        <v>3</v>
      </c>
      <c r="AV127">
        <v>0</v>
      </c>
      <c r="AW127">
        <v>2</v>
      </c>
      <c r="AX127">
        <v>35914231</v>
      </c>
      <c r="AY127">
        <v>1</v>
      </c>
      <c r="AZ127">
        <v>0</v>
      </c>
      <c r="BA127">
        <v>126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0</v>
      </c>
      <c r="BK127">
        <v>0</v>
      </c>
      <c r="BL127">
        <v>0</v>
      </c>
      <c r="BM127">
        <v>0</v>
      </c>
      <c r="BN127">
        <v>0</v>
      </c>
      <c r="BO127">
        <v>0</v>
      </c>
      <c r="BP127">
        <v>0</v>
      </c>
      <c r="BQ127">
        <v>0</v>
      </c>
      <c r="BR127">
        <v>0</v>
      </c>
      <c r="BS127">
        <v>0</v>
      </c>
      <c r="BT127">
        <v>0</v>
      </c>
      <c r="BU127">
        <v>0</v>
      </c>
      <c r="BV127">
        <v>0</v>
      </c>
      <c r="BW127">
        <v>0</v>
      </c>
      <c r="CX127">
        <f>Y127*Source!I172</f>
        <v>4.7500000000000003E-5</v>
      </c>
      <c r="CY127">
        <f t="shared" ref="CY127:CY134" si="28">AA127</f>
        <v>57338.42</v>
      </c>
      <c r="CZ127">
        <f t="shared" ref="CZ127:CZ134" si="29">AE127</f>
        <v>4455.2</v>
      </c>
      <c r="DA127">
        <f t="shared" ref="DA127:DA134" si="30">AI127</f>
        <v>12.87</v>
      </c>
      <c r="DB127">
        <f t="shared" si="26"/>
        <v>42.32</v>
      </c>
      <c r="DC127">
        <f t="shared" si="27"/>
        <v>0</v>
      </c>
    </row>
    <row r="128" spans="1:107">
      <c r="A128">
        <f>ROW(Source!A172)</f>
        <v>172</v>
      </c>
      <c r="B128">
        <v>35841400</v>
      </c>
      <c r="C128">
        <v>35914227</v>
      </c>
      <c r="D128">
        <v>29113613</v>
      </c>
      <c r="E128">
        <v>1</v>
      </c>
      <c r="F128">
        <v>1</v>
      </c>
      <c r="G128">
        <v>1</v>
      </c>
      <c r="H128">
        <v>3</v>
      </c>
      <c r="I128" t="s">
        <v>561</v>
      </c>
      <c r="J128" t="s">
        <v>562</v>
      </c>
      <c r="K128" t="s">
        <v>563</v>
      </c>
      <c r="L128">
        <v>1348</v>
      </c>
      <c r="N128">
        <v>1009</v>
      </c>
      <c r="O128" t="s">
        <v>27</v>
      </c>
      <c r="P128" t="s">
        <v>27</v>
      </c>
      <c r="Q128">
        <v>1000</v>
      </c>
      <c r="W128">
        <v>0</v>
      </c>
      <c r="X128">
        <v>1560132516</v>
      </c>
      <c r="Y128">
        <v>5.0000000000000001E-4</v>
      </c>
      <c r="AA128">
        <v>47124</v>
      </c>
      <c r="AB128">
        <v>0</v>
      </c>
      <c r="AC128">
        <v>0</v>
      </c>
      <c r="AD128">
        <v>0</v>
      </c>
      <c r="AE128">
        <v>10200</v>
      </c>
      <c r="AF128">
        <v>0</v>
      </c>
      <c r="AG128">
        <v>0</v>
      </c>
      <c r="AH128">
        <v>0</v>
      </c>
      <c r="AI128">
        <v>4.62</v>
      </c>
      <c r="AJ128">
        <v>1</v>
      </c>
      <c r="AK128">
        <v>1</v>
      </c>
      <c r="AL128">
        <v>1</v>
      </c>
      <c r="AN128">
        <v>0</v>
      </c>
      <c r="AO128">
        <v>1</v>
      </c>
      <c r="AP128">
        <v>0</v>
      </c>
      <c r="AQ128">
        <v>0</v>
      </c>
      <c r="AR128">
        <v>0</v>
      </c>
      <c r="AS128" t="s">
        <v>3</v>
      </c>
      <c r="AT128">
        <v>5.0000000000000001E-4</v>
      </c>
      <c r="AU128" t="s">
        <v>3</v>
      </c>
      <c r="AV128">
        <v>0</v>
      </c>
      <c r="AW128">
        <v>2</v>
      </c>
      <c r="AX128">
        <v>35914232</v>
      </c>
      <c r="AY128">
        <v>1</v>
      </c>
      <c r="AZ128">
        <v>0</v>
      </c>
      <c r="BA128">
        <v>127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0</v>
      </c>
      <c r="BI128">
        <v>0</v>
      </c>
      <c r="BJ128">
        <v>0</v>
      </c>
      <c r="BK128">
        <v>0</v>
      </c>
      <c r="BL128">
        <v>0</v>
      </c>
      <c r="BM128">
        <v>0</v>
      </c>
      <c r="BN128">
        <v>0</v>
      </c>
      <c r="BO128">
        <v>0</v>
      </c>
      <c r="BP128">
        <v>0</v>
      </c>
      <c r="BQ128">
        <v>0</v>
      </c>
      <c r="BR128">
        <v>0</v>
      </c>
      <c r="BS128">
        <v>0</v>
      </c>
      <c r="BT128">
        <v>0</v>
      </c>
      <c r="BU128">
        <v>0</v>
      </c>
      <c r="BV128">
        <v>0</v>
      </c>
      <c r="BW128">
        <v>0</v>
      </c>
      <c r="CX128">
        <f>Y128*Source!I172</f>
        <v>2.5000000000000002E-6</v>
      </c>
      <c r="CY128">
        <f t="shared" si="28"/>
        <v>47124</v>
      </c>
      <c r="CZ128">
        <f t="shared" si="29"/>
        <v>10200</v>
      </c>
      <c r="DA128">
        <f t="shared" si="30"/>
        <v>4.62</v>
      </c>
      <c r="DB128">
        <f t="shared" si="26"/>
        <v>5.0999999999999996</v>
      </c>
      <c r="DC128">
        <f t="shared" si="27"/>
        <v>0</v>
      </c>
    </row>
    <row r="129" spans="1:107">
      <c r="A129">
        <f>ROW(Source!A172)</f>
        <v>172</v>
      </c>
      <c r="B129">
        <v>35841400</v>
      </c>
      <c r="C129">
        <v>35914227</v>
      </c>
      <c r="D129">
        <v>29114332</v>
      </c>
      <c r="E129">
        <v>1</v>
      </c>
      <c r="F129">
        <v>1</v>
      </c>
      <c r="G129">
        <v>1</v>
      </c>
      <c r="H129">
        <v>3</v>
      </c>
      <c r="I129" t="s">
        <v>440</v>
      </c>
      <c r="J129" t="s">
        <v>441</v>
      </c>
      <c r="K129" t="s">
        <v>442</v>
      </c>
      <c r="L129">
        <v>1348</v>
      </c>
      <c r="N129">
        <v>1009</v>
      </c>
      <c r="O129" t="s">
        <v>27</v>
      </c>
      <c r="P129" t="s">
        <v>27</v>
      </c>
      <c r="Q129">
        <v>1000</v>
      </c>
      <c r="W129">
        <v>0</v>
      </c>
      <c r="X129">
        <v>233971917</v>
      </c>
      <c r="Y129">
        <v>3.0000000000000001E-3</v>
      </c>
      <c r="AA129">
        <v>54619.68</v>
      </c>
      <c r="AB129">
        <v>0</v>
      </c>
      <c r="AC129">
        <v>0</v>
      </c>
      <c r="AD129">
        <v>0</v>
      </c>
      <c r="AE129">
        <v>11978</v>
      </c>
      <c r="AF129">
        <v>0</v>
      </c>
      <c r="AG129">
        <v>0</v>
      </c>
      <c r="AH129">
        <v>0</v>
      </c>
      <c r="AI129">
        <v>4.5599999999999996</v>
      </c>
      <c r="AJ129">
        <v>1</v>
      </c>
      <c r="AK129">
        <v>1</v>
      </c>
      <c r="AL129">
        <v>1</v>
      </c>
      <c r="AN129">
        <v>0</v>
      </c>
      <c r="AO129">
        <v>1</v>
      </c>
      <c r="AP129">
        <v>0</v>
      </c>
      <c r="AQ129">
        <v>0</v>
      </c>
      <c r="AR129">
        <v>0</v>
      </c>
      <c r="AS129" t="s">
        <v>3</v>
      </c>
      <c r="AT129">
        <v>3.0000000000000001E-3</v>
      </c>
      <c r="AU129" t="s">
        <v>3</v>
      </c>
      <c r="AV129">
        <v>0</v>
      </c>
      <c r="AW129">
        <v>2</v>
      </c>
      <c r="AX129">
        <v>35914233</v>
      </c>
      <c r="AY129">
        <v>1</v>
      </c>
      <c r="AZ129">
        <v>0</v>
      </c>
      <c r="BA129">
        <v>128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0</v>
      </c>
      <c r="BJ129">
        <v>0</v>
      </c>
      <c r="BK129">
        <v>0</v>
      </c>
      <c r="BL129">
        <v>0</v>
      </c>
      <c r="BM129">
        <v>0</v>
      </c>
      <c r="BN129">
        <v>0</v>
      </c>
      <c r="BO129">
        <v>0</v>
      </c>
      <c r="BP129">
        <v>0</v>
      </c>
      <c r="BQ129">
        <v>0</v>
      </c>
      <c r="BR129">
        <v>0</v>
      </c>
      <c r="BS129">
        <v>0</v>
      </c>
      <c r="BT129">
        <v>0</v>
      </c>
      <c r="BU129">
        <v>0</v>
      </c>
      <c r="BV129">
        <v>0</v>
      </c>
      <c r="BW129">
        <v>0</v>
      </c>
      <c r="CX129">
        <f>Y129*Source!I172</f>
        <v>1.5E-5</v>
      </c>
      <c r="CY129">
        <f t="shared" si="28"/>
        <v>54619.68</v>
      </c>
      <c r="CZ129">
        <f t="shared" si="29"/>
        <v>11978</v>
      </c>
      <c r="DA129">
        <f t="shared" si="30"/>
        <v>4.5599999999999996</v>
      </c>
      <c r="DB129">
        <f t="shared" si="26"/>
        <v>35.93</v>
      </c>
      <c r="DC129">
        <f t="shared" si="27"/>
        <v>0</v>
      </c>
    </row>
    <row r="130" spans="1:107">
      <c r="A130">
        <f>ROW(Source!A172)</f>
        <v>172</v>
      </c>
      <c r="B130">
        <v>35841400</v>
      </c>
      <c r="C130">
        <v>35914227</v>
      </c>
      <c r="D130">
        <v>29115646</v>
      </c>
      <c r="E130">
        <v>1</v>
      </c>
      <c r="F130">
        <v>1</v>
      </c>
      <c r="G130">
        <v>1</v>
      </c>
      <c r="H130">
        <v>3</v>
      </c>
      <c r="I130" t="s">
        <v>564</v>
      </c>
      <c r="J130" t="s">
        <v>565</v>
      </c>
      <c r="K130" t="s">
        <v>566</v>
      </c>
      <c r="L130">
        <v>1339</v>
      </c>
      <c r="N130">
        <v>1007</v>
      </c>
      <c r="O130" t="s">
        <v>391</v>
      </c>
      <c r="P130" t="s">
        <v>391</v>
      </c>
      <c r="Q130">
        <v>1</v>
      </c>
      <c r="W130">
        <v>0</v>
      </c>
      <c r="X130">
        <v>742738788</v>
      </c>
      <c r="Y130">
        <v>0.09</v>
      </c>
      <c r="AA130">
        <v>6629.7</v>
      </c>
      <c r="AB130">
        <v>0</v>
      </c>
      <c r="AC130">
        <v>0</v>
      </c>
      <c r="AD130">
        <v>0</v>
      </c>
      <c r="AE130">
        <v>1155</v>
      </c>
      <c r="AF130">
        <v>0</v>
      </c>
      <c r="AG130">
        <v>0</v>
      </c>
      <c r="AH130">
        <v>0</v>
      </c>
      <c r="AI130">
        <v>5.74</v>
      </c>
      <c r="AJ130">
        <v>1</v>
      </c>
      <c r="AK130">
        <v>1</v>
      </c>
      <c r="AL130">
        <v>1</v>
      </c>
      <c r="AN130">
        <v>0</v>
      </c>
      <c r="AO130">
        <v>1</v>
      </c>
      <c r="AP130">
        <v>0</v>
      </c>
      <c r="AQ130">
        <v>0</v>
      </c>
      <c r="AR130">
        <v>0</v>
      </c>
      <c r="AS130" t="s">
        <v>3</v>
      </c>
      <c r="AT130">
        <v>0.09</v>
      </c>
      <c r="AU130" t="s">
        <v>3</v>
      </c>
      <c r="AV130">
        <v>0</v>
      </c>
      <c r="AW130">
        <v>2</v>
      </c>
      <c r="AX130">
        <v>35914234</v>
      </c>
      <c r="AY130">
        <v>1</v>
      </c>
      <c r="AZ130">
        <v>0</v>
      </c>
      <c r="BA130">
        <v>129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0</v>
      </c>
      <c r="BI130">
        <v>0</v>
      </c>
      <c r="BJ130">
        <v>0</v>
      </c>
      <c r="BK130">
        <v>0</v>
      </c>
      <c r="BL130">
        <v>0</v>
      </c>
      <c r="BM130">
        <v>0</v>
      </c>
      <c r="BN130">
        <v>0</v>
      </c>
      <c r="BO130">
        <v>0</v>
      </c>
      <c r="BP130">
        <v>0</v>
      </c>
      <c r="BQ130">
        <v>0</v>
      </c>
      <c r="BR130">
        <v>0</v>
      </c>
      <c r="BS130">
        <v>0</v>
      </c>
      <c r="BT130">
        <v>0</v>
      </c>
      <c r="BU130">
        <v>0</v>
      </c>
      <c r="BV130">
        <v>0</v>
      </c>
      <c r="BW130">
        <v>0</v>
      </c>
      <c r="CX130">
        <f>Y130*Source!I172</f>
        <v>4.4999999999999999E-4</v>
      </c>
      <c r="CY130">
        <f t="shared" si="28"/>
        <v>6629.7</v>
      </c>
      <c r="CZ130">
        <f t="shared" si="29"/>
        <v>1155</v>
      </c>
      <c r="DA130">
        <f t="shared" si="30"/>
        <v>5.74</v>
      </c>
      <c r="DB130">
        <f t="shared" si="26"/>
        <v>103.95</v>
      </c>
      <c r="DC130">
        <f t="shared" si="27"/>
        <v>0</v>
      </c>
    </row>
    <row r="131" spans="1:107">
      <c r="A131">
        <f>ROW(Source!A172)</f>
        <v>172</v>
      </c>
      <c r="B131">
        <v>35841400</v>
      </c>
      <c r="C131">
        <v>35914227</v>
      </c>
      <c r="D131">
        <v>29131324</v>
      </c>
      <c r="E131">
        <v>1</v>
      </c>
      <c r="F131">
        <v>1</v>
      </c>
      <c r="G131">
        <v>1</v>
      </c>
      <c r="H131">
        <v>3</v>
      </c>
      <c r="I131" t="s">
        <v>567</v>
      </c>
      <c r="J131" t="s">
        <v>568</v>
      </c>
      <c r="K131" t="s">
        <v>569</v>
      </c>
      <c r="L131">
        <v>1348</v>
      </c>
      <c r="N131">
        <v>1009</v>
      </c>
      <c r="O131" t="s">
        <v>27</v>
      </c>
      <c r="P131" t="s">
        <v>27</v>
      </c>
      <c r="Q131">
        <v>1000</v>
      </c>
      <c r="W131">
        <v>0</v>
      </c>
      <c r="X131">
        <v>1634055851</v>
      </c>
      <c r="Y131">
        <v>7.0000000000000007E-2</v>
      </c>
      <c r="AA131">
        <v>47572.92</v>
      </c>
      <c r="AB131">
        <v>0</v>
      </c>
      <c r="AC131">
        <v>0</v>
      </c>
      <c r="AD131">
        <v>0</v>
      </c>
      <c r="AE131">
        <v>5649.99</v>
      </c>
      <c r="AF131">
        <v>0</v>
      </c>
      <c r="AG131">
        <v>0</v>
      </c>
      <c r="AH131">
        <v>0</v>
      </c>
      <c r="AI131">
        <v>8.42</v>
      </c>
      <c r="AJ131">
        <v>1</v>
      </c>
      <c r="AK131">
        <v>1</v>
      </c>
      <c r="AL131">
        <v>1</v>
      </c>
      <c r="AN131">
        <v>0</v>
      </c>
      <c r="AO131">
        <v>1</v>
      </c>
      <c r="AP131">
        <v>0</v>
      </c>
      <c r="AQ131">
        <v>0</v>
      </c>
      <c r="AR131">
        <v>0</v>
      </c>
      <c r="AS131" t="s">
        <v>3</v>
      </c>
      <c r="AT131">
        <v>7.0000000000000007E-2</v>
      </c>
      <c r="AU131" t="s">
        <v>3</v>
      </c>
      <c r="AV131">
        <v>0</v>
      </c>
      <c r="AW131">
        <v>2</v>
      </c>
      <c r="AX131">
        <v>35914235</v>
      </c>
      <c r="AY131">
        <v>1</v>
      </c>
      <c r="AZ131">
        <v>0</v>
      </c>
      <c r="BA131">
        <v>130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0</v>
      </c>
      <c r="BI131">
        <v>0</v>
      </c>
      <c r="BJ131">
        <v>0</v>
      </c>
      <c r="BK131">
        <v>0</v>
      </c>
      <c r="BL131">
        <v>0</v>
      </c>
      <c r="BM131">
        <v>0</v>
      </c>
      <c r="BN131">
        <v>0</v>
      </c>
      <c r="BO131">
        <v>0</v>
      </c>
      <c r="BP131">
        <v>0</v>
      </c>
      <c r="BQ131">
        <v>0</v>
      </c>
      <c r="BR131">
        <v>0</v>
      </c>
      <c r="BS131">
        <v>0</v>
      </c>
      <c r="BT131">
        <v>0</v>
      </c>
      <c r="BU131">
        <v>0</v>
      </c>
      <c r="BV131">
        <v>0</v>
      </c>
      <c r="BW131">
        <v>0</v>
      </c>
      <c r="CX131">
        <f>Y131*Source!I172</f>
        <v>3.5000000000000005E-4</v>
      </c>
      <c r="CY131">
        <f t="shared" si="28"/>
        <v>47572.92</v>
      </c>
      <c r="CZ131">
        <f t="shared" si="29"/>
        <v>5649.99</v>
      </c>
      <c r="DA131">
        <f t="shared" si="30"/>
        <v>8.42</v>
      </c>
      <c r="DB131">
        <f t="shared" si="26"/>
        <v>395.5</v>
      </c>
      <c r="DC131">
        <f t="shared" si="27"/>
        <v>0</v>
      </c>
    </row>
    <row r="132" spans="1:107">
      <c r="A132">
        <f>ROW(Source!A172)</f>
        <v>172</v>
      </c>
      <c r="B132">
        <v>35841400</v>
      </c>
      <c r="C132">
        <v>35914227</v>
      </c>
      <c r="D132">
        <v>29145043</v>
      </c>
      <c r="E132">
        <v>1</v>
      </c>
      <c r="F132">
        <v>1</v>
      </c>
      <c r="G132">
        <v>1</v>
      </c>
      <c r="H132">
        <v>3</v>
      </c>
      <c r="I132" t="s">
        <v>570</v>
      </c>
      <c r="J132" t="s">
        <v>571</v>
      </c>
      <c r="K132" t="s">
        <v>572</v>
      </c>
      <c r="L132">
        <v>1339</v>
      </c>
      <c r="N132">
        <v>1007</v>
      </c>
      <c r="O132" t="s">
        <v>391</v>
      </c>
      <c r="P132" t="s">
        <v>391</v>
      </c>
      <c r="Q132">
        <v>1</v>
      </c>
      <c r="W132">
        <v>0</v>
      </c>
      <c r="X132">
        <v>-1288055656</v>
      </c>
      <c r="Y132">
        <v>1.04</v>
      </c>
      <c r="AA132">
        <v>4109.7</v>
      </c>
      <c r="AB132">
        <v>0</v>
      </c>
      <c r="AC132">
        <v>0</v>
      </c>
      <c r="AD132">
        <v>0</v>
      </c>
      <c r="AE132">
        <v>665</v>
      </c>
      <c r="AF132">
        <v>0</v>
      </c>
      <c r="AG132">
        <v>0</v>
      </c>
      <c r="AH132">
        <v>0</v>
      </c>
      <c r="AI132">
        <v>6.18</v>
      </c>
      <c r="AJ132">
        <v>1</v>
      </c>
      <c r="AK132">
        <v>1</v>
      </c>
      <c r="AL132">
        <v>1</v>
      </c>
      <c r="AN132">
        <v>0</v>
      </c>
      <c r="AO132">
        <v>1</v>
      </c>
      <c r="AP132">
        <v>0</v>
      </c>
      <c r="AQ132">
        <v>0</v>
      </c>
      <c r="AR132">
        <v>0</v>
      </c>
      <c r="AS132" t="s">
        <v>3</v>
      </c>
      <c r="AT132">
        <v>1.04</v>
      </c>
      <c r="AU132" t="s">
        <v>3</v>
      </c>
      <c r="AV132">
        <v>0</v>
      </c>
      <c r="AW132">
        <v>2</v>
      </c>
      <c r="AX132">
        <v>35914236</v>
      </c>
      <c r="AY132">
        <v>1</v>
      </c>
      <c r="AZ132">
        <v>0</v>
      </c>
      <c r="BA132">
        <v>131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0</v>
      </c>
      <c r="BI132">
        <v>0</v>
      </c>
      <c r="BJ132">
        <v>0</v>
      </c>
      <c r="BK132">
        <v>0</v>
      </c>
      <c r="BL132">
        <v>0</v>
      </c>
      <c r="BM132">
        <v>0</v>
      </c>
      <c r="BN132">
        <v>0</v>
      </c>
      <c r="BO132">
        <v>0</v>
      </c>
      <c r="BP132">
        <v>0</v>
      </c>
      <c r="BQ132">
        <v>0</v>
      </c>
      <c r="BR132">
        <v>0</v>
      </c>
      <c r="BS132">
        <v>0</v>
      </c>
      <c r="BT132">
        <v>0</v>
      </c>
      <c r="BU132">
        <v>0</v>
      </c>
      <c r="BV132">
        <v>0</v>
      </c>
      <c r="BW132">
        <v>0</v>
      </c>
      <c r="CX132">
        <f>Y132*Source!I172</f>
        <v>5.2000000000000006E-3</v>
      </c>
      <c r="CY132">
        <f t="shared" si="28"/>
        <v>4109.7</v>
      </c>
      <c r="CZ132">
        <f t="shared" si="29"/>
        <v>665</v>
      </c>
      <c r="DA132">
        <f t="shared" si="30"/>
        <v>6.18</v>
      </c>
      <c r="DB132">
        <f t="shared" si="26"/>
        <v>691.6</v>
      </c>
      <c r="DC132">
        <f t="shared" si="27"/>
        <v>0</v>
      </c>
    </row>
    <row r="133" spans="1:107">
      <c r="A133">
        <f>ROW(Source!A172)</f>
        <v>172</v>
      </c>
      <c r="B133">
        <v>35841400</v>
      </c>
      <c r="C133">
        <v>35914227</v>
      </c>
      <c r="D133">
        <v>29149243</v>
      </c>
      <c r="E133">
        <v>1</v>
      </c>
      <c r="F133">
        <v>1</v>
      </c>
      <c r="G133">
        <v>1</v>
      </c>
      <c r="H133">
        <v>3</v>
      </c>
      <c r="I133" t="s">
        <v>573</v>
      </c>
      <c r="J133" t="s">
        <v>574</v>
      </c>
      <c r="K133" t="s">
        <v>575</v>
      </c>
      <c r="L133">
        <v>1348</v>
      </c>
      <c r="N133">
        <v>1009</v>
      </c>
      <c r="O133" t="s">
        <v>27</v>
      </c>
      <c r="P133" t="s">
        <v>27</v>
      </c>
      <c r="Q133">
        <v>1000</v>
      </c>
      <c r="W133">
        <v>0</v>
      </c>
      <c r="X133">
        <v>1226360140</v>
      </c>
      <c r="Y133">
        <v>1.1000000000000001E-3</v>
      </c>
      <c r="AA133">
        <v>4429.04</v>
      </c>
      <c r="AB133">
        <v>0</v>
      </c>
      <c r="AC133">
        <v>0</v>
      </c>
      <c r="AD133">
        <v>0</v>
      </c>
      <c r="AE133">
        <v>734.5</v>
      </c>
      <c r="AF133">
        <v>0</v>
      </c>
      <c r="AG133">
        <v>0</v>
      </c>
      <c r="AH133">
        <v>0</v>
      </c>
      <c r="AI133">
        <v>6.03</v>
      </c>
      <c r="AJ133">
        <v>1</v>
      </c>
      <c r="AK133">
        <v>1</v>
      </c>
      <c r="AL133">
        <v>1</v>
      </c>
      <c r="AN133">
        <v>0</v>
      </c>
      <c r="AO133">
        <v>1</v>
      </c>
      <c r="AP133">
        <v>0</v>
      </c>
      <c r="AQ133">
        <v>0</v>
      </c>
      <c r="AR133">
        <v>0</v>
      </c>
      <c r="AS133" t="s">
        <v>3</v>
      </c>
      <c r="AT133">
        <v>1.1000000000000001E-3</v>
      </c>
      <c r="AU133" t="s">
        <v>3</v>
      </c>
      <c r="AV133">
        <v>0</v>
      </c>
      <c r="AW133">
        <v>2</v>
      </c>
      <c r="AX133">
        <v>35914237</v>
      </c>
      <c r="AY133">
        <v>1</v>
      </c>
      <c r="AZ133">
        <v>0</v>
      </c>
      <c r="BA133">
        <v>132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0</v>
      </c>
      <c r="BI133">
        <v>0</v>
      </c>
      <c r="BJ133">
        <v>0</v>
      </c>
      <c r="BK133">
        <v>0</v>
      </c>
      <c r="BL133">
        <v>0</v>
      </c>
      <c r="BM133">
        <v>0</v>
      </c>
      <c r="BN133">
        <v>0</v>
      </c>
      <c r="BO133">
        <v>0</v>
      </c>
      <c r="BP133">
        <v>0</v>
      </c>
      <c r="BQ133">
        <v>0</v>
      </c>
      <c r="BR133">
        <v>0</v>
      </c>
      <c r="BS133">
        <v>0</v>
      </c>
      <c r="BT133">
        <v>0</v>
      </c>
      <c r="BU133">
        <v>0</v>
      </c>
      <c r="BV133">
        <v>0</v>
      </c>
      <c r="BW133">
        <v>0</v>
      </c>
      <c r="CX133">
        <f>Y133*Source!I172</f>
        <v>5.5000000000000007E-6</v>
      </c>
      <c r="CY133">
        <f t="shared" si="28"/>
        <v>4429.04</v>
      </c>
      <c r="CZ133">
        <f t="shared" si="29"/>
        <v>734.5</v>
      </c>
      <c r="DA133">
        <f t="shared" si="30"/>
        <v>6.03</v>
      </c>
      <c r="DB133">
        <f t="shared" si="26"/>
        <v>0.81</v>
      </c>
      <c r="DC133">
        <f t="shared" si="27"/>
        <v>0</v>
      </c>
    </row>
    <row r="134" spans="1:107">
      <c r="A134">
        <f>ROW(Source!A172)</f>
        <v>172</v>
      </c>
      <c r="B134">
        <v>35841400</v>
      </c>
      <c r="C134">
        <v>35914227</v>
      </c>
      <c r="D134">
        <v>29150040</v>
      </c>
      <c r="E134">
        <v>1</v>
      </c>
      <c r="F134">
        <v>1</v>
      </c>
      <c r="G134">
        <v>1</v>
      </c>
      <c r="H134">
        <v>3</v>
      </c>
      <c r="I134" t="s">
        <v>388</v>
      </c>
      <c r="J134" t="s">
        <v>389</v>
      </c>
      <c r="K134" t="s">
        <v>390</v>
      </c>
      <c r="L134">
        <v>1339</v>
      </c>
      <c r="N134">
        <v>1007</v>
      </c>
      <c r="O134" t="s">
        <v>391</v>
      </c>
      <c r="P134" t="s">
        <v>391</v>
      </c>
      <c r="Q134">
        <v>1</v>
      </c>
      <c r="W134">
        <v>0</v>
      </c>
      <c r="X134">
        <v>693153122</v>
      </c>
      <c r="Y134">
        <v>3.2000000000000002E-3</v>
      </c>
      <c r="AA134">
        <v>22.2</v>
      </c>
      <c r="AB134">
        <v>0</v>
      </c>
      <c r="AC134">
        <v>0</v>
      </c>
      <c r="AD134">
        <v>0</v>
      </c>
      <c r="AE134">
        <v>2.44</v>
      </c>
      <c r="AF134">
        <v>0</v>
      </c>
      <c r="AG134">
        <v>0</v>
      </c>
      <c r="AH134">
        <v>0</v>
      </c>
      <c r="AI134">
        <v>9.1</v>
      </c>
      <c r="AJ134">
        <v>1</v>
      </c>
      <c r="AK134">
        <v>1</v>
      </c>
      <c r="AL134">
        <v>1</v>
      </c>
      <c r="AN134">
        <v>0</v>
      </c>
      <c r="AO134">
        <v>1</v>
      </c>
      <c r="AP134">
        <v>0</v>
      </c>
      <c r="AQ134">
        <v>0</v>
      </c>
      <c r="AR134">
        <v>0</v>
      </c>
      <c r="AS134" t="s">
        <v>3</v>
      </c>
      <c r="AT134">
        <v>3.2000000000000002E-3</v>
      </c>
      <c r="AU134" t="s">
        <v>3</v>
      </c>
      <c r="AV134">
        <v>0</v>
      </c>
      <c r="AW134">
        <v>2</v>
      </c>
      <c r="AX134">
        <v>35914238</v>
      </c>
      <c r="AY134">
        <v>1</v>
      </c>
      <c r="AZ134">
        <v>0</v>
      </c>
      <c r="BA134">
        <v>133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0</v>
      </c>
      <c r="BI134">
        <v>0</v>
      </c>
      <c r="BJ134">
        <v>0</v>
      </c>
      <c r="BK134">
        <v>0</v>
      </c>
      <c r="BL134">
        <v>0</v>
      </c>
      <c r="BM134">
        <v>0</v>
      </c>
      <c r="BN134">
        <v>0</v>
      </c>
      <c r="BO134">
        <v>0</v>
      </c>
      <c r="BP134">
        <v>0</v>
      </c>
      <c r="BQ134">
        <v>0</v>
      </c>
      <c r="BR134">
        <v>0</v>
      </c>
      <c r="BS134">
        <v>0</v>
      </c>
      <c r="BT134">
        <v>0</v>
      </c>
      <c r="BU134">
        <v>0</v>
      </c>
      <c r="BV134">
        <v>0</v>
      </c>
      <c r="BW134">
        <v>0</v>
      </c>
      <c r="CX134">
        <f>Y134*Source!I172</f>
        <v>1.6000000000000003E-5</v>
      </c>
      <c r="CY134">
        <f t="shared" si="28"/>
        <v>22.2</v>
      </c>
      <c r="CZ134">
        <f t="shared" si="29"/>
        <v>2.44</v>
      </c>
      <c r="DA134">
        <f t="shared" si="30"/>
        <v>9.1</v>
      </c>
      <c r="DB134">
        <f t="shared" si="26"/>
        <v>0.01</v>
      </c>
      <c r="DC134">
        <f t="shared" si="27"/>
        <v>0</v>
      </c>
    </row>
    <row r="135" spans="1:107">
      <c r="A135">
        <f>ROW(Source!A208)</f>
        <v>208</v>
      </c>
      <c r="B135">
        <v>35841400</v>
      </c>
      <c r="C135">
        <v>35847482</v>
      </c>
      <c r="D135">
        <v>29364679</v>
      </c>
      <c r="E135">
        <v>1</v>
      </c>
      <c r="F135">
        <v>1</v>
      </c>
      <c r="G135">
        <v>1</v>
      </c>
      <c r="H135">
        <v>1</v>
      </c>
      <c r="I135" t="s">
        <v>576</v>
      </c>
      <c r="J135" t="s">
        <v>3</v>
      </c>
      <c r="K135" t="s">
        <v>577</v>
      </c>
      <c r="L135">
        <v>1369</v>
      </c>
      <c r="N135">
        <v>1013</v>
      </c>
      <c r="O135" t="s">
        <v>369</v>
      </c>
      <c r="P135" t="s">
        <v>369</v>
      </c>
      <c r="Q135">
        <v>1</v>
      </c>
      <c r="W135">
        <v>0</v>
      </c>
      <c r="X135">
        <v>931378261</v>
      </c>
      <c r="Y135">
        <v>35.130000000000003</v>
      </c>
      <c r="AA135">
        <v>0</v>
      </c>
      <c r="AB135">
        <v>0</v>
      </c>
      <c r="AC135">
        <v>0</v>
      </c>
      <c r="AD135">
        <v>323.88</v>
      </c>
      <c r="AE135">
        <v>0</v>
      </c>
      <c r="AF135">
        <v>0</v>
      </c>
      <c r="AG135">
        <v>0</v>
      </c>
      <c r="AH135">
        <v>323.88</v>
      </c>
      <c r="AI135">
        <v>1</v>
      </c>
      <c r="AJ135">
        <v>1</v>
      </c>
      <c r="AK135">
        <v>1</v>
      </c>
      <c r="AL135">
        <v>1</v>
      </c>
      <c r="AN135">
        <v>0</v>
      </c>
      <c r="AO135">
        <v>1</v>
      </c>
      <c r="AP135">
        <v>0</v>
      </c>
      <c r="AQ135">
        <v>0</v>
      </c>
      <c r="AR135">
        <v>0</v>
      </c>
      <c r="AS135" t="s">
        <v>3</v>
      </c>
      <c r="AT135">
        <v>35.130000000000003</v>
      </c>
      <c r="AU135" t="s">
        <v>3</v>
      </c>
      <c r="AV135">
        <v>1</v>
      </c>
      <c r="AW135">
        <v>2</v>
      </c>
      <c r="AX135">
        <v>36150417</v>
      </c>
      <c r="AY135">
        <v>1</v>
      </c>
      <c r="AZ135">
        <v>0</v>
      </c>
      <c r="BA135">
        <v>134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0</v>
      </c>
      <c r="BI135">
        <v>0</v>
      </c>
      <c r="BJ135">
        <v>0</v>
      </c>
      <c r="BK135">
        <v>0</v>
      </c>
      <c r="BL135">
        <v>0</v>
      </c>
      <c r="BM135">
        <v>0</v>
      </c>
      <c r="BN135">
        <v>0</v>
      </c>
      <c r="BO135">
        <v>0</v>
      </c>
      <c r="BP135">
        <v>0</v>
      </c>
      <c r="BQ135">
        <v>0</v>
      </c>
      <c r="BR135">
        <v>0</v>
      </c>
      <c r="BS135">
        <v>0</v>
      </c>
      <c r="BT135">
        <v>0</v>
      </c>
      <c r="BU135">
        <v>0</v>
      </c>
      <c r="BV135">
        <v>0</v>
      </c>
      <c r="BW135">
        <v>0</v>
      </c>
      <c r="CX135">
        <f>Y135*Source!I208</f>
        <v>0.35130000000000006</v>
      </c>
      <c r="CY135">
        <f>AD135</f>
        <v>323.88</v>
      </c>
      <c r="CZ135">
        <f>AH135</f>
        <v>323.88</v>
      </c>
      <c r="DA135">
        <f>AL135</f>
        <v>1</v>
      </c>
      <c r="DB135">
        <f t="shared" si="26"/>
        <v>11377.9</v>
      </c>
      <c r="DC135">
        <f t="shared" si="27"/>
        <v>0</v>
      </c>
    </row>
    <row r="136" spans="1:107">
      <c r="A136">
        <f>ROW(Source!A208)</f>
        <v>208</v>
      </c>
      <c r="B136">
        <v>35841400</v>
      </c>
      <c r="C136">
        <v>35847482</v>
      </c>
      <c r="D136">
        <v>121548</v>
      </c>
      <c r="E136">
        <v>1</v>
      </c>
      <c r="F136">
        <v>1</v>
      </c>
      <c r="G136">
        <v>1</v>
      </c>
      <c r="H136">
        <v>1</v>
      </c>
      <c r="I136" t="s">
        <v>212</v>
      </c>
      <c r="J136" t="s">
        <v>3</v>
      </c>
      <c r="K136" t="s">
        <v>374</v>
      </c>
      <c r="L136">
        <v>608254</v>
      </c>
      <c r="N136">
        <v>1013</v>
      </c>
      <c r="O136" t="s">
        <v>375</v>
      </c>
      <c r="P136" t="s">
        <v>375</v>
      </c>
      <c r="Q136">
        <v>1</v>
      </c>
      <c r="W136">
        <v>0</v>
      </c>
      <c r="X136">
        <v>-185737400</v>
      </c>
      <c r="Y136">
        <v>0.03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1</v>
      </c>
      <c r="AJ136">
        <v>1</v>
      </c>
      <c r="AK136">
        <v>1</v>
      </c>
      <c r="AL136">
        <v>1</v>
      </c>
      <c r="AN136">
        <v>0</v>
      </c>
      <c r="AO136">
        <v>1</v>
      </c>
      <c r="AP136">
        <v>0</v>
      </c>
      <c r="AQ136">
        <v>0</v>
      </c>
      <c r="AR136">
        <v>0</v>
      </c>
      <c r="AS136" t="s">
        <v>3</v>
      </c>
      <c r="AT136">
        <v>0.03</v>
      </c>
      <c r="AU136" t="s">
        <v>3</v>
      </c>
      <c r="AV136">
        <v>2</v>
      </c>
      <c r="AW136">
        <v>2</v>
      </c>
      <c r="AX136">
        <v>36150418</v>
      </c>
      <c r="AY136">
        <v>1</v>
      </c>
      <c r="AZ136">
        <v>0</v>
      </c>
      <c r="BA136">
        <v>135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0</v>
      </c>
      <c r="BI136">
        <v>0</v>
      </c>
      <c r="BJ136">
        <v>0</v>
      </c>
      <c r="BK136">
        <v>0</v>
      </c>
      <c r="BL136">
        <v>0</v>
      </c>
      <c r="BM136">
        <v>0</v>
      </c>
      <c r="BN136">
        <v>0</v>
      </c>
      <c r="BO136">
        <v>0</v>
      </c>
      <c r="BP136">
        <v>0</v>
      </c>
      <c r="BQ136">
        <v>0</v>
      </c>
      <c r="BR136">
        <v>0</v>
      </c>
      <c r="BS136">
        <v>0</v>
      </c>
      <c r="BT136">
        <v>0</v>
      </c>
      <c r="BU136">
        <v>0</v>
      </c>
      <c r="BV136">
        <v>0</v>
      </c>
      <c r="BW136">
        <v>0</v>
      </c>
      <c r="CX136">
        <f>Y136*Source!I208</f>
        <v>2.9999999999999997E-4</v>
      </c>
      <c r="CY136">
        <f>AD136</f>
        <v>0</v>
      </c>
      <c r="CZ136">
        <f>AH136</f>
        <v>0</v>
      </c>
      <c r="DA136">
        <f>AL136</f>
        <v>1</v>
      </c>
      <c r="DB136">
        <f t="shared" si="26"/>
        <v>0</v>
      </c>
      <c r="DC136">
        <f t="shared" si="27"/>
        <v>0</v>
      </c>
    </row>
    <row r="137" spans="1:107">
      <c r="A137">
        <f>ROW(Source!A208)</f>
        <v>208</v>
      </c>
      <c r="B137">
        <v>35841400</v>
      </c>
      <c r="C137">
        <v>35847482</v>
      </c>
      <c r="D137">
        <v>29172362</v>
      </c>
      <c r="E137">
        <v>1</v>
      </c>
      <c r="F137">
        <v>1</v>
      </c>
      <c r="G137">
        <v>1</v>
      </c>
      <c r="H137">
        <v>2</v>
      </c>
      <c r="I137" t="s">
        <v>578</v>
      </c>
      <c r="J137" t="s">
        <v>579</v>
      </c>
      <c r="K137" t="s">
        <v>580</v>
      </c>
      <c r="L137">
        <v>1368</v>
      </c>
      <c r="N137">
        <v>1011</v>
      </c>
      <c r="O137" t="s">
        <v>379</v>
      </c>
      <c r="P137" t="s">
        <v>379</v>
      </c>
      <c r="Q137">
        <v>1</v>
      </c>
      <c r="W137">
        <v>0</v>
      </c>
      <c r="X137">
        <v>2071614860</v>
      </c>
      <c r="Y137">
        <v>0.03</v>
      </c>
      <c r="AA137">
        <v>0</v>
      </c>
      <c r="AB137">
        <v>1113.56</v>
      </c>
      <c r="AC137">
        <v>446.18</v>
      </c>
      <c r="AD137">
        <v>0</v>
      </c>
      <c r="AE137">
        <v>0</v>
      </c>
      <c r="AF137">
        <v>134.65</v>
      </c>
      <c r="AG137">
        <v>13.5</v>
      </c>
      <c r="AH137">
        <v>0</v>
      </c>
      <c r="AI137">
        <v>1</v>
      </c>
      <c r="AJ137">
        <v>8.27</v>
      </c>
      <c r="AK137">
        <v>33.049999999999997</v>
      </c>
      <c r="AL137">
        <v>1</v>
      </c>
      <c r="AN137">
        <v>0</v>
      </c>
      <c r="AO137">
        <v>1</v>
      </c>
      <c r="AP137">
        <v>0</v>
      </c>
      <c r="AQ137">
        <v>0</v>
      </c>
      <c r="AR137">
        <v>0</v>
      </c>
      <c r="AS137" t="s">
        <v>3</v>
      </c>
      <c r="AT137">
        <v>0.03</v>
      </c>
      <c r="AU137" t="s">
        <v>3</v>
      </c>
      <c r="AV137">
        <v>0</v>
      </c>
      <c r="AW137">
        <v>2</v>
      </c>
      <c r="AX137">
        <v>36150419</v>
      </c>
      <c r="AY137">
        <v>1</v>
      </c>
      <c r="AZ137">
        <v>0</v>
      </c>
      <c r="BA137">
        <v>136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0</v>
      </c>
      <c r="BI137">
        <v>0</v>
      </c>
      <c r="BJ137">
        <v>0</v>
      </c>
      <c r="BK137">
        <v>0</v>
      </c>
      <c r="BL137">
        <v>0</v>
      </c>
      <c r="BM137">
        <v>0</v>
      </c>
      <c r="BN137">
        <v>0</v>
      </c>
      <c r="BO137">
        <v>0</v>
      </c>
      <c r="BP137">
        <v>0</v>
      </c>
      <c r="BQ137">
        <v>0</v>
      </c>
      <c r="BR137">
        <v>0</v>
      </c>
      <c r="BS137">
        <v>0</v>
      </c>
      <c r="BT137">
        <v>0</v>
      </c>
      <c r="BU137">
        <v>0</v>
      </c>
      <c r="BV137">
        <v>0</v>
      </c>
      <c r="BW137">
        <v>0</v>
      </c>
      <c r="CX137">
        <f>Y137*Source!I208</f>
        <v>2.9999999999999997E-4</v>
      </c>
      <c r="CY137">
        <f>AB137</f>
        <v>1113.56</v>
      </c>
      <c r="CZ137">
        <f>AF137</f>
        <v>134.65</v>
      </c>
      <c r="DA137">
        <f>AJ137</f>
        <v>8.27</v>
      </c>
      <c r="DB137">
        <f t="shared" si="26"/>
        <v>4.04</v>
      </c>
      <c r="DC137">
        <f t="shared" si="27"/>
        <v>0.41</v>
      </c>
    </row>
    <row r="138" spans="1:107">
      <c r="A138">
        <f>ROW(Source!A208)</f>
        <v>208</v>
      </c>
      <c r="B138">
        <v>35841400</v>
      </c>
      <c r="C138">
        <v>35847482</v>
      </c>
      <c r="D138">
        <v>29174500</v>
      </c>
      <c r="E138">
        <v>1</v>
      </c>
      <c r="F138">
        <v>1</v>
      </c>
      <c r="G138">
        <v>1</v>
      </c>
      <c r="H138">
        <v>2</v>
      </c>
      <c r="I138" t="s">
        <v>528</v>
      </c>
      <c r="J138" t="s">
        <v>529</v>
      </c>
      <c r="K138" t="s">
        <v>530</v>
      </c>
      <c r="L138">
        <v>1368</v>
      </c>
      <c r="N138">
        <v>1011</v>
      </c>
      <c r="O138" t="s">
        <v>379</v>
      </c>
      <c r="P138" t="s">
        <v>379</v>
      </c>
      <c r="Q138">
        <v>1</v>
      </c>
      <c r="W138">
        <v>0</v>
      </c>
      <c r="X138">
        <v>-239831557</v>
      </c>
      <c r="Y138">
        <v>4.0999999999999996</v>
      </c>
      <c r="AA138">
        <v>0</v>
      </c>
      <c r="AB138">
        <v>7.33</v>
      </c>
      <c r="AC138">
        <v>0</v>
      </c>
      <c r="AD138">
        <v>0</v>
      </c>
      <c r="AE138">
        <v>0</v>
      </c>
      <c r="AF138">
        <v>1.95</v>
      </c>
      <c r="AG138">
        <v>0</v>
      </c>
      <c r="AH138">
        <v>0</v>
      </c>
      <c r="AI138">
        <v>1</v>
      </c>
      <c r="AJ138">
        <v>3.76</v>
      </c>
      <c r="AK138">
        <v>33.049999999999997</v>
      </c>
      <c r="AL138">
        <v>1</v>
      </c>
      <c r="AN138">
        <v>0</v>
      </c>
      <c r="AO138">
        <v>1</v>
      </c>
      <c r="AP138">
        <v>0</v>
      </c>
      <c r="AQ138">
        <v>0</v>
      </c>
      <c r="AR138">
        <v>0</v>
      </c>
      <c r="AS138" t="s">
        <v>3</v>
      </c>
      <c r="AT138">
        <v>4.0999999999999996</v>
      </c>
      <c r="AU138" t="s">
        <v>3</v>
      </c>
      <c r="AV138">
        <v>0</v>
      </c>
      <c r="AW138">
        <v>2</v>
      </c>
      <c r="AX138">
        <v>36150420</v>
      </c>
      <c r="AY138">
        <v>1</v>
      </c>
      <c r="AZ138">
        <v>0</v>
      </c>
      <c r="BA138">
        <v>137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0</v>
      </c>
      <c r="BI138">
        <v>0</v>
      </c>
      <c r="BJ138">
        <v>0</v>
      </c>
      <c r="BK138">
        <v>0</v>
      </c>
      <c r="BL138">
        <v>0</v>
      </c>
      <c r="BM138">
        <v>0</v>
      </c>
      <c r="BN138">
        <v>0</v>
      </c>
      <c r="BO138">
        <v>0</v>
      </c>
      <c r="BP138">
        <v>0</v>
      </c>
      <c r="BQ138">
        <v>0</v>
      </c>
      <c r="BR138">
        <v>0</v>
      </c>
      <c r="BS138">
        <v>0</v>
      </c>
      <c r="BT138">
        <v>0</v>
      </c>
      <c r="BU138">
        <v>0</v>
      </c>
      <c r="BV138">
        <v>0</v>
      </c>
      <c r="BW138">
        <v>0</v>
      </c>
      <c r="CX138">
        <f>Y138*Source!I208</f>
        <v>4.0999999999999995E-2</v>
      </c>
      <c r="CY138">
        <f>AB138</f>
        <v>7.33</v>
      </c>
      <c r="CZ138">
        <f>AF138</f>
        <v>1.95</v>
      </c>
      <c r="DA138">
        <f>AJ138</f>
        <v>3.76</v>
      </c>
      <c r="DB138">
        <f t="shared" si="26"/>
        <v>8</v>
      </c>
      <c r="DC138">
        <f t="shared" si="27"/>
        <v>0</v>
      </c>
    </row>
    <row r="139" spans="1:107">
      <c r="A139">
        <f>ROW(Source!A208)</f>
        <v>208</v>
      </c>
      <c r="B139">
        <v>35841400</v>
      </c>
      <c r="C139">
        <v>35847482</v>
      </c>
      <c r="D139">
        <v>29174913</v>
      </c>
      <c r="E139">
        <v>1</v>
      </c>
      <c r="F139">
        <v>1</v>
      </c>
      <c r="G139">
        <v>1</v>
      </c>
      <c r="H139">
        <v>2</v>
      </c>
      <c r="I139" t="s">
        <v>394</v>
      </c>
      <c r="J139" t="s">
        <v>395</v>
      </c>
      <c r="K139" t="s">
        <v>396</v>
      </c>
      <c r="L139">
        <v>1368</v>
      </c>
      <c r="N139">
        <v>1011</v>
      </c>
      <c r="O139" t="s">
        <v>379</v>
      </c>
      <c r="P139" t="s">
        <v>379</v>
      </c>
      <c r="Q139">
        <v>1</v>
      </c>
      <c r="W139">
        <v>0</v>
      </c>
      <c r="X139">
        <v>458544584</v>
      </c>
      <c r="Y139">
        <v>0.02</v>
      </c>
      <c r="AA139">
        <v>0</v>
      </c>
      <c r="AB139">
        <v>932.72</v>
      </c>
      <c r="AC139">
        <v>383.38</v>
      </c>
      <c r="AD139">
        <v>0</v>
      </c>
      <c r="AE139">
        <v>0</v>
      </c>
      <c r="AF139">
        <v>87.17</v>
      </c>
      <c r="AG139">
        <v>11.6</v>
      </c>
      <c r="AH139">
        <v>0</v>
      </c>
      <c r="AI139">
        <v>1</v>
      </c>
      <c r="AJ139">
        <v>10.7</v>
      </c>
      <c r="AK139">
        <v>33.049999999999997</v>
      </c>
      <c r="AL139">
        <v>1</v>
      </c>
      <c r="AN139">
        <v>0</v>
      </c>
      <c r="AO139">
        <v>1</v>
      </c>
      <c r="AP139">
        <v>0</v>
      </c>
      <c r="AQ139">
        <v>0</v>
      </c>
      <c r="AR139">
        <v>0</v>
      </c>
      <c r="AS139" t="s">
        <v>3</v>
      </c>
      <c r="AT139">
        <v>0.02</v>
      </c>
      <c r="AU139" t="s">
        <v>3</v>
      </c>
      <c r="AV139">
        <v>0</v>
      </c>
      <c r="AW139">
        <v>2</v>
      </c>
      <c r="AX139">
        <v>36150421</v>
      </c>
      <c r="AY139">
        <v>1</v>
      </c>
      <c r="AZ139">
        <v>0</v>
      </c>
      <c r="BA139">
        <v>138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0</v>
      </c>
      <c r="BI139">
        <v>0</v>
      </c>
      <c r="BJ139">
        <v>0</v>
      </c>
      <c r="BK139">
        <v>0</v>
      </c>
      <c r="BL139">
        <v>0</v>
      </c>
      <c r="BM139">
        <v>0</v>
      </c>
      <c r="BN139">
        <v>0</v>
      </c>
      <c r="BO139">
        <v>0</v>
      </c>
      <c r="BP139">
        <v>0</v>
      </c>
      <c r="BQ139">
        <v>0</v>
      </c>
      <c r="BR139">
        <v>0</v>
      </c>
      <c r="BS139">
        <v>0</v>
      </c>
      <c r="BT139">
        <v>0</v>
      </c>
      <c r="BU139">
        <v>0</v>
      </c>
      <c r="BV139">
        <v>0</v>
      </c>
      <c r="BW139">
        <v>0</v>
      </c>
      <c r="CX139">
        <f>Y139*Source!I208</f>
        <v>2.0000000000000001E-4</v>
      </c>
      <c r="CY139">
        <f>AB139</f>
        <v>932.72</v>
      </c>
      <c r="CZ139">
        <f>AF139</f>
        <v>87.17</v>
      </c>
      <c r="DA139">
        <f>AJ139</f>
        <v>10.7</v>
      </c>
      <c r="DB139">
        <f t="shared" si="26"/>
        <v>1.74</v>
      </c>
      <c r="DC139">
        <f t="shared" si="27"/>
        <v>0.23</v>
      </c>
    </row>
    <row r="140" spans="1:107">
      <c r="A140">
        <f>ROW(Source!A208)</f>
        <v>208</v>
      </c>
      <c r="B140">
        <v>35841400</v>
      </c>
      <c r="C140">
        <v>35847482</v>
      </c>
      <c r="D140">
        <v>29114684</v>
      </c>
      <c r="E140">
        <v>1</v>
      </c>
      <c r="F140">
        <v>1</v>
      </c>
      <c r="G140">
        <v>1</v>
      </c>
      <c r="H140">
        <v>3</v>
      </c>
      <c r="I140" t="s">
        <v>581</v>
      </c>
      <c r="J140" t="s">
        <v>582</v>
      </c>
      <c r="K140" t="s">
        <v>583</v>
      </c>
      <c r="L140">
        <v>1348</v>
      </c>
      <c r="N140">
        <v>1009</v>
      </c>
      <c r="O140" t="s">
        <v>27</v>
      </c>
      <c r="P140" t="s">
        <v>27</v>
      </c>
      <c r="Q140">
        <v>1000</v>
      </c>
      <c r="W140">
        <v>0</v>
      </c>
      <c r="X140">
        <v>1269643534</v>
      </c>
      <c r="Y140">
        <v>1.6000000000000001E-4</v>
      </c>
      <c r="AA140">
        <v>114134</v>
      </c>
      <c r="AB140">
        <v>0</v>
      </c>
      <c r="AC140">
        <v>0</v>
      </c>
      <c r="AD140">
        <v>0</v>
      </c>
      <c r="AE140">
        <v>29800</v>
      </c>
      <c r="AF140">
        <v>0</v>
      </c>
      <c r="AG140">
        <v>0</v>
      </c>
      <c r="AH140">
        <v>0</v>
      </c>
      <c r="AI140">
        <v>3.83</v>
      </c>
      <c r="AJ140">
        <v>1</v>
      </c>
      <c r="AK140">
        <v>1</v>
      </c>
      <c r="AL140">
        <v>1</v>
      </c>
      <c r="AN140">
        <v>0</v>
      </c>
      <c r="AO140">
        <v>1</v>
      </c>
      <c r="AP140">
        <v>0</v>
      </c>
      <c r="AQ140">
        <v>0</v>
      </c>
      <c r="AR140">
        <v>0</v>
      </c>
      <c r="AS140" t="s">
        <v>3</v>
      </c>
      <c r="AT140">
        <v>1.6000000000000001E-4</v>
      </c>
      <c r="AU140" t="s">
        <v>3</v>
      </c>
      <c r="AV140">
        <v>0</v>
      </c>
      <c r="AW140">
        <v>2</v>
      </c>
      <c r="AX140">
        <v>36150422</v>
      </c>
      <c r="AY140">
        <v>1</v>
      </c>
      <c r="AZ140">
        <v>0</v>
      </c>
      <c r="BA140">
        <v>139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0</v>
      </c>
      <c r="BI140">
        <v>0</v>
      </c>
      <c r="BJ140">
        <v>0</v>
      </c>
      <c r="BK140">
        <v>0</v>
      </c>
      <c r="BL140">
        <v>0</v>
      </c>
      <c r="BM140">
        <v>0</v>
      </c>
      <c r="BN140">
        <v>0</v>
      </c>
      <c r="BO140">
        <v>0</v>
      </c>
      <c r="BP140">
        <v>0</v>
      </c>
      <c r="BQ140">
        <v>0</v>
      </c>
      <c r="BR140">
        <v>0</v>
      </c>
      <c r="BS140">
        <v>0</v>
      </c>
      <c r="BT140">
        <v>0</v>
      </c>
      <c r="BU140">
        <v>0</v>
      </c>
      <c r="BV140">
        <v>0</v>
      </c>
      <c r="BW140">
        <v>0</v>
      </c>
      <c r="CX140">
        <f>Y140*Source!I208</f>
        <v>1.6000000000000001E-6</v>
      </c>
      <c r="CY140">
        <f>AA140</f>
        <v>114134</v>
      </c>
      <c r="CZ140">
        <f>AE140</f>
        <v>29800</v>
      </c>
      <c r="DA140">
        <f>AI140</f>
        <v>3.83</v>
      </c>
      <c r="DB140">
        <f t="shared" si="26"/>
        <v>4.7699999999999996</v>
      </c>
      <c r="DC140">
        <f t="shared" si="27"/>
        <v>0</v>
      </c>
    </row>
    <row r="141" spans="1:107">
      <c r="A141">
        <f>ROW(Source!A208)</f>
        <v>208</v>
      </c>
      <c r="B141">
        <v>35841400</v>
      </c>
      <c r="C141">
        <v>35847482</v>
      </c>
      <c r="D141">
        <v>29114688</v>
      </c>
      <c r="E141">
        <v>1</v>
      </c>
      <c r="F141">
        <v>1</v>
      </c>
      <c r="G141">
        <v>1</v>
      </c>
      <c r="H141">
        <v>3</v>
      </c>
      <c r="I141" t="s">
        <v>584</v>
      </c>
      <c r="J141" t="s">
        <v>585</v>
      </c>
      <c r="K141" t="s">
        <v>586</v>
      </c>
      <c r="L141">
        <v>1348</v>
      </c>
      <c r="N141">
        <v>1009</v>
      </c>
      <c r="O141" t="s">
        <v>27</v>
      </c>
      <c r="P141" t="s">
        <v>27</v>
      </c>
      <c r="Q141">
        <v>1000</v>
      </c>
      <c r="W141">
        <v>0</v>
      </c>
      <c r="X141">
        <v>1008226964</v>
      </c>
      <c r="Y141">
        <v>2.9999999999999997E-4</v>
      </c>
      <c r="AA141">
        <v>98197</v>
      </c>
      <c r="AB141">
        <v>0</v>
      </c>
      <c r="AC141">
        <v>0</v>
      </c>
      <c r="AD141">
        <v>0</v>
      </c>
      <c r="AE141">
        <v>12430</v>
      </c>
      <c r="AF141">
        <v>0</v>
      </c>
      <c r="AG141">
        <v>0</v>
      </c>
      <c r="AH141">
        <v>0</v>
      </c>
      <c r="AI141">
        <v>7.9</v>
      </c>
      <c r="AJ141">
        <v>1</v>
      </c>
      <c r="AK141">
        <v>1</v>
      </c>
      <c r="AL141">
        <v>1</v>
      </c>
      <c r="AN141">
        <v>0</v>
      </c>
      <c r="AO141">
        <v>1</v>
      </c>
      <c r="AP141">
        <v>0</v>
      </c>
      <c r="AQ141">
        <v>0</v>
      </c>
      <c r="AR141">
        <v>0</v>
      </c>
      <c r="AS141" t="s">
        <v>3</v>
      </c>
      <c r="AT141">
        <v>2.9999999999999997E-4</v>
      </c>
      <c r="AU141" t="s">
        <v>3</v>
      </c>
      <c r="AV141">
        <v>0</v>
      </c>
      <c r="AW141">
        <v>2</v>
      </c>
      <c r="AX141">
        <v>36150423</v>
      </c>
      <c r="AY141">
        <v>1</v>
      </c>
      <c r="AZ141">
        <v>0</v>
      </c>
      <c r="BA141">
        <v>140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0</v>
      </c>
      <c r="BL141">
        <v>0</v>
      </c>
      <c r="BM141">
        <v>0</v>
      </c>
      <c r="BN141">
        <v>0</v>
      </c>
      <c r="BO141">
        <v>0</v>
      </c>
      <c r="BP141">
        <v>0</v>
      </c>
      <c r="BQ141">
        <v>0</v>
      </c>
      <c r="BR141">
        <v>0</v>
      </c>
      <c r="BS141">
        <v>0</v>
      </c>
      <c r="BT141">
        <v>0</v>
      </c>
      <c r="BU141">
        <v>0</v>
      </c>
      <c r="BV141">
        <v>0</v>
      </c>
      <c r="BW141">
        <v>0</v>
      </c>
      <c r="CX141">
        <f>Y141*Source!I208</f>
        <v>2.9999999999999997E-6</v>
      </c>
      <c r="CY141">
        <f>AA141</f>
        <v>98197</v>
      </c>
      <c r="CZ141">
        <f>AE141</f>
        <v>12430</v>
      </c>
      <c r="DA141">
        <f>AI141</f>
        <v>7.9</v>
      </c>
      <c r="DB141">
        <f t="shared" si="26"/>
        <v>3.73</v>
      </c>
      <c r="DC141">
        <f t="shared" si="27"/>
        <v>0</v>
      </c>
    </row>
    <row r="142" spans="1:107">
      <c r="A142">
        <f>ROW(Source!A208)</f>
        <v>208</v>
      </c>
      <c r="B142">
        <v>35841400</v>
      </c>
      <c r="C142">
        <v>35847482</v>
      </c>
      <c r="D142">
        <v>29114470</v>
      </c>
      <c r="E142">
        <v>1</v>
      </c>
      <c r="F142">
        <v>1</v>
      </c>
      <c r="G142">
        <v>1</v>
      </c>
      <c r="H142">
        <v>3</v>
      </c>
      <c r="I142" t="s">
        <v>587</v>
      </c>
      <c r="J142" t="s">
        <v>588</v>
      </c>
      <c r="K142" t="s">
        <v>589</v>
      </c>
      <c r="L142">
        <v>1355</v>
      </c>
      <c r="N142">
        <v>1010</v>
      </c>
      <c r="O142" t="s">
        <v>53</v>
      </c>
      <c r="P142" t="s">
        <v>53</v>
      </c>
      <c r="Q142">
        <v>100</v>
      </c>
      <c r="W142">
        <v>0</v>
      </c>
      <c r="X142">
        <v>-228248654</v>
      </c>
      <c r="Y142">
        <v>1.02</v>
      </c>
      <c r="AA142">
        <v>55.19</v>
      </c>
      <c r="AB142">
        <v>0</v>
      </c>
      <c r="AC142">
        <v>0</v>
      </c>
      <c r="AD142">
        <v>0</v>
      </c>
      <c r="AE142">
        <v>86.24</v>
      </c>
      <c r="AF142">
        <v>0</v>
      </c>
      <c r="AG142">
        <v>0</v>
      </c>
      <c r="AH142">
        <v>0</v>
      </c>
      <c r="AI142">
        <v>0.64</v>
      </c>
      <c r="AJ142">
        <v>1</v>
      </c>
      <c r="AK142">
        <v>1</v>
      </c>
      <c r="AL142">
        <v>1</v>
      </c>
      <c r="AN142">
        <v>0</v>
      </c>
      <c r="AO142">
        <v>1</v>
      </c>
      <c r="AP142">
        <v>0</v>
      </c>
      <c r="AQ142">
        <v>0</v>
      </c>
      <c r="AR142">
        <v>0</v>
      </c>
      <c r="AS142" t="s">
        <v>3</v>
      </c>
      <c r="AT142">
        <v>1.02</v>
      </c>
      <c r="AU142" t="s">
        <v>3</v>
      </c>
      <c r="AV142">
        <v>0</v>
      </c>
      <c r="AW142">
        <v>2</v>
      </c>
      <c r="AX142">
        <v>36150424</v>
      </c>
      <c r="AY142">
        <v>1</v>
      </c>
      <c r="AZ142">
        <v>0</v>
      </c>
      <c r="BA142">
        <v>141</v>
      </c>
      <c r="BB142">
        <v>0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0</v>
      </c>
      <c r="BI142">
        <v>0</v>
      </c>
      <c r="BJ142">
        <v>0</v>
      </c>
      <c r="BK142">
        <v>0</v>
      </c>
      <c r="BL142">
        <v>0</v>
      </c>
      <c r="BM142">
        <v>0</v>
      </c>
      <c r="BN142">
        <v>0</v>
      </c>
      <c r="BO142">
        <v>0</v>
      </c>
      <c r="BP142">
        <v>0</v>
      </c>
      <c r="BQ142">
        <v>0</v>
      </c>
      <c r="BR142">
        <v>0</v>
      </c>
      <c r="BS142">
        <v>0</v>
      </c>
      <c r="BT142">
        <v>0</v>
      </c>
      <c r="BU142">
        <v>0</v>
      </c>
      <c r="BV142">
        <v>0</v>
      </c>
      <c r="BW142">
        <v>0</v>
      </c>
      <c r="CX142">
        <f>Y142*Source!I208</f>
        <v>1.0200000000000001E-2</v>
      </c>
      <c r="CY142">
        <f>AA142</f>
        <v>55.19</v>
      </c>
      <c r="CZ142">
        <f>AE142</f>
        <v>86.24</v>
      </c>
      <c r="DA142">
        <f>AI142</f>
        <v>0.64</v>
      </c>
      <c r="DB142">
        <f t="shared" si="26"/>
        <v>87.96</v>
      </c>
      <c r="DC142">
        <f t="shared" si="27"/>
        <v>0</v>
      </c>
    </row>
    <row r="143" spans="1:107">
      <c r="A143">
        <f>ROW(Source!A208)</f>
        <v>208</v>
      </c>
      <c r="B143">
        <v>35841400</v>
      </c>
      <c r="C143">
        <v>35847482</v>
      </c>
      <c r="D143">
        <v>29171808</v>
      </c>
      <c r="E143">
        <v>1</v>
      </c>
      <c r="F143">
        <v>1</v>
      </c>
      <c r="G143">
        <v>1</v>
      </c>
      <c r="H143">
        <v>3</v>
      </c>
      <c r="I143" t="s">
        <v>590</v>
      </c>
      <c r="J143" t="s">
        <v>591</v>
      </c>
      <c r="K143" t="s">
        <v>592</v>
      </c>
      <c r="L143">
        <v>1374</v>
      </c>
      <c r="N143">
        <v>1013</v>
      </c>
      <c r="O143" t="s">
        <v>593</v>
      </c>
      <c r="P143" t="s">
        <v>593</v>
      </c>
      <c r="Q143">
        <v>1</v>
      </c>
      <c r="W143">
        <v>0</v>
      </c>
      <c r="X143">
        <v>-915781824</v>
      </c>
      <c r="Y143">
        <v>6.97</v>
      </c>
      <c r="AA143">
        <v>1</v>
      </c>
      <c r="AB143">
        <v>0</v>
      </c>
      <c r="AC143">
        <v>0</v>
      </c>
      <c r="AD143">
        <v>0</v>
      </c>
      <c r="AE143">
        <v>1</v>
      </c>
      <c r="AF143">
        <v>0</v>
      </c>
      <c r="AG143">
        <v>0</v>
      </c>
      <c r="AH143">
        <v>0</v>
      </c>
      <c r="AI143">
        <v>1</v>
      </c>
      <c r="AJ143">
        <v>1</v>
      </c>
      <c r="AK143">
        <v>1</v>
      </c>
      <c r="AL143">
        <v>1</v>
      </c>
      <c r="AN143">
        <v>0</v>
      </c>
      <c r="AO143">
        <v>1</v>
      </c>
      <c r="AP143">
        <v>0</v>
      </c>
      <c r="AQ143">
        <v>0</v>
      </c>
      <c r="AR143">
        <v>0</v>
      </c>
      <c r="AS143" t="s">
        <v>3</v>
      </c>
      <c r="AT143">
        <v>6.97</v>
      </c>
      <c r="AU143" t="s">
        <v>3</v>
      </c>
      <c r="AV143">
        <v>0</v>
      </c>
      <c r="AW143">
        <v>2</v>
      </c>
      <c r="AX143">
        <v>36150425</v>
      </c>
      <c r="AY143">
        <v>1</v>
      </c>
      <c r="AZ143">
        <v>0</v>
      </c>
      <c r="BA143">
        <v>142</v>
      </c>
      <c r="BB143">
        <v>0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0</v>
      </c>
      <c r="BI143">
        <v>0</v>
      </c>
      <c r="BJ143">
        <v>0</v>
      </c>
      <c r="BK143">
        <v>0</v>
      </c>
      <c r="BL143">
        <v>0</v>
      </c>
      <c r="BM143">
        <v>0</v>
      </c>
      <c r="BN143">
        <v>0</v>
      </c>
      <c r="BO143">
        <v>0</v>
      </c>
      <c r="BP143">
        <v>0</v>
      </c>
      <c r="BQ143">
        <v>0</v>
      </c>
      <c r="BR143">
        <v>0</v>
      </c>
      <c r="BS143">
        <v>0</v>
      </c>
      <c r="BT143">
        <v>0</v>
      </c>
      <c r="BU143">
        <v>0</v>
      </c>
      <c r="BV143">
        <v>0</v>
      </c>
      <c r="BW143">
        <v>0</v>
      </c>
      <c r="CX143">
        <f>Y143*Source!I208</f>
        <v>6.9699999999999998E-2</v>
      </c>
      <c r="CY143">
        <f>AA143</f>
        <v>1</v>
      </c>
      <c r="CZ143">
        <f>AE143</f>
        <v>1</v>
      </c>
      <c r="DA143">
        <f>AI143</f>
        <v>1</v>
      </c>
      <c r="DB143">
        <f t="shared" si="26"/>
        <v>6.97</v>
      </c>
      <c r="DC143">
        <f t="shared" si="27"/>
        <v>0</v>
      </c>
    </row>
    <row r="144" spans="1:107">
      <c r="A144">
        <f>ROW(Source!A209)</f>
        <v>209</v>
      </c>
      <c r="B144">
        <v>35841400</v>
      </c>
      <c r="C144">
        <v>35847492</v>
      </c>
      <c r="D144">
        <v>29364679</v>
      </c>
      <c r="E144">
        <v>1</v>
      </c>
      <c r="F144">
        <v>1</v>
      </c>
      <c r="G144">
        <v>1</v>
      </c>
      <c r="H144">
        <v>1</v>
      </c>
      <c r="I144" t="s">
        <v>576</v>
      </c>
      <c r="J144" t="s">
        <v>3</v>
      </c>
      <c r="K144" t="s">
        <v>577</v>
      </c>
      <c r="L144">
        <v>1369</v>
      </c>
      <c r="N144">
        <v>1013</v>
      </c>
      <c r="O144" t="s">
        <v>369</v>
      </c>
      <c r="P144" t="s">
        <v>369</v>
      </c>
      <c r="Q144">
        <v>1</v>
      </c>
      <c r="W144">
        <v>0</v>
      </c>
      <c r="X144">
        <v>931378261</v>
      </c>
      <c r="Y144">
        <v>34.56</v>
      </c>
      <c r="AA144">
        <v>0</v>
      </c>
      <c r="AB144">
        <v>0</v>
      </c>
      <c r="AC144">
        <v>0</v>
      </c>
      <c r="AD144">
        <v>323.88</v>
      </c>
      <c r="AE144">
        <v>0</v>
      </c>
      <c r="AF144">
        <v>0</v>
      </c>
      <c r="AG144">
        <v>0</v>
      </c>
      <c r="AH144">
        <v>323.88</v>
      </c>
      <c r="AI144">
        <v>1</v>
      </c>
      <c r="AJ144">
        <v>1</v>
      </c>
      <c r="AK144">
        <v>1</v>
      </c>
      <c r="AL144">
        <v>1</v>
      </c>
      <c r="AN144">
        <v>0</v>
      </c>
      <c r="AO144">
        <v>1</v>
      </c>
      <c r="AP144">
        <v>0</v>
      </c>
      <c r="AQ144">
        <v>0</v>
      </c>
      <c r="AR144">
        <v>0</v>
      </c>
      <c r="AS144" t="s">
        <v>3</v>
      </c>
      <c r="AT144">
        <v>34.56</v>
      </c>
      <c r="AU144" t="s">
        <v>3</v>
      </c>
      <c r="AV144">
        <v>1</v>
      </c>
      <c r="AW144">
        <v>2</v>
      </c>
      <c r="AX144">
        <v>36150426</v>
      </c>
      <c r="AY144">
        <v>1</v>
      </c>
      <c r="AZ144">
        <v>0</v>
      </c>
      <c r="BA144">
        <v>143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0</v>
      </c>
      <c r="BI144">
        <v>0</v>
      </c>
      <c r="BJ144">
        <v>0</v>
      </c>
      <c r="BK144">
        <v>0</v>
      </c>
      <c r="BL144">
        <v>0</v>
      </c>
      <c r="BM144">
        <v>0</v>
      </c>
      <c r="BN144">
        <v>0</v>
      </c>
      <c r="BO144">
        <v>0</v>
      </c>
      <c r="BP144">
        <v>0</v>
      </c>
      <c r="BQ144">
        <v>0</v>
      </c>
      <c r="BR144">
        <v>0</v>
      </c>
      <c r="BS144">
        <v>0</v>
      </c>
      <c r="BT144">
        <v>0</v>
      </c>
      <c r="BU144">
        <v>0</v>
      </c>
      <c r="BV144">
        <v>0</v>
      </c>
      <c r="BW144">
        <v>0</v>
      </c>
      <c r="CX144">
        <f>Y144*Source!I209</f>
        <v>1.3824000000000001</v>
      </c>
      <c r="CY144">
        <f>AD144</f>
        <v>323.88</v>
      </c>
      <c r="CZ144">
        <f>AH144</f>
        <v>323.88</v>
      </c>
      <c r="DA144">
        <f>AL144</f>
        <v>1</v>
      </c>
      <c r="DB144">
        <f t="shared" si="26"/>
        <v>11193.29</v>
      </c>
      <c r="DC144">
        <f t="shared" si="27"/>
        <v>0</v>
      </c>
    </row>
    <row r="145" spans="1:107">
      <c r="A145">
        <f>ROW(Source!A209)</f>
        <v>209</v>
      </c>
      <c r="B145">
        <v>35841400</v>
      </c>
      <c r="C145">
        <v>35847492</v>
      </c>
      <c r="D145">
        <v>121548</v>
      </c>
      <c r="E145">
        <v>1</v>
      </c>
      <c r="F145">
        <v>1</v>
      </c>
      <c r="G145">
        <v>1</v>
      </c>
      <c r="H145">
        <v>1</v>
      </c>
      <c r="I145" t="s">
        <v>212</v>
      </c>
      <c r="J145" t="s">
        <v>3</v>
      </c>
      <c r="K145" t="s">
        <v>374</v>
      </c>
      <c r="L145">
        <v>608254</v>
      </c>
      <c r="N145">
        <v>1013</v>
      </c>
      <c r="O145" t="s">
        <v>375</v>
      </c>
      <c r="P145" t="s">
        <v>375</v>
      </c>
      <c r="Q145">
        <v>1</v>
      </c>
      <c r="W145">
        <v>0</v>
      </c>
      <c r="X145">
        <v>-185737400</v>
      </c>
      <c r="Y145">
        <v>0.03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1</v>
      </c>
      <c r="AJ145">
        <v>1</v>
      </c>
      <c r="AK145">
        <v>1</v>
      </c>
      <c r="AL145">
        <v>1</v>
      </c>
      <c r="AN145">
        <v>0</v>
      </c>
      <c r="AO145">
        <v>1</v>
      </c>
      <c r="AP145">
        <v>0</v>
      </c>
      <c r="AQ145">
        <v>0</v>
      </c>
      <c r="AR145">
        <v>0</v>
      </c>
      <c r="AS145" t="s">
        <v>3</v>
      </c>
      <c r="AT145">
        <v>0.03</v>
      </c>
      <c r="AU145" t="s">
        <v>3</v>
      </c>
      <c r="AV145">
        <v>2</v>
      </c>
      <c r="AW145">
        <v>2</v>
      </c>
      <c r="AX145">
        <v>36150427</v>
      </c>
      <c r="AY145">
        <v>1</v>
      </c>
      <c r="AZ145">
        <v>0</v>
      </c>
      <c r="BA145">
        <v>144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0</v>
      </c>
      <c r="BK145">
        <v>0</v>
      </c>
      <c r="BL145">
        <v>0</v>
      </c>
      <c r="BM145">
        <v>0</v>
      </c>
      <c r="BN145">
        <v>0</v>
      </c>
      <c r="BO145">
        <v>0</v>
      </c>
      <c r="BP145">
        <v>0</v>
      </c>
      <c r="BQ145">
        <v>0</v>
      </c>
      <c r="BR145">
        <v>0</v>
      </c>
      <c r="BS145">
        <v>0</v>
      </c>
      <c r="BT145">
        <v>0</v>
      </c>
      <c r="BU145">
        <v>0</v>
      </c>
      <c r="BV145">
        <v>0</v>
      </c>
      <c r="BW145">
        <v>0</v>
      </c>
      <c r="CX145">
        <f>Y145*Source!I209</f>
        <v>1.1999999999999999E-3</v>
      </c>
      <c r="CY145">
        <f>AD145</f>
        <v>0</v>
      </c>
      <c r="CZ145">
        <f>AH145</f>
        <v>0</v>
      </c>
      <c r="DA145">
        <f>AL145</f>
        <v>1</v>
      </c>
      <c r="DB145">
        <f t="shared" si="26"/>
        <v>0</v>
      </c>
      <c r="DC145">
        <f t="shared" si="27"/>
        <v>0</v>
      </c>
    </row>
    <row r="146" spans="1:107">
      <c r="A146">
        <f>ROW(Source!A209)</f>
        <v>209</v>
      </c>
      <c r="B146">
        <v>35841400</v>
      </c>
      <c r="C146">
        <v>35847492</v>
      </c>
      <c r="D146">
        <v>29172362</v>
      </c>
      <c r="E146">
        <v>1</v>
      </c>
      <c r="F146">
        <v>1</v>
      </c>
      <c r="G146">
        <v>1</v>
      </c>
      <c r="H146">
        <v>2</v>
      </c>
      <c r="I146" t="s">
        <v>578</v>
      </c>
      <c r="J146" t="s">
        <v>579</v>
      </c>
      <c r="K146" t="s">
        <v>580</v>
      </c>
      <c r="L146">
        <v>1368</v>
      </c>
      <c r="N146">
        <v>1011</v>
      </c>
      <c r="O146" t="s">
        <v>379</v>
      </c>
      <c r="P146" t="s">
        <v>379</v>
      </c>
      <c r="Q146">
        <v>1</v>
      </c>
      <c r="W146">
        <v>0</v>
      </c>
      <c r="X146">
        <v>2071614860</v>
      </c>
      <c r="Y146">
        <v>0.03</v>
      </c>
      <c r="AA146">
        <v>0</v>
      </c>
      <c r="AB146">
        <v>1113.56</v>
      </c>
      <c r="AC146">
        <v>446.18</v>
      </c>
      <c r="AD146">
        <v>0</v>
      </c>
      <c r="AE146">
        <v>0</v>
      </c>
      <c r="AF146">
        <v>134.65</v>
      </c>
      <c r="AG146">
        <v>13.5</v>
      </c>
      <c r="AH146">
        <v>0</v>
      </c>
      <c r="AI146">
        <v>1</v>
      </c>
      <c r="AJ146">
        <v>8.27</v>
      </c>
      <c r="AK146">
        <v>33.049999999999997</v>
      </c>
      <c r="AL146">
        <v>1</v>
      </c>
      <c r="AN146">
        <v>0</v>
      </c>
      <c r="AO146">
        <v>1</v>
      </c>
      <c r="AP146">
        <v>0</v>
      </c>
      <c r="AQ146">
        <v>0</v>
      </c>
      <c r="AR146">
        <v>0</v>
      </c>
      <c r="AS146" t="s">
        <v>3</v>
      </c>
      <c r="AT146">
        <v>0.03</v>
      </c>
      <c r="AU146" t="s">
        <v>3</v>
      </c>
      <c r="AV146">
        <v>0</v>
      </c>
      <c r="AW146">
        <v>2</v>
      </c>
      <c r="AX146">
        <v>36150428</v>
      </c>
      <c r="AY146">
        <v>1</v>
      </c>
      <c r="AZ146">
        <v>0</v>
      </c>
      <c r="BA146">
        <v>145</v>
      </c>
      <c r="BB146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0</v>
      </c>
      <c r="BI146">
        <v>0</v>
      </c>
      <c r="BJ146">
        <v>0</v>
      </c>
      <c r="BK146">
        <v>0</v>
      </c>
      <c r="BL146">
        <v>0</v>
      </c>
      <c r="BM146">
        <v>0</v>
      </c>
      <c r="BN146">
        <v>0</v>
      </c>
      <c r="BO146">
        <v>0</v>
      </c>
      <c r="BP146">
        <v>0</v>
      </c>
      <c r="BQ146">
        <v>0</v>
      </c>
      <c r="BR146">
        <v>0</v>
      </c>
      <c r="BS146">
        <v>0</v>
      </c>
      <c r="BT146">
        <v>0</v>
      </c>
      <c r="BU146">
        <v>0</v>
      </c>
      <c r="BV146">
        <v>0</v>
      </c>
      <c r="BW146">
        <v>0</v>
      </c>
      <c r="CX146">
        <f>Y146*Source!I209</f>
        <v>1.1999999999999999E-3</v>
      </c>
      <c r="CY146">
        <f>AB146</f>
        <v>1113.56</v>
      </c>
      <c r="CZ146">
        <f>AF146</f>
        <v>134.65</v>
      </c>
      <c r="DA146">
        <f>AJ146</f>
        <v>8.27</v>
      </c>
      <c r="DB146">
        <f t="shared" si="26"/>
        <v>4.04</v>
      </c>
      <c r="DC146">
        <f t="shared" si="27"/>
        <v>0.41</v>
      </c>
    </row>
    <row r="147" spans="1:107">
      <c r="A147">
        <f>ROW(Source!A209)</f>
        <v>209</v>
      </c>
      <c r="B147">
        <v>35841400</v>
      </c>
      <c r="C147">
        <v>35847492</v>
      </c>
      <c r="D147">
        <v>29174500</v>
      </c>
      <c r="E147">
        <v>1</v>
      </c>
      <c r="F147">
        <v>1</v>
      </c>
      <c r="G147">
        <v>1</v>
      </c>
      <c r="H147">
        <v>2</v>
      </c>
      <c r="I147" t="s">
        <v>528</v>
      </c>
      <c r="J147" t="s">
        <v>529</v>
      </c>
      <c r="K147" t="s">
        <v>530</v>
      </c>
      <c r="L147">
        <v>1368</v>
      </c>
      <c r="N147">
        <v>1011</v>
      </c>
      <c r="O147" t="s">
        <v>379</v>
      </c>
      <c r="P147" t="s">
        <v>379</v>
      </c>
      <c r="Q147">
        <v>1</v>
      </c>
      <c r="W147">
        <v>0</v>
      </c>
      <c r="X147">
        <v>-239831557</v>
      </c>
      <c r="Y147">
        <v>4.0999999999999996</v>
      </c>
      <c r="AA147">
        <v>0</v>
      </c>
      <c r="AB147">
        <v>7.33</v>
      </c>
      <c r="AC147">
        <v>0</v>
      </c>
      <c r="AD147">
        <v>0</v>
      </c>
      <c r="AE147">
        <v>0</v>
      </c>
      <c r="AF147">
        <v>1.95</v>
      </c>
      <c r="AG147">
        <v>0</v>
      </c>
      <c r="AH147">
        <v>0</v>
      </c>
      <c r="AI147">
        <v>1</v>
      </c>
      <c r="AJ147">
        <v>3.76</v>
      </c>
      <c r="AK147">
        <v>33.049999999999997</v>
      </c>
      <c r="AL147">
        <v>1</v>
      </c>
      <c r="AN147">
        <v>0</v>
      </c>
      <c r="AO147">
        <v>1</v>
      </c>
      <c r="AP147">
        <v>0</v>
      </c>
      <c r="AQ147">
        <v>0</v>
      </c>
      <c r="AR147">
        <v>0</v>
      </c>
      <c r="AS147" t="s">
        <v>3</v>
      </c>
      <c r="AT147">
        <v>4.0999999999999996</v>
      </c>
      <c r="AU147" t="s">
        <v>3</v>
      </c>
      <c r="AV147">
        <v>0</v>
      </c>
      <c r="AW147">
        <v>2</v>
      </c>
      <c r="AX147">
        <v>36150429</v>
      </c>
      <c r="AY147">
        <v>1</v>
      </c>
      <c r="AZ147">
        <v>0</v>
      </c>
      <c r="BA147">
        <v>146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0</v>
      </c>
      <c r="BI147">
        <v>0</v>
      </c>
      <c r="BJ147">
        <v>0</v>
      </c>
      <c r="BK147">
        <v>0</v>
      </c>
      <c r="BL147">
        <v>0</v>
      </c>
      <c r="BM147">
        <v>0</v>
      </c>
      <c r="BN147">
        <v>0</v>
      </c>
      <c r="BO147">
        <v>0</v>
      </c>
      <c r="BP147">
        <v>0</v>
      </c>
      <c r="BQ147">
        <v>0</v>
      </c>
      <c r="BR147">
        <v>0</v>
      </c>
      <c r="BS147">
        <v>0</v>
      </c>
      <c r="BT147">
        <v>0</v>
      </c>
      <c r="BU147">
        <v>0</v>
      </c>
      <c r="BV147">
        <v>0</v>
      </c>
      <c r="BW147">
        <v>0</v>
      </c>
      <c r="CX147">
        <f>Y147*Source!I209</f>
        <v>0.16399999999999998</v>
      </c>
      <c r="CY147">
        <f>AB147</f>
        <v>7.33</v>
      </c>
      <c r="CZ147">
        <f>AF147</f>
        <v>1.95</v>
      </c>
      <c r="DA147">
        <f>AJ147</f>
        <v>3.76</v>
      </c>
      <c r="DB147">
        <f t="shared" si="26"/>
        <v>8</v>
      </c>
      <c r="DC147">
        <f t="shared" si="27"/>
        <v>0</v>
      </c>
    </row>
    <row r="148" spans="1:107">
      <c r="A148">
        <f>ROW(Source!A209)</f>
        <v>209</v>
      </c>
      <c r="B148">
        <v>35841400</v>
      </c>
      <c r="C148">
        <v>35847492</v>
      </c>
      <c r="D148">
        <v>29174913</v>
      </c>
      <c r="E148">
        <v>1</v>
      </c>
      <c r="F148">
        <v>1</v>
      </c>
      <c r="G148">
        <v>1</v>
      </c>
      <c r="H148">
        <v>2</v>
      </c>
      <c r="I148" t="s">
        <v>394</v>
      </c>
      <c r="J148" t="s">
        <v>395</v>
      </c>
      <c r="K148" t="s">
        <v>396</v>
      </c>
      <c r="L148">
        <v>1368</v>
      </c>
      <c r="N148">
        <v>1011</v>
      </c>
      <c r="O148" t="s">
        <v>379</v>
      </c>
      <c r="P148" t="s">
        <v>379</v>
      </c>
      <c r="Q148">
        <v>1</v>
      </c>
      <c r="W148">
        <v>0</v>
      </c>
      <c r="X148">
        <v>458544584</v>
      </c>
      <c r="Y148">
        <v>0.02</v>
      </c>
      <c r="AA148">
        <v>0</v>
      </c>
      <c r="AB148">
        <v>932.72</v>
      </c>
      <c r="AC148">
        <v>383.38</v>
      </c>
      <c r="AD148">
        <v>0</v>
      </c>
      <c r="AE148">
        <v>0</v>
      </c>
      <c r="AF148">
        <v>87.17</v>
      </c>
      <c r="AG148">
        <v>11.6</v>
      </c>
      <c r="AH148">
        <v>0</v>
      </c>
      <c r="AI148">
        <v>1</v>
      </c>
      <c r="AJ148">
        <v>10.7</v>
      </c>
      <c r="AK148">
        <v>33.049999999999997</v>
      </c>
      <c r="AL148">
        <v>1</v>
      </c>
      <c r="AN148">
        <v>0</v>
      </c>
      <c r="AO148">
        <v>1</v>
      </c>
      <c r="AP148">
        <v>0</v>
      </c>
      <c r="AQ148">
        <v>0</v>
      </c>
      <c r="AR148">
        <v>0</v>
      </c>
      <c r="AS148" t="s">
        <v>3</v>
      </c>
      <c r="AT148">
        <v>0.02</v>
      </c>
      <c r="AU148" t="s">
        <v>3</v>
      </c>
      <c r="AV148">
        <v>0</v>
      </c>
      <c r="AW148">
        <v>2</v>
      </c>
      <c r="AX148">
        <v>36150430</v>
      </c>
      <c r="AY148">
        <v>1</v>
      </c>
      <c r="AZ148">
        <v>0</v>
      </c>
      <c r="BA148">
        <v>147</v>
      </c>
      <c r="BB148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0</v>
      </c>
      <c r="BI148">
        <v>0</v>
      </c>
      <c r="BJ148">
        <v>0</v>
      </c>
      <c r="BK148">
        <v>0</v>
      </c>
      <c r="BL148">
        <v>0</v>
      </c>
      <c r="BM148">
        <v>0</v>
      </c>
      <c r="BN148">
        <v>0</v>
      </c>
      <c r="BO148">
        <v>0</v>
      </c>
      <c r="BP148">
        <v>0</v>
      </c>
      <c r="BQ148">
        <v>0</v>
      </c>
      <c r="BR148">
        <v>0</v>
      </c>
      <c r="BS148">
        <v>0</v>
      </c>
      <c r="BT148">
        <v>0</v>
      </c>
      <c r="BU148">
        <v>0</v>
      </c>
      <c r="BV148">
        <v>0</v>
      </c>
      <c r="BW148">
        <v>0</v>
      </c>
      <c r="CX148">
        <f>Y148*Source!I209</f>
        <v>8.0000000000000004E-4</v>
      </c>
      <c r="CY148">
        <f>AB148</f>
        <v>932.72</v>
      </c>
      <c r="CZ148">
        <f>AF148</f>
        <v>87.17</v>
      </c>
      <c r="DA148">
        <f>AJ148</f>
        <v>10.7</v>
      </c>
      <c r="DB148">
        <f t="shared" si="26"/>
        <v>1.74</v>
      </c>
      <c r="DC148">
        <f t="shared" si="27"/>
        <v>0.23</v>
      </c>
    </row>
    <row r="149" spans="1:107">
      <c r="A149">
        <f>ROW(Source!A209)</f>
        <v>209</v>
      </c>
      <c r="B149">
        <v>35841400</v>
      </c>
      <c r="C149">
        <v>35847492</v>
      </c>
      <c r="D149">
        <v>29114684</v>
      </c>
      <c r="E149">
        <v>1</v>
      </c>
      <c r="F149">
        <v>1</v>
      </c>
      <c r="G149">
        <v>1</v>
      </c>
      <c r="H149">
        <v>3</v>
      </c>
      <c r="I149" t="s">
        <v>581</v>
      </c>
      <c r="J149" t="s">
        <v>582</v>
      </c>
      <c r="K149" t="s">
        <v>583</v>
      </c>
      <c r="L149">
        <v>1348</v>
      </c>
      <c r="N149">
        <v>1009</v>
      </c>
      <c r="O149" t="s">
        <v>27</v>
      </c>
      <c r="P149" t="s">
        <v>27</v>
      </c>
      <c r="Q149">
        <v>1000</v>
      </c>
      <c r="W149">
        <v>0</v>
      </c>
      <c r="X149">
        <v>1269643534</v>
      </c>
      <c r="Y149">
        <v>1.6000000000000001E-4</v>
      </c>
      <c r="AA149">
        <v>114134</v>
      </c>
      <c r="AB149">
        <v>0</v>
      </c>
      <c r="AC149">
        <v>0</v>
      </c>
      <c r="AD149">
        <v>0</v>
      </c>
      <c r="AE149">
        <v>29800</v>
      </c>
      <c r="AF149">
        <v>0</v>
      </c>
      <c r="AG149">
        <v>0</v>
      </c>
      <c r="AH149">
        <v>0</v>
      </c>
      <c r="AI149">
        <v>3.83</v>
      </c>
      <c r="AJ149">
        <v>1</v>
      </c>
      <c r="AK149">
        <v>1</v>
      </c>
      <c r="AL149">
        <v>1</v>
      </c>
      <c r="AN149">
        <v>0</v>
      </c>
      <c r="AO149">
        <v>1</v>
      </c>
      <c r="AP149">
        <v>0</v>
      </c>
      <c r="AQ149">
        <v>0</v>
      </c>
      <c r="AR149">
        <v>0</v>
      </c>
      <c r="AS149" t="s">
        <v>3</v>
      </c>
      <c r="AT149">
        <v>1.6000000000000001E-4</v>
      </c>
      <c r="AU149" t="s">
        <v>3</v>
      </c>
      <c r="AV149">
        <v>0</v>
      </c>
      <c r="AW149">
        <v>2</v>
      </c>
      <c r="AX149">
        <v>36150431</v>
      </c>
      <c r="AY149">
        <v>1</v>
      </c>
      <c r="AZ149">
        <v>0</v>
      </c>
      <c r="BA149">
        <v>148</v>
      </c>
      <c r="BB149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0</v>
      </c>
      <c r="BI149">
        <v>0</v>
      </c>
      <c r="BJ149">
        <v>0</v>
      </c>
      <c r="BK149">
        <v>0</v>
      </c>
      <c r="BL149">
        <v>0</v>
      </c>
      <c r="BM149">
        <v>0</v>
      </c>
      <c r="BN149">
        <v>0</v>
      </c>
      <c r="BO149">
        <v>0</v>
      </c>
      <c r="BP149">
        <v>0</v>
      </c>
      <c r="BQ149">
        <v>0</v>
      </c>
      <c r="BR149">
        <v>0</v>
      </c>
      <c r="BS149">
        <v>0</v>
      </c>
      <c r="BT149">
        <v>0</v>
      </c>
      <c r="BU149">
        <v>0</v>
      </c>
      <c r="BV149">
        <v>0</v>
      </c>
      <c r="BW149">
        <v>0</v>
      </c>
      <c r="CX149">
        <f>Y149*Source!I209</f>
        <v>6.4000000000000006E-6</v>
      </c>
      <c r="CY149">
        <f>AA149</f>
        <v>114134</v>
      </c>
      <c r="CZ149">
        <f>AE149</f>
        <v>29800</v>
      </c>
      <c r="DA149">
        <f>AI149</f>
        <v>3.83</v>
      </c>
      <c r="DB149">
        <f t="shared" si="26"/>
        <v>4.7699999999999996</v>
      </c>
      <c r="DC149">
        <f t="shared" si="27"/>
        <v>0</v>
      </c>
    </row>
    <row r="150" spans="1:107">
      <c r="A150">
        <f>ROW(Source!A209)</f>
        <v>209</v>
      </c>
      <c r="B150">
        <v>35841400</v>
      </c>
      <c r="C150">
        <v>35847492</v>
      </c>
      <c r="D150">
        <v>29114688</v>
      </c>
      <c r="E150">
        <v>1</v>
      </c>
      <c r="F150">
        <v>1</v>
      </c>
      <c r="G150">
        <v>1</v>
      </c>
      <c r="H150">
        <v>3</v>
      </c>
      <c r="I150" t="s">
        <v>584</v>
      </c>
      <c r="J150" t="s">
        <v>585</v>
      </c>
      <c r="K150" t="s">
        <v>586</v>
      </c>
      <c r="L150">
        <v>1348</v>
      </c>
      <c r="N150">
        <v>1009</v>
      </c>
      <c r="O150" t="s">
        <v>27</v>
      </c>
      <c r="P150" t="s">
        <v>27</v>
      </c>
      <c r="Q150">
        <v>1000</v>
      </c>
      <c r="W150">
        <v>0</v>
      </c>
      <c r="X150">
        <v>1008226964</v>
      </c>
      <c r="Y150">
        <v>2.9999999999999997E-4</v>
      </c>
      <c r="AA150">
        <v>98197</v>
      </c>
      <c r="AB150">
        <v>0</v>
      </c>
      <c r="AC150">
        <v>0</v>
      </c>
      <c r="AD150">
        <v>0</v>
      </c>
      <c r="AE150">
        <v>12430</v>
      </c>
      <c r="AF150">
        <v>0</v>
      </c>
      <c r="AG150">
        <v>0</v>
      </c>
      <c r="AH150">
        <v>0</v>
      </c>
      <c r="AI150">
        <v>7.9</v>
      </c>
      <c r="AJ150">
        <v>1</v>
      </c>
      <c r="AK150">
        <v>1</v>
      </c>
      <c r="AL150">
        <v>1</v>
      </c>
      <c r="AN150">
        <v>0</v>
      </c>
      <c r="AO150">
        <v>1</v>
      </c>
      <c r="AP150">
        <v>0</v>
      </c>
      <c r="AQ150">
        <v>0</v>
      </c>
      <c r="AR150">
        <v>0</v>
      </c>
      <c r="AS150" t="s">
        <v>3</v>
      </c>
      <c r="AT150">
        <v>2.9999999999999997E-4</v>
      </c>
      <c r="AU150" t="s">
        <v>3</v>
      </c>
      <c r="AV150">
        <v>0</v>
      </c>
      <c r="AW150">
        <v>2</v>
      </c>
      <c r="AX150">
        <v>36150432</v>
      </c>
      <c r="AY150">
        <v>1</v>
      </c>
      <c r="AZ150">
        <v>0</v>
      </c>
      <c r="BA150">
        <v>149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0</v>
      </c>
      <c r="BI150">
        <v>0</v>
      </c>
      <c r="BJ150">
        <v>0</v>
      </c>
      <c r="BK150">
        <v>0</v>
      </c>
      <c r="BL150">
        <v>0</v>
      </c>
      <c r="BM150">
        <v>0</v>
      </c>
      <c r="BN150">
        <v>0</v>
      </c>
      <c r="BO150">
        <v>0</v>
      </c>
      <c r="BP150">
        <v>0</v>
      </c>
      <c r="BQ150">
        <v>0</v>
      </c>
      <c r="BR150">
        <v>0</v>
      </c>
      <c r="BS150">
        <v>0</v>
      </c>
      <c r="BT150">
        <v>0</v>
      </c>
      <c r="BU150">
        <v>0</v>
      </c>
      <c r="BV150">
        <v>0</v>
      </c>
      <c r="BW150">
        <v>0</v>
      </c>
      <c r="CX150">
        <f>Y150*Source!I209</f>
        <v>1.1999999999999999E-5</v>
      </c>
      <c r="CY150">
        <f>AA150</f>
        <v>98197</v>
      </c>
      <c r="CZ150">
        <f>AE150</f>
        <v>12430</v>
      </c>
      <c r="DA150">
        <f>AI150</f>
        <v>7.9</v>
      </c>
      <c r="DB150">
        <f t="shared" si="26"/>
        <v>3.73</v>
      </c>
      <c r="DC150">
        <f t="shared" si="27"/>
        <v>0</v>
      </c>
    </row>
    <row r="151" spans="1:107">
      <c r="A151">
        <f>ROW(Source!A209)</f>
        <v>209</v>
      </c>
      <c r="B151">
        <v>35841400</v>
      </c>
      <c r="C151">
        <v>35847492</v>
      </c>
      <c r="D151">
        <v>29110838</v>
      </c>
      <c r="E151">
        <v>1</v>
      </c>
      <c r="F151">
        <v>1</v>
      </c>
      <c r="G151">
        <v>1</v>
      </c>
      <c r="H151">
        <v>3</v>
      </c>
      <c r="I151" t="s">
        <v>594</v>
      </c>
      <c r="J151" t="s">
        <v>595</v>
      </c>
      <c r="K151" t="s">
        <v>596</v>
      </c>
      <c r="L151">
        <v>1346</v>
      </c>
      <c r="N151">
        <v>1009</v>
      </c>
      <c r="O151" t="s">
        <v>153</v>
      </c>
      <c r="P151" t="s">
        <v>153</v>
      </c>
      <c r="Q151">
        <v>1</v>
      </c>
      <c r="W151">
        <v>0</v>
      </c>
      <c r="X151">
        <v>-667794164</v>
      </c>
      <c r="Y151">
        <v>0.11</v>
      </c>
      <c r="AA151">
        <v>100.04</v>
      </c>
      <c r="AB151">
        <v>0</v>
      </c>
      <c r="AC151">
        <v>0</v>
      </c>
      <c r="AD151">
        <v>0</v>
      </c>
      <c r="AE151">
        <v>30.5</v>
      </c>
      <c r="AF151">
        <v>0</v>
      </c>
      <c r="AG151">
        <v>0</v>
      </c>
      <c r="AH151">
        <v>0</v>
      </c>
      <c r="AI151">
        <v>3.28</v>
      </c>
      <c r="AJ151">
        <v>1</v>
      </c>
      <c r="AK151">
        <v>1</v>
      </c>
      <c r="AL151">
        <v>1</v>
      </c>
      <c r="AN151">
        <v>0</v>
      </c>
      <c r="AO151">
        <v>1</v>
      </c>
      <c r="AP151">
        <v>0</v>
      </c>
      <c r="AQ151">
        <v>0</v>
      </c>
      <c r="AR151">
        <v>0</v>
      </c>
      <c r="AS151" t="s">
        <v>3</v>
      </c>
      <c r="AT151">
        <v>0.11</v>
      </c>
      <c r="AU151" t="s">
        <v>3</v>
      </c>
      <c r="AV151">
        <v>0</v>
      </c>
      <c r="AW151">
        <v>2</v>
      </c>
      <c r="AX151">
        <v>36150433</v>
      </c>
      <c r="AY151">
        <v>1</v>
      </c>
      <c r="AZ151">
        <v>0</v>
      </c>
      <c r="BA151">
        <v>150</v>
      </c>
      <c r="BB151">
        <v>0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0</v>
      </c>
      <c r="BI151">
        <v>0</v>
      </c>
      <c r="BJ151">
        <v>0</v>
      </c>
      <c r="BK151">
        <v>0</v>
      </c>
      <c r="BL151">
        <v>0</v>
      </c>
      <c r="BM151">
        <v>0</v>
      </c>
      <c r="BN151">
        <v>0</v>
      </c>
      <c r="BO151">
        <v>0</v>
      </c>
      <c r="BP151">
        <v>0</v>
      </c>
      <c r="BQ151">
        <v>0</v>
      </c>
      <c r="BR151">
        <v>0</v>
      </c>
      <c r="BS151">
        <v>0</v>
      </c>
      <c r="BT151">
        <v>0</v>
      </c>
      <c r="BU151">
        <v>0</v>
      </c>
      <c r="BV151">
        <v>0</v>
      </c>
      <c r="BW151">
        <v>0</v>
      </c>
      <c r="CX151">
        <f>Y151*Source!I209</f>
        <v>4.4000000000000003E-3</v>
      </c>
      <c r="CY151">
        <f>AA151</f>
        <v>100.04</v>
      </c>
      <c r="CZ151">
        <f>AE151</f>
        <v>30.5</v>
      </c>
      <c r="DA151">
        <f>AI151</f>
        <v>3.28</v>
      </c>
      <c r="DB151">
        <f t="shared" si="26"/>
        <v>3.36</v>
      </c>
      <c r="DC151">
        <f t="shared" si="27"/>
        <v>0</v>
      </c>
    </row>
    <row r="152" spans="1:107">
      <c r="A152">
        <f>ROW(Source!A209)</f>
        <v>209</v>
      </c>
      <c r="B152">
        <v>35841400</v>
      </c>
      <c r="C152">
        <v>35847492</v>
      </c>
      <c r="D152">
        <v>29114470</v>
      </c>
      <c r="E152">
        <v>1</v>
      </c>
      <c r="F152">
        <v>1</v>
      </c>
      <c r="G152">
        <v>1</v>
      </c>
      <c r="H152">
        <v>3</v>
      </c>
      <c r="I152" t="s">
        <v>587</v>
      </c>
      <c r="J152" t="s">
        <v>588</v>
      </c>
      <c r="K152" t="s">
        <v>589</v>
      </c>
      <c r="L152">
        <v>1355</v>
      </c>
      <c r="N152">
        <v>1010</v>
      </c>
      <c r="O152" t="s">
        <v>53</v>
      </c>
      <c r="P152" t="s">
        <v>53</v>
      </c>
      <c r="Q152">
        <v>100</v>
      </c>
      <c r="W152">
        <v>0</v>
      </c>
      <c r="X152">
        <v>-228248654</v>
      </c>
      <c r="Y152">
        <v>1.02</v>
      </c>
      <c r="AA152">
        <v>55.19</v>
      </c>
      <c r="AB152">
        <v>0</v>
      </c>
      <c r="AC152">
        <v>0</v>
      </c>
      <c r="AD152">
        <v>0</v>
      </c>
      <c r="AE152">
        <v>86.24</v>
      </c>
      <c r="AF152">
        <v>0</v>
      </c>
      <c r="AG152">
        <v>0</v>
      </c>
      <c r="AH152">
        <v>0</v>
      </c>
      <c r="AI152">
        <v>0.64</v>
      </c>
      <c r="AJ152">
        <v>1</v>
      </c>
      <c r="AK152">
        <v>1</v>
      </c>
      <c r="AL152">
        <v>1</v>
      </c>
      <c r="AN152">
        <v>0</v>
      </c>
      <c r="AO152">
        <v>1</v>
      </c>
      <c r="AP152">
        <v>0</v>
      </c>
      <c r="AQ152">
        <v>0</v>
      </c>
      <c r="AR152">
        <v>0</v>
      </c>
      <c r="AS152" t="s">
        <v>3</v>
      </c>
      <c r="AT152">
        <v>1.02</v>
      </c>
      <c r="AU152" t="s">
        <v>3</v>
      </c>
      <c r="AV152">
        <v>0</v>
      </c>
      <c r="AW152">
        <v>2</v>
      </c>
      <c r="AX152">
        <v>36150434</v>
      </c>
      <c r="AY152">
        <v>1</v>
      </c>
      <c r="AZ152">
        <v>0</v>
      </c>
      <c r="BA152">
        <v>151</v>
      </c>
      <c r="BB152">
        <v>0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0</v>
      </c>
      <c r="BI152">
        <v>0</v>
      </c>
      <c r="BJ152">
        <v>0</v>
      </c>
      <c r="BK152">
        <v>0</v>
      </c>
      <c r="BL152">
        <v>0</v>
      </c>
      <c r="BM152">
        <v>0</v>
      </c>
      <c r="BN152">
        <v>0</v>
      </c>
      <c r="BO152">
        <v>0</v>
      </c>
      <c r="BP152">
        <v>0</v>
      </c>
      <c r="BQ152">
        <v>0</v>
      </c>
      <c r="BR152">
        <v>0</v>
      </c>
      <c r="BS152">
        <v>0</v>
      </c>
      <c r="BT152">
        <v>0</v>
      </c>
      <c r="BU152">
        <v>0</v>
      </c>
      <c r="BV152">
        <v>0</v>
      </c>
      <c r="BW152">
        <v>0</v>
      </c>
      <c r="CX152">
        <f>Y152*Source!I209</f>
        <v>4.0800000000000003E-2</v>
      </c>
      <c r="CY152">
        <f>AA152</f>
        <v>55.19</v>
      </c>
      <c r="CZ152">
        <f>AE152</f>
        <v>86.24</v>
      </c>
      <c r="DA152">
        <f>AI152</f>
        <v>0.64</v>
      </c>
      <c r="DB152">
        <f t="shared" si="26"/>
        <v>87.96</v>
      </c>
      <c r="DC152">
        <f t="shared" si="27"/>
        <v>0</v>
      </c>
    </row>
    <row r="153" spans="1:107">
      <c r="A153">
        <f>ROW(Source!A209)</f>
        <v>209</v>
      </c>
      <c r="B153">
        <v>35841400</v>
      </c>
      <c r="C153">
        <v>35847492</v>
      </c>
      <c r="D153">
        <v>29171808</v>
      </c>
      <c r="E153">
        <v>1</v>
      </c>
      <c r="F153">
        <v>1</v>
      </c>
      <c r="G153">
        <v>1</v>
      </c>
      <c r="H153">
        <v>3</v>
      </c>
      <c r="I153" t="s">
        <v>590</v>
      </c>
      <c r="J153" t="s">
        <v>591</v>
      </c>
      <c r="K153" t="s">
        <v>592</v>
      </c>
      <c r="L153">
        <v>1374</v>
      </c>
      <c r="N153">
        <v>1013</v>
      </c>
      <c r="O153" t="s">
        <v>593</v>
      </c>
      <c r="P153" t="s">
        <v>593</v>
      </c>
      <c r="Q153">
        <v>1</v>
      </c>
      <c r="W153">
        <v>0</v>
      </c>
      <c r="X153">
        <v>-915781824</v>
      </c>
      <c r="Y153">
        <v>6.86</v>
      </c>
      <c r="AA153">
        <v>1</v>
      </c>
      <c r="AB153">
        <v>0</v>
      </c>
      <c r="AC153">
        <v>0</v>
      </c>
      <c r="AD153">
        <v>0</v>
      </c>
      <c r="AE153">
        <v>1</v>
      </c>
      <c r="AF153">
        <v>0</v>
      </c>
      <c r="AG153">
        <v>0</v>
      </c>
      <c r="AH153">
        <v>0</v>
      </c>
      <c r="AI153">
        <v>1</v>
      </c>
      <c r="AJ153">
        <v>1</v>
      </c>
      <c r="AK153">
        <v>1</v>
      </c>
      <c r="AL153">
        <v>1</v>
      </c>
      <c r="AN153">
        <v>0</v>
      </c>
      <c r="AO153">
        <v>1</v>
      </c>
      <c r="AP153">
        <v>0</v>
      </c>
      <c r="AQ153">
        <v>0</v>
      </c>
      <c r="AR153">
        <v>0</v>
      </c>
      <c r="AS153" t="s">
        <v>3</v>
      </c>
      <c r="AT153">
        <v>6.86</v>
      </c>
      <c r="AU153" t="s">
        <v>3</v>
      </c>
      <c r="AV153">
        <v>0</v>
      </c>
      <c r="AW153">
        <v>2</v>
      </c>
      <c r="AX153">
        <v>36150435</v>
      </c>
      <c r="AY153">
        <v>1</v>
      </c>
      <c r="AZ153">
        <v>0</v>
      </c>
      <c r="BA153">
        <v>152</v>
      </c>
      <c r="BB153">
        <v>0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0</v>
      </c>
      <c r="BI153">
        <v>0</v>
      </c>
      <c r="BJ153">
        <v>0</v>
      </c>
      <c r="BK153">
        <v>0</v>
      </c>
      <c r="BL153">
        <v>0</v>
      </c>
      <c r="BM153">
        <v>0</v>
      </c>
      <c r="BN153">
        <v>0</v>
      </c>
      <c r="BO153">
        <v>0</v>
      </c>
      <c r="BP153">
        <v>0</v>
      </c>
      <c r="BQ153">
        <v>0</v>
      </c>
      <c r="BR153">
        <v>0</v>
      </c>
      <c r="BS153">
        <v>0</v>
      </c>
      <c r="BT153">
        <v>0</v>
      </c>
      <c r="BU153">
        <v>0</v>
      </c>
      <c r="BV153">
        <v>0</v>
      </c>
      <c r="BW153">
        <v>0</v>
      </c>
      <c r="CX153">
        <f>Y153*Source!I209</f>
        <v>0.27440000000000003</v>
      </c>
      <c r="CY153">
        <f>AA153</f>
        <v>1</v>
      </c>
      <c r="CZ153">
        <f>AE153</f>
        <v>1</v>
      </c>
      <c r="DA153">
        <f>AI153</f>
        <v>1</v>
      </c>
      <c r="DB153">
        <f t="shared" si="26"/>
        <v>6.86</v>
      </c>
      <c r="DC153">
        <f t="shared" si="27"/>
        <v>0</v>
      </c>
    </row>
    <row r="154" spans="1:107">
      <c r="A154">
        <f>ROW(Source!A211)</f>
        <v>211</v>
      </c>
      <c r="B154">
        <v>35841400</v>
      </c>
      <c r="C154">
        <v>35847517</v>
      </c>
      <c r="D154">
        <v>18410280</v>
      </c>
      <c r="E154">
        <v>1</v>
      </c>
      <c r="F154">
        <v>1</v>
      </c>
      <c r="G154">
        <v>1</v>
      </c>
      <c r="H154">
        <v>1</v>
      </c>
      <c r="I154" t="s">
        <v>597</v>
      </c>
      <c r="J154" t="s">
        <v>3</v>
      </c>
      <c r="K154" t="s">
        <v>598</v>
      </c>
      <c r="L154">
        <v>1369</v>
      </c>
      <c r="N154">
        <v>1013</v>
      </c>
      <c r="O154" t="s">
        <v>369</v>
      </c>
      <c r="P154" t="s">
        <v>369</v>
      </c>
      <c r="Q154">
        <v>1</v>
      </c>
      <c r="W154">
        <v>0</v>
      </c>
      <c r="X154">
        <v>-464685602</v>
      </c>
      <c r="Y154">
        <v>16.29</v>
      </c>
      <c r="AA154">
        <v>0</v>
      </c>
      <c r="AB154">
        <v>0</v>
      </c>
      <c r="AC154">
        <v>0</v>
      </c>
      <c r="AD154">
        <v>310.5</v>
      </c>
      <c r="AE154">
        <v>0</v>
      </c>
      <c r="AF154">
        <v>0</v>
      </c>
      <c r="AG154">
        <v>0</v>
      </c>
      <c r="AH154">
        <v>310.5</v>
      </c>
      <c r="AI154">
        <v>1</v>
      </c>
      <c r="AJ154">
        <v>1</v>
      </c>
      <c r="AK154">
        <v>1</v>
      </c>
      <c r="AL154">
        <v>1</v>
      </c>
      <c r="AN154">
        <v>0</v>
      </c>
      <c r="AO154">
        <v>1</v>
      </c>
      <c r="AP154">
        <v>0</v>
      </c>
      <c r="AQ154">
        <v>0</v>
      </c>
      <c r="AR154">
        <v>0</v>
      </c>
      <c r="AS154" t="s">
        <v>3</v>
      </c>
      <c r="AT154">
        <v>16.29</v>
      </c>
      <c r="AU154" t="s">
        <v>3</v>
      </c>
      <c r="AV154">
        <v>1</v>
      </c>
      <c r="AW154">
        <v>2</v>
      </c>
      <c r="AX154">
        <v>36150409</v>
      </c>
      <c r="AY154">
        <v>1</v>
      </c>
      <c r="AZ154">
        <v>0</v>
      </c>
      <c r="BA154">
        <v>153</v>
      </c>
      <c r="BB154">
        <v>0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0</v>
      </c>
      <c r="BI154">
        <v>0</v>
      </c>
      <c r="BJ154">
        <v>0</v>
      </c>
      <c r="BK154">
        <v>0</v>
      </c>
      <c r="BL154">
        <v>0</v>
      </c>
      <c r="BM154">
        <v>0</v>
      </c>
      <c r="BN154">
        <v>0</v>
      </c>
      <c r="BO154">
        <v>0</v>
      </c>
      <c r="BP154">
        <v>0</v>
      </c>
      <c r="BQ154">
        <v>0</v>
      </c>
      <c r="BR154">
        <v>0</v>
      </c>
      <c r="BS154">
        <v>0</v>
      </c>
      <c r="BT154">
        <v>0</v>
      </c>
      <c r="BU154">
        <v>0</v>
      </c>
      <c r="BV154">
        <v>0</v>
      </c>
      <c r="BW154">
        <v>0</v>
      </c>
      <c r="CX154">
        <f>Y154*Source!I211</f>
        <v>16.29</v>
      </c>
      <c r="CY154">
        <f>AD154</f>
        <v>310.5</v>
      </c>
      <c r="CZ154">
        <f>AH154</f>
        <v>310.5</v>
      </c>
      <c r="DA154">
        <f>AL154</f>
        <v>1</v>
      </c>
      <c r="DB154">
        <f t="shared" si="26"/>
        <v>5058.05</v>
      </c>
      <c r="DC154">
        <f t="shared" si="27"/>
        <v>0</v>
      </c>
    </row>
    <row r="155" spans="1:107">
      <c r="A155">
        <f>ROW(Source!A211)</f>
        <v>211</v>
      </c>
      <c r="B155">
        <v>35841400</v>
      </c>
      <c r="C155">
        <v>35847517</v>
      </c>
      <c r="D155">
        <v>121548</v>
      </c>
      <c r="E155">
        <v>1</v>
      </c>
      <c r="F155">
        <v>1</v>
      </c>
      <c r="G155">
        <v>1</v>
      </c>
      <c r="H155">
        <v>1</v>
      </c>
      <c r="I155" t="s">
        <v>212</v>
      </c>
      <c r="J155" t="s">
        <v>3</v>
      </c>
      <c r="K155" t="s">
        <v>374</v>
      </c>
      <c r="L155">
        <v>608254</v>
      </c>
      <c r="N155">
        <v>1013</v>
      </c>
      <c r="O155" t="s">
        <v>375</v>
      </c>
      <c r="P155" t="s">
        <v>375</v>
      </c>
      <c r="Q155">
        <v>1</v>
      </c>
      <c r="W155">
        <v>0</v>
      </c>
      <c r="X155">
        <v>-185737400</v>
      </c>
      <c r="Y155">
        <v>0.01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1</v>
      </c>
      <c r="AJ155">
        <v>1</v>
      </c>
      <c r="AK155">
        <v>1</v>
      </c>
      <c r="AL155">
        <v>1</v>
      </c>
      <c r="AN155">
        <v>0</v>
      </c>
      <c r="AO155">
        <v>1</v>
      </c>
      <c r="AP155">
        <v>0</v>
      </c>
      <c r="AQ155">
        <v>0</v>
      </c>
      <c r="AR155">
        <v>0</v>
      </c>
      <c r="AS155" t="s">
        <v>3</v>
      </c>
      <c r="AT155">
        <v>0.01</v>
      </c>
      <c r="AU155" t="s">
        <v>3</v>
      </c>
      <c r="AV155">
        <v>2</v>
      </c>
      <c r="AW155">
        <v>2</v>
      </c>
      <c r="AX155">
        <v>36150410</v>
      </c>
      <c r="AY155">
        <v>1</v>
      </c>
      <c r="AZ155">
        <v>0</v>
      </c>
      <c r="BA155">
        <v>154</v>
      </c>
      <c r="BB155">
        <v>0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0</v>
      </c>
      <c r="BI155">
        <v>0</v>
      </c>
      <c r="BJ155">
        <v>0</v>
      </c>
      <c r="BK155">
        <v>0</v>
      </c>
      <c r="BL155">
        <v>0</v>
      </c>
      <c r="BM155">
        <v>0</v>
      </c>
      <c r="BN155">
        <v>0</v>
      </c>
      <c r="BO155">
        <v>0</v>
      </c>
      <c r="BP155">
        <v>0</v>
      </c>
      <c r="BQ155">
        <v>0</v>
      </c>
      <c r="BR155">
        <v>0</v>
      </c>
      <c r="BS155">
        <v>0</v>
      </c>
      <c r="BT155">
        <v>0</v>
      </c>
      <c r="BU155">
        <v>0</v>
      </c>
      <c r="BV155">
        <v>0</v>
      </c>
      <c r="BW155">
        <v>0</v>
      </c>
      <c r="CX155">
        <f>Y155*Source!I211</f>
        <v>0.01</v>
      </c>
      <c r="CY155">
        <f>AD155</f>
        <v>0</v>
      </c>
      <c r="CZ155">
        <f>AH155</f>
        <v>0</v>
      </c>
      <c r="DA155">
        <f>AL155</f>
        <v>1</v>
      </c>
      <c r="DB155">
        <f t="shared" si="26"/>
        <v>0</v>
      </c>
      <c r="DC155">
        <f t="shared" si="27"/>
        <v>0</v>
      </c>
    </row>
    <row r="156" spans="1:107">
      <c r="A156">
        <f>ROW(Source!A211)</f>
        <v>211</v>
      </c>
      <c r="B156">
        <v>35841400</v>
      </c>
      <c r="C156">
        <v>35847517</v>
      </c>
      <c r="D156">
        <v>29172556</v>
      </c>
      <c r="E156">
        <v>1</v>
      </c>
      <c r="F156">
        <v>1</v>
      </c>
      <c r="G156">
        <v>1</v>
      </c>
      <c r="H156">
        <v>2</v>
      </c>
      <c r="I156" t="s">
        <v>376</v>
      </c>
      <c r="J156" t="s">
        <v>377</v>
      </c>
      <c r="K156" t="s">
        <v>378</v>
      </c>
      <c r="L156">
        <v>1368</v>
      </c>
      <c r="N156">
        <v>1011</v>
      </c>
      <c r="O156" t="s">
        <v>379</v>
      </c>
      <c r="P156" t="s">
        <v>379</v>
      </c>
      <c r="Q156">
        <v>1</v>
      </c>
      <c r="W156">
        <v>0</v>
      </c>
      <c r="X156">
        <v>-1302720870</v>
      </c>
      <c r="Y156">
        <v>0.01</v>
      </c>
      <c r="AA156">
        <v>0</v>
      </c>
      <c r="AB156">
        <v>466.71</v>
      </c>
      <c r="AC156">
        <v>446.18</v>
      </c>
      <c r="AD156">
        <v>0</v>
      </c>
      <c r="AE156">
        <v>0</v>
      </c>
      <c r="AF156">
        <v>31.26</v>
      </c>
      <c r="AG156">
        <v>13.5</v>
      </c>
      <c r="AH156">
        <v>0</v>
      </c>
      <c r="AI156">
        <v>1</v>
      </c>
      <c r="AJ156">
        <v>14.93</v>
      </c>
      <c r="AK156">
        <v>33.049999999999997</v>
      </c>
      <c r="AL156">
        <v>1</v>
      </c>
      <c r="AN156">
        <v>0</v>
      </c>
      <c r="AO156">
        <v>1</v>
      </c>
      <c r="AP156">
        <v>0</v>
      </c>
      <c r="AQ156">
        <v>0</v>
      </c>
      <c r="AR156">
        <v>0</v>
      </c>
      <c r="AS156" t="s">
        <v>3</v>
      </c>
      <c r="AT156">
        <v>0.01</v>
      </c>
      <c r="AU156" t="s">
        <v>3</v>
      </c>
      <c r="AV156">
        <v>0</v>
      </c>
      <c r="AW156">
        <v>2</v>
      </c>
      <c r="AX156">
        <v>36150411</v>
      </c>
      <c r="AY156">
        <v>1</v>
      </c>
      <c r="AZ156">
        <v>0</v>
      </c>
      <c r="BA156">
        <v>155</v>
      </c>
      <c r="BB156">
        <v>0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0</v>
      </c>
      <c r="BI156">
        <v>0</v>
      </c>
      <c r="BJ156">
        <v>0</v>
      </c>
      <c r="BK156">
        <v>0</v>
      </c>
      <c r="BL156">
        <v>0</v>
      </c>
      <c r="BM156">
        <v>0</v>
      </c>
      <c r="BN156">
        <v>0</v>
      </c>
      <c r="BO156">
        <v>0</v>
      </c>
      <c r="BP156">
        <v>0</v>
      </c>
      <c r="BQ156">
        <v>0</v>
      </c>
      <c r="BR156">
        <v>0</v>
      </c>
      <c r="BS156">
        <v>0</v>
      </c>
      <c r="BT156">
        <v>0</v>
      </c>
      <c r="BU156">
        <v>0</v>
      </c>
      <c r="BV156">
        <v>0</v>
      </c>
      <c r="BW156">
        <v>0</v>
      </c>
      <c r="CX156">
        <f>Y156*Source!I211</f>
        <v>0.01</v>
      </c>
      <c r="CY156">
        <f>AB156</f>
        <v>466.71</v>
      </c>
      <c r="CZ156">
        <f>AF156</f>
        <v>31.26</v>
      </c>
      <c r="DA156">
        <f>AJ156</f>
        <v>14.93</v>
      </c>
      <c r="DB156">
        <f t="shared" si="26"/>
        <v>0.31</v>
      </c>
      <c r="DC156">
        <f t="shared" si="27"/>
        <v>0.14000000000000001</v>
      </c>
    </row>
    <row r="157" spans="1:107">
      <c r="A157">
        <f>ROW(Source!A211)</f>
        <v>211</v>
      </c>
      <c r="B157">
        <v>35841400</v>
      </c>
      <c r="C157">
        <v>35847517</v>
      </c>
      <c r="D157">
        <v>29173472</v>
      </c>
      <c r="E157">
        <v>1</v>
      </c>
      <c r="F157">
        <v>1</v>
      </c>
      <c r="G157">
        <v>1</v>
      </c>
      <c r="H157">
        <v>2</v>
      </c>
      <c r="I157" t="s">
        <v>449</v>
      </c>
      <c r="J157" t="s">
        <v>450</v>
      </c>
      <c r="K157" t="s">
        <v>451</v>
      </c>
      <c r="L157">
        <v>1368</v>
      </c>
      <c r="N157">
        <v>1011</v>
      </c>
      <c r="O157" t="s">
        <v>379</v>
      </c>
      <c r="P157" t="s">
        <v>379</v>
      </c>
      <c r="Q157">
        <v>1</v>
      </c>
      <c r="W157">
        <v>0</v>
      </c>
      <c r="X157">
        <v>275932499</v>
      </c>
      <c r="Y157">
        <v>6.08</v>
      </c>
      <c r="AA157">
        <v>0</v>
      </c>
      <c r="AB157">
        <v>12.75</v>
      </c>
      <c r="AC157">
        <v>0</v>
      </c>
      <c r="AD157">
        <v>0</v>
      </c>
      <c r="AE157">
        <v>0</v>
      </c>
      <c r="AF157">
        <v>3</v>
      </c>
      <c r="AG157">
        <v>0</v>
      </c>
      <c r="AH157">
        <v>0</v>
      </c>
      <c r="AI157">
        <v>1</v>
      </c>
      <c r="AJ157">
        <v>4.25</v>
      </c>
      <c r="AK157">
        <v>33.049999999999997</v>
      </c>
      <c r="AL157">
        <v>1</v>
      </c>
      <c r="AN157">
        <v>0</v>
      </c>
      <c r="AO157">
        <v>1</v>
      </c>
      <c r="AP157">
        <v>0</v>
      </c>
      <c r="AQ157">
        <v>0</v>
      </c>
      <c r="AR157">
        <v>0</v>
      </c>
      <c r="AS157" t="s">
        <v>3</v>
      </c>
      <c r="AT157">
        <v>6.08</v>
      </c>
      <c r="AU157" t="s">
        <v>3</v>
      </c>
      <c r="AV157">
        <v>0</v>
      </c>
      <c r="AW157">
        <v>2</v>
      </c>
      <c r="AX157">
        <v>36150412</v>
      </c>
      <c r="AY157">
        <v>1</v>
      </c>
      <c r="AZ157">
        <v>0</v>
      </c>
      <c r="BA157">
        <v>156</v>
      </c>
      <c r="BB157">
        <v>0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0</v>
      </c>
      <c r="BI157">
        <v>0</v>
      </c>
      <c r="BJ157">
        <v>0</v>
      </c>
      <c r="BK157">
        <v>0</v>
      </c>
      <c r="BL157">
        <v>0</v>
      </c>
      <c r="BM157">
        <v>0</v>
      </c>
      <c r="BN157">
        <v>0</v>
      </c>
      <c r="BO157">
        <v>0</v>
      </c>
      <c r="BP157">
        <v>0</v>
      </c>
      <c r="BQ157">
        <v>0</v>
      </c>
      <c r="BR157">
        <v>0</v>
      </c>
      <c r="BS157">
        <v>0</v>
      </c>
      <c r="BT157">
        <v>0</v>
      </c>
      <c r="BU157">
        <v>0</v>
      </c>
      <c r="BV157">
        <v>0</v>
      </c>
      <c r="BW157">
        <v>0</v>
      </c>
      <c r="CX157">
        <f>Y157*Source!I211</f>
        <v>6.08</v>
      </c>
      <c r="CY157">
        <f>AB157</f>
        <v>12.75</v>
      </c>
      <c r="CZ157">
        <f>AF157</f>
        <v>3</v>
      </c>
      <c r="DA157">
        <f>AJ157</f>
        <v>4.25</v>
      </c>
      <c r="DB157">
        <f t="shared" si="26"/>
        <v>18.239999999999998</v>
      </c>
      <c r="DC157">
        <f t="shared" si="27"/>
        <v>0</v>
      </c>
    </row>
    <row r="158" spans="1:107">
      <c r="A158">
        <f>ROW(Source!A211)</f>
        <v>211</v>
      </c>
      <c r="B158">
        <v>35841400</v>
      </c>
      <c r="C158">
        <v>35847517</v>
      </c>
      <c r="D158">
        <v>29174580</v>
      </c>
      <c r="E158">
        <v>1</v>
      </c>
      <c r="F158">
        <v>1</v>
      </c>
      <c r="G158">
        <v>1</v>
      </c>
      <c r="H158">
        <v>2</v>
      </c>
      <c r="I158" t="s">
        <v>599</v>
      </c>
      <c r="J158" t="s">
        <v>600</v>
      </c>
      <c r="K158" t="s">
        <v>601</v>
      </c>
      <c r="L158">
        <v>1368</v>
      </c>
      <c r="N158">
        <v>1011</v>
      </c>
      <c r="O158" t="s">
        <v>379</v>
      </c>
      <c r="P158" t="s">
        <v>379</v>
      </c>
      <c r="Q158">
        <v>1</v>
      </c>
      <c r="W158">
        <v>0</v>
      </c>
      <c r="X158">
        <v>-169468834</v>
      </c>
      <c r="Y158">
        <v>6.08</v>
      </c>
      <c r="AA158">
        <v>0</v>
      </c>
      <c r="AB158">
        <v>31.87</v>
      </c>
      <c r="AC158">
        <v>0</v>
      </c>
      <c r="AD158">
        <v>0</v>
      </c>
      <c r="AE158">
        <v>0</v>
      </c>
      <c r="AF158">
        <v>2.08</v>
      </c>
      <c r="AG158">
        <v>0</v>
      </c>
      <c r="AH158">
        <v>0</v>
      </c>
      <c r="AI158">
        <v>1</v>
      </c>
      <c r="AJ158">
        <v>15.32</v>
      </c>
      <c r="AK158">
        <v>33.049999999999997</v>
      </c>
      <c r="AL158">
        <v>1</v>
      </c>
      <c r="AN158">
        <v>0</v>
      </c>
      <c r="AO158">
        <v>1</v>
      </c>
      <c r="AP158">
        <v>0</v>
      </c>
      <c r="AQ158">
        <v>0</v>
      </c>
      <c r="AR158">
        <v>0</v>
      </c>
      <c r="AS158" t="s">
        <v>3</v>
      </c>
      <c r="AT158">
        <v>6.08</v>
      </c>
      <c r="AU158" t="s">
        <v>3</v>
      </c>
      <c r="AV158">
        <v>0</v>
      </c>
      <c r="AW158">
        <v>2</v>
      </c>
      <c r="AX158">
        <v>36150413</v>
      </c>
      <c r="AY158">
        <v>1</v>
      </c>
      <c r="AZ158">
        <v>0</v>
      </c>
      <c r="BA158">
        <v>157</v>
      </c>
      <c r="BB158">
        <v>0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0</v>
      </c>
      <c r="BI158">
        <v>0</v>
      </c>
      <c r="BJ158">
        <v>0</v>
      </c>
      <c r="BK158">
        <v>0</v>
      </c>
      <c r="BL158">
        <v>0</v>
      </c>
      <c r="BM158">
        <v>0</v>
      </c>
      <c r="BN158">
        <v>0</v>
      </c>
      <c r="BO158">
        <v>0</v>
      </c>
      <c r="BP158">
        <v>0</v>
      </c>
      <c r="BQ158">
        <v>0</v>
      </c>
      <c r="BR158">
        <v>0</v>
      </c>
      <c r="BS158">
        <v>0</v>
      </c>
      <c r="BT158">
        <v>0</v>
      </c>
      <c r="BU158">
        <v>0</v>
      </c>
      <c r="BV158">
        <v>0</v>
      </c>
      <c r="BW158">
        <v>0</v>
      </c>
      <c r="CX158">
        <f>Y158*Source!I211</f>
        <v>6.08</v>
      </c>
      <c r="CY158">
        <f>AB158</f>
        <v>31.87</v>
      </c>
      <c r="CZ158">
        <f>AF158</f>
        <v>2.08</v>
      </c>
      <c r="DA158">
        <f>AJ158</f>
        <v>15.32</v>
      </c>
      <c r="DB158">
        <f t="shared" si="26"/>
        <v>12.65</v>
      </c>
      <c r="DC158">
        <f t="shared" si="27"/>
        <v>0</v>
      </c>
    </row>
    <row r="159" spans="1:107">
      <c r="A159">
        <f>ROW(Source!A211)</f>
        <v>211</v>
      </c>
      <c r="B159">
        <v>35841400</v>
      </c>
      <c r="C159">
        <v>35847517</v>
      </c>
      <c r="D159">
        <v>29114688</v>
      </c>
      <c r="E159">
        <v>1</v>
      </c>
      <c r="F159">
        <v>1</v>
      </c>
      <c r="G159">
        <v>1</v>
      </c>
      <c r="H159">
        <v>3</v>
      </c>
      <c r="I159" t="s">
        <v>584</v>
      </c>
      <c r="J159" t="s">
        <v>585</v>
      </c>
      <c r="K159" t="s">
        <v>586</v>
      </c>
      <c r="L159">
        <v>1348</v>
      </c>
      <c r="N159">
        <v>1009</v>
      </c>
      <c r="O159" t="s">
        <v>27</v>
      </c>
      <c r="P159" t="s">
        <v>27</v>
      </c>
      <c r="Q159">
        <v>1000</v>
      </c>
      <c r="W159">
        <v>0</v>
      </c>
      <c r="X159">
        <v>1008226964</v>
      </c>
      <c r="Y159">
        <v>1E-3</v>
      </c>
      <c r="AA159">
        <v>98197</v>
      </c>
      <c r="AB159">
        <v>0</v>
      </c>
      <c r="AC159">
        <v>0</v>
      </c>
      <c r="AD159">
        <v>0</v>
      </c>
      <c r="AE159">
        <v>12430</v>
      </c>
      <c r="AF159">
        <v>0</v>
      </c>
      <c r="AG159">
        <v>0</v>
      </c>
      <c r="AH159">
        <v>0</v>
      </c>
      <c r="AI159">
        <v>7.9</v>
      </c>
      <c r="AJ159">
        <v>1</v>
      </c>
      <c r="AK159">
        <v>1</v>
      </c>
      <c r="AL159">
        <v>1</v>
      </c>
      <c r="AN159">
        <v>0</v>
      </c>
      <c r="AO159">
        <v>1</v>
      </c>
      <c r="AP159">
        <v>0</v>
      </c>
      <c r="AQ159">
        <v>0</v>
      </c>
      <c r="AR159">
        <v>0</v>
      </c>
      <c r="AS159" t="s">
        <v>3</v>
      </c>
      <c r="AT159">
        <v>1E-3</v>
      </c>
      <c r="AU159" t="s">
        <v>3</v>
      </c>
      <c r="AV159">
        <v>0</v>
      </c>
      <c r="AW159">
        <v>2</v>
      </c>
      <c r="AX159">
        <v>36150414</v>
      </c>
      <c r="AY159">
        <v>1</v>
      </c>
      <c r="AZ159">
        <v>0</v>
      </c>
      <c r="BA159">
        <v>158</v>
      </c>
      <c r="BB159">
        <v>0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0</v>
      </c>
      <c r="BI159">
        <v>0</v>
      </c>
      <c r="BJ159">
        <v>0</v>
      </c>
      <c r="BK159">
        <v>0</v>
      </c>
      <c r="BL159">
        <v>0</v>
      </c>
      <c r="BM159">
        <v>0</v>
      </c>
      <c r="BN159">
        <v>0</v>
      </c>
      <c r="BO159">
        <v>0</v>
      </c>
      <c r="BP159">
        <v>0</v>
      </c>
      <c r="BQ159">
        <v>0</v>
      </c>
      <c r="BR159">
        <v>0</v>
      </c>
      <c r="BS159">
        <v>0</v>
      </c>
      <c r="BT159">
        <v>0</v>
      </c>
      <c r="BU159">
        <v>0</v>
      </c>
      <c r="BV159">
        <v>0</v>
      </c>
      <c r="BW159">
        <v>0</v>
      </c>
      <c r="CX159">
        <f>Y159*Source!I211</f>
        <v>1E-3</v>
      </c>
      <c r="CY159">
        <f>AA159</f>
        <v>98197</v>
      </c>
      <c r="CZ159">
        <f>AE159</f>
        <v>12430</v>
      </c>
      <c r="DA159">
        <f>AI159</f>
        <v>7.9</v>
      </c>
      <c r="DB159">
        <f t="shared" si="26"/>
        <v>12.43</v>
      </c>
      <c r="DC159">
        <f t="shared" si="27"/>
        <v>0</v>
      </c>
    </row>
    <row r="160" spans="1:107">
      <c r="A160">
        <f>ROW(Source!A211)</f>
        <v>211</v>
      </c>
      <c r="B160">
        <v>35841400</v>
      </c>
      <c r="C160">
        <v>35847517</v>
      </c>
      <c r="D160">
        <v>29114472</v>
      </c>
      <c r="E160">
        <v>1</v>
      </c>
      <c r="F160">
        <v>1</v>
      </c>
      <c r="G160">
        <v>1</v>
      </c>
      <c r="H160">
        <v>3</v>
      </c>
      <c r="I160" t="s">
        <v>602</v>
      </c>
      <c r="J160" t="s">
        <v>603</v>
      </c>
      <c r="K160" t="s">
        <v>604</v>
      </c>
      <c r="L160">
        <v>1358</v>
      </c>
      <c r="N160">
        <v>1010</v>
      </c>
      <c r="O160" t="s">
        <v>537</v>
      </c>
      <c r="P160" t="s">
        <v>537</v>
      </c>
      <c r="Q160">
        <v>10</v>
      </c>
      <c r="W160">
        <v>0</v>
      </c>
      <c r="X160">
        <v>2117263208</v>
      </c>
      <c r="Y160">
        <v>20</v>
      </c>
      <c r="AA160">
        <v>1.84</v>
      </c>
      <c r="AB160">
        <v>0</v>
      </c>
      <c r="AC160">
        <v>0</v>
      </c>
      <c r="AD160">
        <v>0</v>
      </c>
      <c r="AE160">
        <v>1.79</v>
      </c>
      <c r="AF160">
        <v>0</v>
      </c>
      <c r="AG160">
        <v>0</v>
      </c>
      <c r="AH160">
        <v>0</v>
      </c>
      <c r="AI160">
        <v>1.03</v>
      </c>
      <c r="AJ160">
        <v>1</v>
      </c>
      <c r="AK160">
        <v>1</v>
      </c>
      <c r="AL160">
        <v>1</v>
      </c>
      <c r="AN160">
        <v>0</v>
      </c>
      <c r="AO160">
        <v>1</v>
      </c>
      <c r="AP160">
        <v>0</v>
      </c>
      <c r="AQ160">
        <v>0</v>
      </c>
      <c r="AR160">
        <v>0</v>
      </c>
      <c r="AS160" t="s">
        <v>3</v>
      </c>
      <c r="AT160">
        <v>20</v>
      </c>
      <c r="AU160" t="s">
        <v>3</v>
      </c>
      <c r="AV160">
        <v>0</v>
      </c>
      <c r="AW160">
        <v>2</v>
      </c>
      <c r="AX160">
        <v>36150415</v>
      </c>
      <c r="AY160">
        <v>1</v>
      </c>
      <c r="AZ160">
        <v>0</v>
      </c>
      <c r="BA160">
        <v>159</v>
      </c>
      <c r="BB160">
        <v>0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0</v>
      </c>
      <c r="BI160">
        <v>0</v>
      </c>
      <c r="BJ160">
        <v>0</v>
      </c>
      <c r="BK160">
        <v>0</v>
      </c>
      <c r="BL160">
        <v>0</v>
      </c>
      <c r="BM160">
        <v>0</v>
      </c>
      <c r="BN160">
        <v>0</v>
      </c>
      <c r="BO160">
        <v>0</v>
      </c>
      <c r="BP160">
        <v>0</v>
      </c>
      <c r="BQ160">
        <v>0</v>
      </c>
      <c r="BR160">
        <v>0</v>
      </c>
      <c r="BS160">
        <v>0</v>
      </c>
      <c r="BT160">
        <v>0</v>
      </c>
      <c r="BU160">
        <v>0</v>
      </c>
      <c r="BV160">
        <v>0</v>
      </c>
      <c r="BW160">
        <v>0</v>
      </c>
      <c r="CX160">
        <f>Y160*Source!I211</f>
        <v>20</v>
      </c>
      <c r="CY160">
        <f>AA160</f>
        <v>1.84</v>
      </c>
      <c r="CZ160">
        <f>AE160</f>
        <v>1.79</v>
      </c>
      <c r="DA160">
        <f>AI160</f>
        <v>1.03</v>
      </c>
      <c r="DB160">
        <f t="shared" si="26"/>
        <v>35.799999999999997</v>
      </c>
      <c r="DC160">
        <f t="shared" si="27"/>
        <v>0</v>
      </c>
    </row>
    <row r="161" spans="1:107">
      <c r="A161">
        <f>ROW(Source!A211)</f>
        <v>211</v>
      </c>
      <c r="B161">
        <v>35841400</v>
      </c>
      <c r="C161">
        <v>35847517</v>
      </c>
      <c r="D161">
        <v>29171808</v>
      </c>
      <c r="E161">
        <v>1</v>
      </c>
      <c r="F161">
        <v>1</v>
      </c>
      <c r="G161">
        <v>1</v>
      </c>
      <c r="H161">
        <v>3</v>
      </c>
      <c r="I161" t="s">
        <v>590</v>
      </c>
      <c r="J161" t="s">
        <v>591</v>
      </c>
      <c r="K161" t="s">
        <v>592</v>
      </c>
      <c r="L161">
        <v>1374</v>
      </c>
      <c r="N161">
        <v>1013</v>
      </c>
      <c r="O161" t="s">
        <v>593</v>
      </c>
      <c r="P161" t="s">
        <v>593</v>
      </c>
      <c r="Q161">
        <v>1</v>
      </c>
      <c r="W161">
        <v>0</v>
      </c>
      <c r="X161">
        <v>-915781824</v>
      </c>
      <c r="Y161">
        <v>3.1</v>
      </c>
      <c r="AA161">
        <v>1</v>
      </c>
      <c r="AB161">
        <v>0</v>
      </c>
      <c r="AC161">
        <v>0</v>
      </c>
      <c r="AD161">
        <v>0</v>
      </c>
      <c r="AE161">
        <v>1</v>
      </c>
      <c r="AF161">
        <v>0</v>
      </c>
      <c r="AG161">
        <v>0</v>
      </c>
      <c r="AH161">
        <v>0</v>
      </c>
      <c r="AI161">
        <v>1</v>
      </c>
      <c r="AJ161">
        <v>1</v>
      </c>
      <c r="AK161">
        <v>1</v>
      </c>
      <c r="AL161">
        <v>1</v>
      </c>
      <c r="AN161">
        <v>0</v>
      </c>
      <c r="AO161">
        <v>1</v>
      </c>
      <c r="AP161">
        <v>0</v>
      </c>
      <c r="AQ161">
        <v>0</v>
      </c>
      <c r="AR161">
        <v>0</v>
      </c>
      <c r="AS161" t="s">
        <v>3</v>
      </c>
      <c r="AT161">
        <v>3.1</v>
      </c>
      <c r="AU161" t="s">
        <v>3</v>
      </c>
      <c r="AV161">
        <v>0</v>
      </c>
      <c r="AW161">
        <v>2</v>
      </c>
      <c r="AX161">
        <v>36150416</v>
      </c>
      <c r="AY161">
        <v>1</v>
      </c>
      <c r="AZ161">
        <v>0</v>
      </c>
      <c r="BA161">
        <v>160</v>
      </c>
      <c r="BB161">
        <v>0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0</v>
      </c>
      <c r="BI161">
        <v>0</v>
      </c>
      <c r="BJ161">
        <v>0</v>
      </c>
      <c r="BK161">
        <v>0</v>
      </c>
      <c r="BL161">
        <v>0</v>
      </c>
      <c r="BM161">
        <v>0</v>
      </c>
      <c r="BN161">
        <v>0</v>
      </c>
      <c r="BO161">
        <v>0</v>
      </c>
      <c r="BP161">
        <v>0</v>
      </c>
      <c r="BQ161">
        <v>0</v>
      </c>
      <c r="BR161">
        <v>0</v>
      </c>
      <c r="BS161">
        <v>0</v>
      </c>
      <c r="BT161">
        <v>0</v>
      </c>
      <c r="BU161">
        <v>0</v>
      </c>
      <c r="BV161">
        <v>0</v>
      </c>
      <c r="BW161">
        <v>0</v>
      </c>
      <c r="CX161">
        <f>Y161*Source!I211</f>
        <v>3.1</v>
      </c>
      <c r="CY161">
        <f>AA161</f>
        <v>1</v>
      </c>
      <c r="CZ161">
        <f>AE161</f>
        <v>1</v>
      </c>
      <c r="DA161">
        <f>AI161</f>
        <v>1</v>
      </c>
      <c r="DB161">
        <f t="shared" si="26"/>
        <v>3.1</v>
      </c>
      <c r="DC161">
        <f t="shared" si="27"/>
        <v>0</v>
      </c>
    </row>
    <row r="162" spans="1:107">
      <c r="A162">
        <f>ROW(Source!A212)</f>
        <v>212</v>
      </c>
      <c r="B162">
        <v>35841400</v>
      </c>
      <c r="C162">
        <v>35847526</v>
      </c>
      <c r="D162">
        <v>29361034</v>
      </c>
      <c r="E162">
        <v>1</v>
      </c>
      <c r="F162">
        <v>1</v>
      </c>
      <c r="G162">
        <v>1</v>
      </c>
      <c r="H162">
        <v>1</v>
      </c>
      <c r="I162" t="s">
        <v>605</v>
      </c>
      <c r="J162" t="s">
        <v>3</v>
      </c>
      <c r="K162" t="s">
        <v>606</v>
      </c>
      <c r="L162">
        <v>1369</v>
      </c>
      <c r="N162">
        <v>1013</v>
      </c>
      <c r="O162" t="s">
        <v>369</v>
      </c>
      <c r="P162" t="s">
        <v>369</v>
      </c>
      <c r="Q162">
        <v>1</v>
      </c>
      <c r="W162">
        <v>0</v>
      </c>
      <c r="X162">
        <v>184923391</v>
      </c>
      <c r="Y162">
        <v>3.2429999999999994</v>
      </c>
      <c r="AA162">
        <v>0</v>
      </c>
      <c r="AB162">
        <v>0</v>
      </c>
      <c r="AC162">
        <v>0</v>
      </c>
      <c r="AD162">
        <v>306.91000000000003</v>
      </c>
      <c r="AE162">
        <v>0</v>
      </c>
      <c r="AF162">
        <v>0</v>
      </c>
      <c r="AG162">
        <v>0</v>
      </c>
      <c r="AH162">
        <v>306.91000000000003</v>
      </c>
      <c r="AI162">
        <v>1</v>
      </c>
      <c r="AJ162">
        <v>1</v>
      </c>
      <c r="AK162">
        <v>1</v>
      </c>
      <c r="AL162">
        <v>1</v>
      </c>
      <c r="AN162">
        <v>0</v>
      </c>
      <c r="AO162">
        <v>1</v>
      </c>
      <c r="AP162">
        <v>1</v>
      </c>
      <c r="AQ162">
        <v>0</v>
      </c>
      <c r="AR162">
        <v>0</v>
      </c>
      <c r="AS162" t="s">
        <v>3</v>
      </c>
      <c r="AT162">
        <v>2.82</v>
      </c>
      <c r="AU162" t="s">
        <v>147</v>
      </c>
      <c r="AV162">
        <v>1</v>
      </c>
      <c r="AW162">
        <v>2</v>
      </c>
      <c r="AX162">
        <v>35847527</v>
      </c>
      <c r="AY162">
        <v>1</v>
      </c>
      <c r="AZ162">
        <v>0</v>
      </c>
      <c r="BA162">
        <v>161</v>
      </c>
      <c r="BB162">
        <v>0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0</v>
      </c>
      <c r="BI162">
        <v>0</v>
      </c>
      <c r="BJ162">
        <v>0</v>
      </c>
      <c r="BK162">
        <v>0</v>
      </c>
      <c r="BL162">
        <v>0</v>
      </c>
      <c r="BM162">
        <v>0</v>
      </c>
      <c r="BN162">
        <v>0</v>
      </c>
      <c r="BO162">
        <v>0</v>
      </c>
      <c r="BP162">
        <v>0</v>
      </c>
      <c r="BQ162">
        <v>0</v>
      </c>
      <c r="BR162">
        <v>0</v>
      </c>
      <c r="BS162">
        <v>0</v>
      </c>
      <c r="BT162">
        <v>0</v>
      </c>
      <c r="BU162">
        <v>0</v>
      </c>
      <c r="BV162">
        <v>0</v>
      </c>
      <c r="BW162">
        <v>0</v>
      </c>
      <c r="CX162">
        <f>Y162*Source!I212</f>
        <v>3.2429999999999994</v>
      </c>
      <c r="CY162">
        <f>AD162</f>
        <v>306.91000000000003</v>
      </c>
      <c r="CZ162">
        <f>AH162</f>
        <v>306.91000000000003</v>
      </c>
      <c r="DA162">
        <f>AL162</f>
        <v>1</v>
      </c>
      <c r="DB162">
        <f>ROUND((ROUND(AT162*CZ162,2)*1.15),6)</f>
        <v>995.31349999999998</v>
      </c>
      <c r="DC162">
        <f>ROUND((ROUND(AT162*AG162,2)*1.15),6)</f>
        <v>0</v>
      </c>
    </row>
    <row r="163" spans="1:107">
      <c r="A163">
        <f>ROW(Source!A212)</f>
        <v>212</v>
      </c>
      <c r="B163">
        <v>35841400</v>
      </c>
      <c r="C163">
        <v>35847526</v>
      </c>
      <c r="D163">
        <v>121548</v>
      </c>
      <c r="E163">
        <v>1</v>
      </c>
      <c r="F163">
        <v>1</v>
      </c>
      <c r="G163">
        <v>1</v>
      </c>
      <c r="H163">
        <v>1</v>
      </c>
      <c r="I163" t="s">
        <v>212</v>
      </c>
      <c r="J163" t="s">
        <v>3</v>
      </c>
      <c r="K163" t="s">
        <v>374</v>
      </c>
      <c r="L163">
        <v>608254</v>
      </c>
      <c r="N163">
        <v>1013</v>
      </c>
      <c r="O163" t="s">
        <v>375</v>
      </c>
      <c r="P163" t="s">
        <v>375</v>
      </c>
      <c r="Q163">
        <v>1</v>
      </c>
      <c r="W163">
        <v>0</v>
      </c>
      <c r="X163">
        <v>-185737400</v>
      </c>
      <c r="Y163">
        <v>0.01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1</v>
      </c>
      <c r="AJ163">
        <v>1</v>
      </c>
      <c r="AK163">
        <v>1</v>
      </c>
      <c r="AL163">
        <v>1</v>
      </c>
      <c r="AN163">
        <v>0</v>
      </c>
      <c r="AO163">
        <v>1</v>
      </c>
      <c r="AP163">
        <v>0</v>
      </c>
      <c r="AQ163">
        <v>0</v>
      </c>
      <c r="AR163">
        <v>0</v>
      </c>
      <c r="AS163" t="s">
        <v>3</v>
      </c>
      <c r="AT163">
        <v>0.01</v>
      </c>
      <c r="AU163" t="s">
        <v>3</v>
      </c>
      <c r="AV163">
        <v>2</v>
      </c>
      <c r="AW163">
        <v>2</v>
      </c>
      <c r="AX163">
        <v>35847528</v>
      </c>
      <c r="AY163">
        <v>1</v>
      </c>
      <c r="AZ163">
        <v>0</v>
      </c>
      <c r="BA163">
        <v>162</v>
      </c>
      <c r="BB163">
        <v>0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0</v>
      </c>
      <c r="BI163">
        <v>0</v>
      </c>
      <c r="BJ163">
        <v>0</v>
      </c>
      <c r="BK163">
        <v>0</v>
      </c>
      <c r="BL163">
        <v>0</v>
      </c>
      <c r="BM163">
        <v>0</v>
      </c>
      <c r="BN163">
        <v>0</v>
      </c>
      <c r="BO163">
        <v>0</v>
      </c>
      <c r="BP163">
        <v>0</v>
      </c>
      <c r="BQ163">
        <v>0</v>
      </c>
      <c r="BR163">
        <v>0</v>
      </c>
      <c r="BS163">
        <v>0</v>
      </c>
      <c r="BT163">
        <v>0</v>
      </c>
      <c r="BU163">
        <v>0</v>
      </c>
      <c r="BV163">
        <v>0</v>
      </c>
      <c r="BW163">
        <v>0</v>
      </c>
      <c r="CX163">
        <f>Y163*Source!I212</f>
        <v>0.01</v>
      </c>
      <c r="CY163">
        <f>AD163</f>
        <v>0</v>
      </c>
      <c r="CZ163">
        <f>AH163</f>
        <v>0</v>
      </c>
      <c r="DA163">
        <f>AL163</f>
        <v>1</v>
      </c>
      <c r="DB163">
        <f t="shared" ref="DB163:DB169" si="31">ROUND(ROUND(AT163*CZ163,2),6)</f>
        <v>0</v>
      </c>
      <c r="DC163">
        <f t="shared" ref="DC163:DC169" si="32">ROUND(ROUND(AT163*AG163,2),6)</f>
        <v>0</v>
      </c>
    </row>
    <row r="164" spans="1:107">
      <c r="A164">
        <f>ROW(Source!A212)</f>
        <v>212</v>
      </c>
      <c r="B164">
        <v>35841400</v>
      </c>
      <c r="C164">
        <v>35847526</v>
      </c>
      <c r="D164">
        <v>29172362</v>
      </c>
      <c r="E164">
        <v>1</v>
      </c>
      <c r="F164">
        <v>1</v>
      </c>
      <c r="G164">
        <v>1</v>
      </c>
      <c r="H164">
        <v>2</v>
      </c>
      <c r="I164" t="s">
        <v>578</v>
      </c>
      <c r="J164" t="s">
        <v>579</v>
      </c>
      <c r="K164" t="s">
        <v>580</v>
      </c>
      <c r="L164">
        <v>1368</v>
      </c>
      <c r="N164">
        <v>1011</v>
      </c>
      <c r="O164" t="s">
        <v>379</v>
      </c>
      <c r="P164" t="s">
        <v>379</v>
      </c>
      <c r="Q164">
        <v>1</v>
      </c>
      <c r="W164">
        <v>0</v>
      </c>
      <c r="X164">
        <v>2071614860</v>
      </c>
      <c r="Y164">
        <v>0.01</v>
      </c>
      <c r="AA164">
        <v>0</v>
      </c>
      <c r="AB164">
        <v>1113.56</v>
      </c>
      <c r="AC164">
        <v>446.18</v>
      </c>
      <c r="AD164">
        <v>0</v>
      </c>
      <c r="AE164">
        <v>0</v>
      </c>
      <c r="AF164">
        <v>134.65</v>
      </c>
      <c r="AG164">
        <v>13.5</v>
      </c>
      <c r="AH164">
        <v>0</v>
      </c>
      <c r="AI164">
        <v>1</v>
      </c>
      <c r="AJ164">
        <v>8.27</v>
      </c>
      <c r="AK164">
        <v>33.049999999999997</v>
      </c>
      <c r="AL164">
        <v>1</v>
      </c>
      <c r="AN164">
        <v>0</v>
      </c>
      <c r="AO164">
        <v>1</v>
      </c>
      <c r="AP164">
        <v>0</v>
      </c>
      <c r="AQ164">
        <v>0</v>
      </c>
      <c r="AR164">
        <v>0</v>
      </c>
      <c r="AS164" t="s">
        <v>3</v>
      </c>
      <c r="AT164">
        <v>0.01</v>
      </c>
      <c r="AU164" t="s">
        <v>3</v>
      </c>
      <c r="AV164">
        <v>0</v>
      </c>
      <c r="AW164">
        <v>2</v>
      </c>
      <c r="AX164">
        <v>35847529</v>
      </c>
      <c r="AY164">
        <v>1</v>
      </c>
      <c r="AZ164">
        <v>0</v>
      </c>
      <c r="BA164">
        <v>163</v>
      </c>
      <c r="BB164">
        <v>0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0</v>
      </c>
      <c r="BI164">
        <v>0</v>
      </c>
      <c r="BJ164">
        <v>0</v>
      </c>
      <c r="BK164">
        <v>0</v>
      </c>
      <c r="BL164">
        <v>0</v>
      </c>
      <c r="BM164">
        <v>0</v>
      </c>
      <c r="BN164">
        <v>0</v>
      </c>
      <c r="BO164">
        <v>0</v>
      </c>
      <c r="BP164">
        <v>0</v>
      </c>
      <c r="BQ164">
        <v>0</v>
      </c>
      <c r="BR164">
        <v>0</v>
      </c>
      <c r="BS164">
        <v>0</v>
      </c>
      <c r="BT164">
        <v>0</v>
      </c>
      <c r="BU164">
        <v>0</v>
      </c>
      <c r="BV164">
        <v>0</v>
      </c>
      <c r="BW164">
        <v>0</v>
      </c>
      <c r="CX164">
        <f>Y164*Source!I212</f>
        <v>0.01</v>
      </c>
      <c r="CY164">
        <f>AB164</f>
        <v>1113.56</v>
      </c>
      <c r="CZ164">
        <f>AF164</f>
        <v>134.65</v>
      </c>
      <c r="DA164">
        <f>AJ164</f>
        <v>8.27</v>
      </c>
      <c r="DB164">
        <f t="shared" si="31"/>
        <v>1.35</v>
      </c>
      <c r="DC164">
        <f t="shared" si="32"/>
        <v>0.14000000000000001</v>
      </c>
    </row>
    <row r="165" spans="1:107">
      <c r="A165">
        <f>ROW(Source!A212)</f>
        <v>212</v>
      </c>
      <c r="B165">
        <v>35841400</v>
      </c>
      <c r="C165">
        <v>35847526</v>
      </c>
      <c r="D165">
        <v>29174913</v>
      </c>
      <c r="E165">
        <v>1</v>
      </c>
      <c r="F165">
        <v>1</v>
      </c>
      <c r="G165">
        <v>1</v>
      </c>
      <c r="H165">
        <v>2</v>
      </c>
      <c r="I165" t="s">
        <v>394</v>
      </c>
      <c r="J165" t="s">
        <v>395</v>
      </c>
      <c r="K165" t="s">
        <v>396</v>
      </c>
      <c r="L165">
        <v>1368</v>
      </c>
      <c r="N165">
        <v>1011</v>
      </c>
      <c r="O165" t="s">
        <v>379</v>
      </c>
      <c r="P165" t="s">
        <v>379</v>
      </c>
      <c r="Q165">
        <v>1</v>
      </c>
      <c r="W165">
        <v>0</v>
      </c>
      <c r="X165">
        <v>458544584</v>
      </c>
      <c r="Y165">
        <v>0.01</v>
      </c>
      <c r="AA165">
        <v>0</v>
      </c>
      <c r="AB165">
        <v>932.72</v>
      </c>
      <c r="AC165">
        <v>383.38</v>
      </c>
      <c r="AD165">
        <v>0</v>
      </c>
      <c r="AE165">
        <v>0</v>
      </c>
      <c r="AF165">
        <v>87.17</v>
      </c>
      <c r="AG165">
        <v>11.6</v>
      </c>
      <c r="AH165">
        <v>0</v>
      </c>
      <c r="AI165">
        <v>1</v>
      </c>
      <c r="AJ165">
        <v>10.7</v>
      </c>
      <c r="AK165">
        <v>33.049999999999997</v>
      </c>
      <c r="AL165">
        <v>1</v>
      </c>
      <c r="AN165">
        <v>0</v>
      </c>
      <c r="AO165">
        <v>1</v>
      </c>
      <c r="AP165">
        <v>0</v>
      </c>
      <c r="AQ165">
        <v>0</v>
      </c>
      <c r="AR165">
        <v>0</v>
      </c>
      <c r="AS165" t="s">
        <v>3</v>
      </c>
      <c r="AT165">
        <v>0.01</v>
      </c>
      <c r="AU165" t="s">
        <v>3</v>
      </c>
      <c r="AV165">
        <v>0</v>
      </c>
      <c r="AW165">
        <v>2</v>
      </c>
      <c r="AX165">
        <v>35847530</v>
      </c>
      <c r="AY165">
        <v>1</v>
      </c>
      <c r="AZ165">
        <v>0</v>
      </c>
      <c r="BA165">
        <v>164</v>
      </c>
      <c r="BB165">
        <v>0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0</v>
      </c>
      <c r="BI165">
        <v>0</v>
      </c>
      <c r="BJ165">
        <v>0</v>
      </c>
      <c r="BK165">
        <v>0</v>
      </c>
      <c r="BL165">
        <v>0</v>
      </c>
      <c r="BM165">
        <v>0</v>
      </c>
      <c r="BN165">
        <v>0</v>
      </c>
      <c r="BO165">
        <v>0</v>
      </c>
      <c r="BP165">
        <v>0</v>
      </c>
      <c r="BQ165">
        <v>0</v>
      </c>
      <c r="BR165">
        <v>0</v>
      </c>
      <c r="BS165">
        <v>0</v>
      </c>
      <c r="BT165">
        <v>0</v>
      </c>
      <c r="BU165">
        <v>0</v>
      </c>
      <c r="BV165">
        <v>0</v>
      </c>
      <c r="BW165">
        <v>0</v>
      </c>
      <c r="CX165">
        <f>Y165*Source!I212</f>
        <v>0.01</v>
      </c>
      <c r="CY165">
        <f>AB165</f>
        <v>932.72</v>
      </c>
      <c r="CZ165">
        <f>AF165</f>
        <v>87.17</v>
      </c>
      <c r="DA165">
        <f>AJ165</f>
        <v>10.7</v>
      </c>
      <c r="DB165">
        <f t="shared" si="31"/>
        <v>0.87</v>
      </c>
      <c r="DC165">
        <f t="shared" si="32"/>
        <v>0.12</v>
      </c>
    </row>
    <row r="166" spans="1:107">
      <c r="A166">
        <f>ROW(Source!A212)</f>
        <v>212</v>
      </c>
      <c r="B166">
        <v>35841400</v>
      </c>
      <c r="C166">
        <v>35847526</v>
      </c>
      <c r="D166">
        <v>29110426</v>
      </c>
      <c r="E166">
        <v>1</v>
      </c>
      <c r="F166">
        <v>1</v>
      </c>
      <c r="G166">
        <v>1</v>
      </c>
      <c r="H166">
        <v>3</v>
      </c>
      <c r="I166" t="s">
        <v>607</v>
      </c>
      <c r="J166" t="s">
        <v>608</v>
      </c>
      <c r="K166" t="s">
        <v>609</v>
      </c>
      <c r="L166">
        <v>1346</v>
      </c>
      <c r="N166">
        <v>1009</v>
      </c>
      <c r="O166" t="s">
        <v>153</v>
      </c>
      <c r="P166" t="s">
        <v>153</v>
      </c>
      <c r="Q166">
        <v>1</v>
      </c>
      <c r="W166">
        <v>0</v>
      </c>
      <c r="X166">
        <v>1314148174</v>
      </c>
      <c r="Y166">
        <v>0.05</v>
      </c>
      <c r="AA166">
        <v>63.36</v>
      </c>
      <c r="AB166">
        <v>0</v>
      </c>
      <c r="AC166">
        <v>0</v>
      </c>
      <c r="AD166">
        <v>0</v>
      </c>
      <c r="AE166">
        <v>28.67</v>
      </c>
      <c r="AF166">
        <v>0</v>
      </c>
      <c r="AG166">
        <v>0</v>
      </c>
      <c r="AH166">
        <v>0</v>
      </c>
      <c r="AI166">
        <v>2.21</v>
      </c>
      <c r="AJ166">
        <v>1</v>
      </c>
      <c r="AK166">
        <v>1</v>
      </c>
      <c r="AL166">
        <v>1</v>
      </c>
      <c r="AN166">
        <v>0</v>
      </c>
      <c r="AO166">
        <v>1</v>
      </c>
      <c r="AP166">
        <v>0</v>
      </c>
      <c r="AQ166">
        <v>0</v>
      </c>
      <c r="AR166">
        <v>0</v>
      </c>
      <c r="AS166" t="s">
        <v>3</v>
      </c>
      <c r="AT166">
        <v>0.05</v>
      </c>
      <c r="AU166" t="s">
        <v>3</v>
      </c>
      <c r="AV166">
        <v>0</v>
      </c>
      <c r="AW166">
        <v>2</v>
      </c>
      <c r="AX166">
        <v>35847531</v>
      </c>
      <c r="AY166">
        <v>1</v>
      </c>
      <c r="AZ166">
        <v>0</v>
      </c>
      <c r="BA166">
        <v>165</v>
      </c>
      <c r="BB166">
        <v>0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0</v>
      </c>
      <c r="BI166">
        <v>0</v>
      </c>
      <c r="BJ166">
        <v>0</v>
      </c>
      <c r="BK166">
        <v>0</v>
      </c>
      <c r="BL166">
        <v>0</v>
      </c>
      <c r="BM166">
        <v>0</v>
      </c>
      <c r="BN166">
        <v>0</v>
      </c>
      <c r="BO166">
        <v>0</v>
      </c>
      <c r="BP166">
        <v>0</v>
      </c>
      <c r="BQ166">
        <v>0</v>
      </c>
      <c r="BR166">
        <v>0</v>
      </c>
      <c r="BS166">
        <v>0</v>
      </c>
      <c r="BT166">
        <v>0</v>
      </c>
      <c r="BU166">
        <v>0</v>
      </c>
      <c r="BV166">
        <v>0</v>
      </c>
      <c r="BW166">
        <v>0</v>
      </c>
      <c r="CX166">
        <f>Y166*Source!I212</f>
        <v>0.05</v>
      </c>
      <c r="CY166">
        <f>AA166</f>
        <v>63.36</v>
      </c>
      <c r="CZ166">
        <f>AE166</f>
        <v>28.67</v>
      </c>
      <c r="DA166">
        <f>AI166</f>
        <v>2.21</v>
      </c>
      <c r="DB166">
        <f t="shared" si="31"/>
        <v>1.43</v>
      </c>
      <c r="DC166">
        <f t="shared" si="32"/>
        <v>0</v>
      </c>
    </row>
    <row r="167" spans="1:107">
      <c r="A167">
        <f>ROW(Source!A212)</f>
        <v>212</v>
      </c>
      <c r="B167">
        <v>35841400</v>
      </c>
      <c r="C167">
        <v>35847526</v>
      </c>
      <c r="D167">
        <v>29110793</v>
      </c>
      <c r="E167">
        <v>1</v>
      </c>
      <c r="F167">
        <v>1</v>
      </c>
      <c r="G167">
        <v>1</v>
      </c>
      <c r="H167">
        <v>3</v>
      </c>
      <c r="I167" t="s">
        <v>610</v>
      </c>
      <c r="J167" t="s">
        <v>611</v>
      </c>
      <c r="K167" t="s">
        <v>612</v>
      </c>
      <c r="L167">
        <v>1308</v>
      </c>
      <c r="N167">
        <v>1003</v>
      </c>
      <c r="O167" t="s">
        <v>238</v>
      </c>
      <c r="P167" t="s">
        <v>238</v>
      </c>
      <c r="Q167">
        <v>100</v>
      </c>
      <c r="W167">
        <v>0</v>
      </c>
      <c r="X167">
        <v>-729819178</v>
      </c>
      <c r="Y167">
        <v>0.05</v>
      </c>
      <c r="AA167">
        <v>565.69000000000005</v>
      </c>
      <c r="AB167">
        <v>0</v>
      </c>
      <c r="AC167">
        <v>0</v>
      </c>
      <c r="AD167">
        <v>0</v>
      </c>
      <c r="AE167">
        <v>120.36</v>
      </c>
      <c r="AF167">
        <v>0</v>
      </c>
      <c r="AG167">
        <v>0</v>
      </c>
      <c r="AH167">
        <v>0</v>
      </c>
      <c r="AI167">
        <v>4.7</v>
      </c>
      <c r="AJ167">
        <v>1</v>
      </c>
      <c r="AK167">
        <v>1</v>
      </c>
      <c r="AL167">
        <v>1</v>
      </c>
      <c r="AN167">
        <v>0</v>
      </c>
      <c r="AO167">
        <v>1</v>
      </c>
      <c r="AP167">
        <v>0</v>
      </c>
      <c r="AQ167">
        <v>0</v>
      </c>
      <c r="AR167">
        <v>0</v>
      </c>
      <c r="AS167" t="s">
        <v>3</v>
      </c>
      <c r="AT167">
        <v>0.05</v>
      </c>
      <c r="AU167" t="s">
        <v>3</v>
      </c>
      <c r="AV167">
        <v>0</v>
      </c>
      <c r="AW167">
        <v>2</v>
      </c>
      <c r="AX167">
        <v>35847532</v>
      </c>
      <c r="AY167">
        <v>1</v>
      </c>
      <c r="AZ167">
        <v>0</v>
      </c>
      <c r="BA167">
        <v>166</v>
      </c>
      <c r="BB167">
        <v>0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0</v>
      </c>
      <c r="BI167">
        <v>0</v>
      </c>
      <c r="BJ167">
        <v>0</v>
      </c>
      <c r="BK167">
        <v>0</v>
      </c>
      <c r="BL167">
        <v>0</v>
      </c>
      <c r="BM167">
        <v>0</v>
      </c>
      <c r="BN167">
        <v>0</v>
      </c>
      <c r="BO167">
        <v>0</v>
      </c>
      <c r="BP167">
        <v>0</v>
      </c>
      <c r="BQ167">
        <v>0</v>
      </c>
      <c r="BR167">
        <v>0</v>
      </c>
      <c r="BS167">
        <v>0</v>
      </c>
      <c r="BT167">
        <v>0</v>
      </c>
      <c r="BU167">
        <v>0</v>
      </c>
      <c r="BV167">
        <v>0</v>
      </c>
      <c r="BW167">
        <v>0</v>
      </c>
      <c r="CX167">
        <f>Y167*Source!I212</f>
        <v>0.05</v>
      </c>
      <c r="CY167">
        <f>AA167</f>
        <v>565.69000000000005</v>
      </c>
      <c r="CZ167">
        <f>AE167</f>
        <v>120.36</v>
      </c>
      <c r="DA167">
        <f>AI167</f>
        <v>4.7</v>
      </c>
      <c r="DB167">
        <f t="shared" si="31"/>
        <v>6.02</v>
      </c>
      <c r="DC167">
        <f t="shared" si="32"/>
        <v>0</v>
      </c>
    </row>
    <row r="168" spans="1:107">
      <c r="A168">
        <f>ROW(Source!A212)</f>
        <v>212</v>
      </c>
      <c r="B168">
        <v>35841400</v>
      </c>
      <c r="C168">
        <v>35847526</v>
      </c>
      <c r="D168">
        <v>29110838</v>
      </c>
      <c r="E168">
        <v>1</v>
      </c>
      <c r="F168">
        <v>1</v>
      </c>
      <c r="G168">
        <v>1</v>
      </c>
      <c r="H168">
        <v>3</v>
      </c>
      <c r="I168" t="s">
        <v>594</v>
      </c>
      <c r="J168" t="s">
        <v>595</v>
      </c>
      <c r="K168" t="s">
        <v>596</v>
      </c>
      <c r="L168">
        <v>1346</v>
      </c>
      <c r="N168">
        <v>1009</v>
      </c>
      <c r="O168" t="s">
        <v>153</v>
      </c>
      <c r="P168" t="s">
        <v>153</v>
      </c>
      <c r="Q168">
        <v>1</v>
      </c>
      <c r="W168">
        <v>0</v>
      </c>
      <c r="X168">
        <v>-667794164</v>
      </c>
      <c r="Y168">
        <v>0.16</v>
      </c>
      <c r="AA168">
        <v>100.04</v>
      </c>
      <c r="AB168">
        <v>0</v>
      </c>
      <c r="AC168">
        <v>0</v>
      </c>
      <c r="AD168">
        <v>0</v>
      </c>
      <c r="AE168">
        <v>30.5</v>
      </c>
      <c r="AF168">
        <v>0</v>
      </c>
      <c r="AG168">
        <v>0</v>
      </c>
      <c r="AH168">
        <v>0</v>
      </c>
      <c r="AI168">
        <v>3.28</v>
      </c>
      <c r="AJ168">
        <v>1</v>
      </c>
      <c r="AK168">
        <v>1</v>
      </c>
      <c r="AL168">
        <v>1</v>
      </c>
      <c r="AN168">
        <v>0</v>
      </c>
      <c r="AO168">
        <v>1</v>
      </c>
      <c r="AP168">
        <v>0</v>
      </c>
      <c r="AQ168">
        <v>0</v>
      </c>
      <c r="AR168">
        <v>0</v>
      </c>
      <c r="AS168" t="s">
        <v>3</v>
      </c>
      <c r="AT168">
        <v>0.16</v>
      </c>
      <c r="AU168" t="s">
        <v>3</v>
      </c>
      <c r="AV168">
        <v>0</v>
      </c>
      <c r="AW168">
        <v>2</v>
      </c>
      <c r="AX168">
        <v>35847533</v>
      </c>
      <c r="AY168">
        <v>1</v>
      </c>
      <c r="AZ168">
        <v>0</v>
      </c>
      <c r="BA168">
        <v>167</v>
      </c>
      <c r="BB168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0</v>
      </c>
      <c r="BI168">
        <v>0</v>
      </c>
      <c r="BJ168">
        <v>0</v>
      </c>
      <c r="BK168">
        <v>0</v>
      </c>
      <c r="BL168">
        <v>0</v>
      </c>
      <c r="BM168">
        <v>0</v>
      </c>
      <c r="BN168">
        <v>0</v>
      </c>
      <c r="BO168">
        <v>0</v>
      </c>
      <c r="BP168">
        <v>0</v>
      </c>
      <c r="BQ168">
        <v>0</v>
      </c>
      <c r="BR168">
        <v>0</v>
      </c>
      <c r="BS168">
        <v>0</v>
      </c>
      <c r="BT168">
        <v>0</v>
      </c>
      <c r="BU168">
        <v>0</v>
      </c>
      <c r="BV168">
        <v>0</v>
      </c>
      <c r="BW168">
        <v>0</v>
      </c>
      <c r="CX168">
        <f>Y168*Source!I212</f>
        <v>0.16</v>
      </c>
      <c r="CY168">
        <f>AA168</f>
        <v>100.04</v>
      </c>
      <c r="CZ168">
        <f>AE168</f>
        <v>30.5</v>
      </c>
      <c r="DA168">
        <f>AI168</f>
        <v>3.28</v>
      </c>
      <c r="DB168">
        <f t="shared" si="31"/>
        <v>4.88</v>
      </c>
      <c r="DC168">
        <f t="shared" si="32"/>
        <v>0</v>
      </c>
    </row>
    <row r="169" spans="1:107">
      <c r="A169">
        <f>ROW(Source!A212)</f>
        <v>212</v>
      </c>
      <c r="B169">
        <v>35841400</v>
      </c>
      <c r="C169">
        <v>35847526</v>
      </c>
      <c r="D169">
        <v>29171808</v>
      </c>
      <c r="E169">
        <v>1</v>
      </c>
      <c r="F169">
        <v>1</v>
      </c>
      <c r="G169">
        <v>1</v>
      </c>
      <c r="H169">
        <v>3</v>
      </c>
      <c r="I169" t="s">
        <v>590</v>
      </c>
      <c r="J169" t="s">
        <v>591</v>
      </c>
      <c r="K169" t="s">
        <v>592</v>
      </c>
      <c r="L169">
        <v>1374</v>
      </c>
      <c r="N169">
        <v>1013</v>
      </c>
      <c r="O169" t="s">
        <v>593</v>
      </c>
      <c r="P169" t="s">
        <v>593</v>
      </c>
      <c r="Q169">
        <v>1</v>
      </c>
      <c r="W169">
        <v>0</v>
      </c>
      <c r="X169">
        <v>-915781824</v>
      </c>
      <c r="Y169">
        <v>0.53</v>
      </c>
      <c r="AA169">
        <v>1</v>
      </c>
      <c r="AB169">
        <v>0</v>
      </c>
      <c r="AC169">
        <v>0</v>
      </c>
      <c r="AD169">
        <v>0</v>
      </c>
      <c r="AE169">
        <v>1</v>
      </c>
      <c r="AF169">
        <v>0</v>
      </c>
      <c r="AG169">
        <v>0</v>
      </c>
      <c r="AH169">
        <v>0</v>
      </c>
      <c r="AI169">
        <v>1</v>
      </c>
      <c r="AJ169">
        <v>1</v>
      </c>
      <c r="AK169">
        <v>1</v>
      </c>
      <c r="AL169">
        <v>1</v>
      </c>
      <c r="AN169">
        <v>0</v>
      </c>
      <c r="AO169">
        <v>1</v>
      </c>
      <c r="AP169">
        <v>0</v>
      </c>
      <c r="AQ169">
        <v>0</v>
      </c>
      <c r="AR169">
        <v>0</v>
      </c>
      <c r="AS169" t="s">
        <v>3</v>
      </c>
      <c r="AT169">
        <v>0.53</v>
      </c>
      <c r="AU169" t="s">
        <v>3</v>
      </c>
      <c r="AV169">
        <v>0</v>
      </c>
      <c r="AW169">
        <v>2</v>
      </c>
      <c r="AX169">
        <v>35847534</v>
      </c>
      <c r="AY169">
        <v>1</v>
      </c>
      <c r="AZ169">
        <v>0</v>
      </c>
      <c r="BA169">
        <v>168</v>
      </c>
      <c r="BB169">
        <v>0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v>0</v>
      </c>
      <c r="BI169">
        <v>0</v>
      </c>
      <c r="BJ169">
        <v>0</v>
      </c>
      <c r="BK169">
        <v>0</v>
      </c>
      <c r="BL169">
        <v>0</v>
      </c>
      <c r="BM169">
        <v>0</v>
      </c>
      <c r="BN169">
        <v>0</v>
      </c>
      <c r="BO169">
        <v>0</v>
      </c>
      <c r="BP169">
        <v>0</v>
      </c>
      <c r="BQ169">
        <v>0</v>
      </c>
      <c r="BR169">
        <v>0</v>
      </c>
      <c r="BS169">
        <v>0</v>
      </c>
      <c r="BT169">
        <v>0</v>
      </c>
      <c r="BU169">
        <v>0</v>
      </c>
      <c r="BV169">
        <v>0</v>
      </c>
      <c r="BW169">
        <v>0</v>
      </c>
      <c r="CX169">
        <f>Y169*Source!I212</f>
        <v>0.53</v>
      </c>
      <c r="CY169">
        <f>AA169</f>
        <v>1</v>
      </c>
      <c r="CZ169">
        <f>AE169</f>
        <v>1</v>
      </c>
      <c r="DA169">
        <f>AI169</f>
        <v>1</v>
      </c>
      <c r="DB169">
        <f t="shared" si="31"/>
        <v>0.53</v>
      </c>
      <c r="DC169">
        <f t="shared" si="32"/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AR168"/>
  <sheetViews>
    <sheetView workbookViewId="0"/>
  </sheetViews>
  <sheetFormatPr defaultColWidth="9.140625" defaultRowHeight="12.75"/>
  <cols>
    <col min="1" max="256" width="9.140625" customWidth="1"/>
  </cols>
  <sheetData>
    <row r="1" spans="1:44">
      <c r="A1">
        <f>ROW(Source!A30)</f>
        <v>30</v>
      </c>
      <c r="B1">
        <v>36150436</v>
      </c>
      <c r="C1">
        <v>35842182</v>
      </c>
      <c r="D1">
        <v>18406804</v>
      </c>
      <c r="E1">
        <v>1</v>
      </c>
      <c r="F1">
        <v>1</v>
      </c>
      <c r="G1">
        <v>1</v>
      </c>
      <c r="H1">
        <v>1</v>
      </c>
      <c r="I1" t="s">
        <v>367</v>
      </c>
      <c r="J1" t="s">
        <v>3</v>
      </c>
      <c r="K1" t="s">
        <v>368</v>
      </c>
      <c r="L1">
        <v>1369</v>
      </c>
      <c r="N1">
        <v>1013</v>
      </c>
      <c r="O1" t="s">
        <v>369</v>
      </c>
      <c r="P1" t="s">
        <v>369</v>
      </c>
      <c r="Q1">
        <v>1</v>
      </c>
      <c r="X1">
        <v>17.440000000000001</v>
      </c>
      <c r="Y1">
        <v>0</v>
      </c>
      <c r="Z1">
        <v>0</v>
      </c>
      <c r="AA1">
        <v>0</v>
      </c>
      <c r="AB1">
        <v>254.67</v>
      </c>
      <c r="AC1">
        <v>0</v>
      </c>
      <c r="AD1">
        <v>1</v>
      </c>
      <c r="AE1">
        <v>1</v>
      </c>
      <c r="AF1" t="s">
        <v>3</v>
      </c>
      <c r="AG1">
        <v>17.440000000000001</v>
      </c>
      <c r="AH1">
        <v>2</v>
      </c>
      <c r="AI1">
        <v>36150436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>
      <c r="A2">
        <f>ROW(Source!A30)</f>
        <v>30</v>
      </c>
      <c r="B2">
        <v>36150437</v>
      </c>
      <c r="C2">
        <v>35842182</v>
      </c>
      <c r="D2">
        <v>29164349</v>
      </c>
      <c r="E2">
        <v>1</v>
      </c>
      <c r="F2">
        <v>1</v>
      </c>
      <c r="G2">
        <v>1</v>
      </c>
      <c r="H2">
        <v>3</v>
      </c>
      <c r="I2" t="s">
        <v>25</v>
      </c>
      <c r="J2" t="s">
        <v>28</v>
      </c>
      <c r="K2" t="s">
        <v>26</v>
      </c>
      <c r="L2">
        <v>1348</v>
      </c>
      <c r="N2">
        <v>1009</v>
      </c>
      <c r="O2" t="s">
        <v>27</v>
      </c>
      <c r="P2" t="s">
        <v>27</v>
      </c>
      <c r="Q2">
        <v>1000</v>
      </c>
      <c r="X2">
        <v>4.67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 t="s">
        <v>3</v>
      </c>
      <c r="AG2">
        <v>4.67</v>
      </c>
      <c r="AH2">
        <v>2</v>
      </c>
      <c r="AI2">
        <v>36150437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>
      <c r="A3">
        <f>ROW(Source!A32)</f>
        <v>32</v>
      </c>
      <c r="B3">
        <v>35842189</v>
      </c>
      <c r="C3">
        <v>35842188</v>
      </c>
      <c r="D3">
        <v>18406804</v>
      </c>
      <c r="E3">
        <v>1</v>
      </c>
      <c r="F3">
        <v>1</v>
      </c>
      <c r="G3">
        <v>1</v>
      </c>
      <c r="H3">
        <v>1</v>
      </c>
      <c r="I3" t="s">
        <v>367</v>
      </c>
      <c r="J3" t="s">
        <v>3</v>
      </c>
      <c r="K3" t="s">
        <v>368</v>
      </c>
      <c r="L3">
        <v>1369</v>
      </c>
      <c r="N3">
        <v>1013</v>
      </c>
      <c r="O3" t="s">
        <v>369</v>
      </c>
      <c r="P3" t="s">
        <v>369</v>
      </c>
      <c r="Q3">
        <v>1</v>
      </c>
      <c r="X3">
        <v>22.82</v>
      </c>
      <c r="Y3">
        <v>0</v>
      </c>
      <c r="Z3">
        <v>0</v>
      </c>
      <c r="AA3">
        <v>0</v>
      </c>
      <c r="AB3">
        <v>254.67</v>
      </c>
      <c r="AC3">
        <v>0</v>
      </c>
      <c r="AD3">
        <v>1</v>
      </c>
      <c r="AE3">
        <v>1</v>
      </c>
      <c r="AF3" t="s">
        <v>3</v>
      </c>
      <c r="AG3">
        <v>22.82</v>
      </c>
      <c r="AH3">
        <v>2</v>
      </c>
      <c r="AI3">
        <v>35842189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>
      <c r="A4">
        <f>ROW(Source!A33)</f>
        <v>33</v>
      </c>
      <c r="B4">
        <v>36150439</v>
      </c>
      <c r="C4">
        <v>35842104</v>
      </c>
      <c r="D4">
        <v>18406804</v>
      </c>
      <c r="E4">
        <v>1</v>
      </c>
      <c r="F4">
        <v>1</v>
      </c>
      <c r="G4">
        <v>1</v>
      </c>
      <c r="H4">
        <v>1</v>
      </c>
      <c r="I4" t="s">
        <v>367</v>
      </c>
      <c r="J4" t="s">
        <v>3</v>
      </c>
      <c r="K4" t="s">
        <v>368</v>
      </c>
      <c r="L4">
        <v>1369</v>
      </c>
      <c r="N4">
        <v>1013</v>
      </c>
      <c r="O4" t="s">
        <v>369</v>
      </c>
      <c r="P4" t="s">
        <v>369</v>
      </c>
      <c r="Q4">
        <v>1</v>
      </c>
      <c r="X4">
        <v>7.67</v>
      </c>
      <c r="Y4">
        <v>0</v>
      </c>
      <c r="Z4">
        <v>0</v>
      </c>
      <c r="AA4">
        <v>0</v>
      </c>
      <c r="AB4">
        <v>254.67</v>
      </c>
      <c r="AC4">
        <v>0</v>
      </c>
      <c r="AD4">
        <v>1</v>
      </c>
      <c r="AE4">
        <v>1</v>
      </c>
      <c r="AF4" t="s">
        <v>3</v>
      </c>
      <c r="AG4">
        <v>7.67</v>
      </c>
      <c r="AH4">
        <v>2</v>
      </c>
      <c r="AI4">
        <v>36150439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>
      <c r="A5">
        <f>ROW(Source!A33)</f>
        <v>33</v>
      </c>
      <c r="B5">
        <v>36150440</v>
      </c>
      <c r="C5">
        <v>35842104</v>
      </c>
      <c r="D5">
        <v>29164349</v>
      </c>
      <c r="E5">
        <v>1</v>
      </c>
      <c r="F5">
        <v>1</v>
      </c>
      <c r="G5">
        <v>1</v>
      </c>
      <c r="H5">
        <v>3</v>
      </c>
      <c r="I5" t="s">
        <v>25</v>
      </c>
      <c r="J5" t="s">
        <v>28</v>
      </c>
      <c r="K5" t="s">
        <v>26</v>
      </c>
      <c r="L5">
        <v>1348</v>
      </c>
      <c r="N5">
        <v>1009</v>
      </c>
      <c r="O5" t="s">
        <v>27</v>
      </c>
      <c r="P5" t="s">
        <v>27</v>
      </c>
      <c r="Q5">
        <v>1000</v>
      </c>
      <c r="X5">
        <v>0.7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 t="s">
        <v>3</v>
      </c>
      <c r="AG5">
        <v>0.7</v>
      </c>
      <c r="AH5">
        <v>2</v>
      </c>
      <c r="AI5">
        <v>36150440</v>
      </c>
      <c r="AJ5">
        <v>5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>
      <c r="A6">
        <f>ROW(Source!A35)</f>
        <v>35</v>
      </c>
      <c r="B6">
        <v>35842109</v>
      </c>
      <c r="C6">
        <v>35842108</v>
      </c>
      <c r="D6">
        <v>18406804</v>
      </c>
      <c r="E6">
        <v>1</v>
      </c>
      <c r="F6">
        <v>1</v>
      </c>
      <c r="G6">
        <v>1</v>
      </c>
      <c r="H6">
        <v>1</v>
      </c>
      <c r="I6" t="s">
        <v>367</v>
      </c>
      <c r="J6" t="s">
        <v>3</v>
      </c>
      <c r="K6" t="s">
        <v>368</v>
      </c>
      <c r="L6">
        <v>1369</v>
      </c>
      <c r="N6">
        <v>1013</v>
      </c>
      <c r="O6" t="s">
        <v>369</v>
      </c>
      <c r="P6" t="s">
        <v>369</v>
      </c>
      <c r="Q6">
        <v>1</v>
      </c>
      <c r="X6">
        <v>3.77</v>
      </c>
      <c r="Y6">
        <v>0</v>
      </c>
      <c r="Z6">
        <v>0</v>
      </c>
      <c r="AA6">
        <v>0</v>
      </c>
      <c r="AB6">
        <v>254.67</v>
      </c>
      <c r="AC6">
        <v>0</v>
      </c>
      <c r="AD6">
        <v>1</v>
      </c>
      <c r="AE6">
        <v>1</v>
      </c>
      <c r="AF6" t="s">
        <v>3</v>
      </c>
      <c r="AG6">
        <v>3.77</v>
      </c>
      <c r="AH6">
        <v>2</v>
      </c>
      <c r="AI6">
        <v>35842109</v>
      </c>
      <c r="AJ6">
        <v>6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>
      <c r="A7">
        <f>ROW(Source!A35)</f>
        <v>35</v>
      </c>
      <c r="B7">
        <v>35842110</v>
      </c>
      <c r="C7">
        <v>35842108</v>
      </c>
      <c r="D7">
        <v>29164349</v>
      </c>
      <c r="E7">
        <v>1</v>
      </c>
      <c r="F7">
        <v>1</v>
      </c>
      <c r="G7">
        <v>1</v>
      </c>
      <c r="H7">
        <v>3</v>
      </c>
      <c r="I7" t="s">
        <v>25</v>
      </c>
      <c r="J7" t="s">
        <v>28</v>
      </c>
      <c r="K7" t="s">
        <v>26</v>
      </c>
      <c r="L7">
        <v>1348</v>
      </c>
      <c r="N7">
        <v>1009</v>
      </c>
      <c r="O7" t="s">
        <v>27</v>
      </c>
      <c r="P7" t="s">
        <v>27</v>
      </c>
      <c r="Q7">
        <v>1000</v>
      </c>
      <c r="X7">
        <v>0.11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 t="s">
        <v>3</v>
      </c>
      <c r="AG7">
        <v>0.11</v>
      </c>
      <c r="AH7">
        <v>2</v>
      </c>
      <c r="AI7">
        <v>35842110</v>
      </c>
      <c r="AJ7">
        <v>7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>
      <c r="A8">
        <f>ROW(Source!A37)</f>
        <v>37</v>
      </c>
      <c r="B8">
        <v>35842113</v>
      </c>
      <c r="C8">
        <v>35842112</v>
      </c>
      <c r="D8">
        <v>18406804</v>
      </c>
      <c r="E8">
        <v>1</v>
      </c>
      <c r="F8">
        <v>1</v>
      </c>
      <c r="G8">
        <v>1</v>
      </c>
      <c r="H8">
        <v>1</v>
      </c>
      <c r="I8" t="s">
        <v>367</v>
      </c>
      <c r="J8" t="s">
        <v>3</v>
      </c>
      <c r="K8" t="s">
        <v>368</v>
      </c>
      <c r="L8">
        <v>1369</v>
      </c>
      <c r="N8">
        <v>1013</v>
      </c>
      <c r="O8" t="s">
        <v>369</v>
      </c>
      <c r="P8" t="s">
        <v>369</v>
      </c>
      <c r="Q8">
        <v>1</v>
      </c>
      <c r="X8">
        <v>5.84</v>
      </c>
      <c r="Y8">
        <v>0</v>
      </c>
      <c r="Z8">
        <v>0</v>
      </c>
      <c r="AA8">
        <v>0</v>
      </c>
      <c r="AB8">
        <v>254.67</v>
      </c>
      <c r="AC8">
        <v>0</v>
      </c>
      <c r="AD8">
        <v>1</v>
      </c>
      <c r="AE8">
        <v>1</v>
      </c>
      <c r="AF8" t="s">
        <v>3</v>
      </c>
      <c r="AG8">
        <v>5.84</v>
      </c>
      <c r="AH8">
        <v>2</v>
      </c>
      <c r="AI8">
        <v>35842113</v>
      </c>
      <c r="AJ8">
        <v>8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>
      <c r="A9">
        <f>ROW(Source!A38)</f>
        <v>38</v>
      </c>
      <c r="B9">
        <v>36150443</v>
      </c>
      <c r="C9">
        <v>36150442</v>
      </c>
      <c r="D9">
        <v>18408291</v>
      </c>
      <c r="E9">
        <v>1</v>
      </c>
      <c r="F9">
        <v>1</v>
      </c>
      <c r="G9">
        <v>1</v>
      </c>
      <c r="H9">
        <v>1</v>
      </c>
      <c r="I9" t="s">
        <v>370</v>
      </c>
      <c r="J9" t="s">
        <v>3</v>
      </c>
      <c r="K9" t="s">
        <v>371</v>
      </c>
      <c r="L9">
        <v>1369</v>
      </c>
      <c r="N9">
        <v>1013</v>
      </c>
      <c r="O9" t="s">
        <v>369</v>
      </c>
      <c r="P9" t="s">
        <v>369</v>
      </c>
      <c r="Q9">
        <v>1</v>
      </c>
      <c r="X9">
        <v>3.98</v>
      </c>
      <c r="Y9">
        <v>0</v>
      </c>
      <c r="Z9">
        <v>0</v>
      </c>
      <c r="AA9">
        <v>0</v>
      </c>
      <c r="AB9">
        <v>266.75</v>
      </c>
      <c r="AC9">
        <v>0</v>
      </c>
      <c r="AD9">
        <v>1</v>
      </c>
      <c r="AE9">
        <v>1</v>
      </c>
      <c r="AF9" t="s">
        <v>3</v>
      </c>
      <c r="AG9">
        <v>3.98</v>
      </c>
      <c r="AH9">
        <v>2</v>
      </c>
      <c r="AI9">
        <v>36150443</v>
      </c>
      <c r="AJ9">
        <v>9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>
      <c r="A10">
        <f>ROW(Source!A39)</f>
        <v>39</v>
      </c>
      <c r="B10">
        <v>35842119</v>
      </c>
      <c r="C10">
        <v>35842118</v>
      </c>
      <c r="D10">
        <v>18408066</v>
      </c>
      <c r="E10">
        <v>1</v>
      </c>
      <c r="F10">
        <v>1</v>
      </c>
      <c r="G10">
        <v>1</v>
      </c>
      <c r="H10">
        <v>1</v>
      </c>
      <c r="I10" t="s">
        <v>372</v>
      </c>
      <c r="J10" t="s">
        <v>3</v>
      </c>
      <c r="K10" t="s">
        <v>373</v>
      </c>
      <c r="L10">
        <v>1369</v>
      </c>
      <c r="N10">
        <v>1013</v>
      </c>
      <c r="O10" t="s">
        <v>369</v>
      </c>
      <c r="P10" t="s">
        <v>369</v>
      </c>
      <c r="Q10">
        <v>1</v>
      </c>
      <c r="X10">
        <v>17.89</v>
      </c>
      <c r="Y10">
        <v>0</v>
      </c>
      <c r="Z10">
        <v>0</v>
      </c>
      <c r="AA10">
        <v>0</v>
      </c>
      <c r="AB10">
        <v>261.85000000000002</v>
      </c>
      <c r="AC10">
        <v>0</v>
      </c>
      <c r="AD10">
        <v>1</v>
      </c>
      <c r="AE10">
        <v>1</v>
      </c>
      <c r="AF10" t="s">
        <v>3</v>
      </c>
      <c r="AG10">
        <v>17.89</v>
      </c>
      <c r="AH10">
        <v>2</v>
      </c>
      <c r="AI10">
        <v>35842119</v>
      </c>
      <c r="AJ10">
        <v>10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>
      <c r="A11">
        <f>ROW(Source!A39)</f>
        <v>39</v>
      </c>
      <c r="B11">
        <v>35842120</v>
      </c>
      <c r="C11">
        <v>35842118</v>
      </c>
      <c r="D11">
        <v>121548</v>
      </c>
      <c r="E11">
        <v>1</v>
      </c>
      <c r="F11">
        <v>1</v>
      </c>
      <c r="G11">
        <v>1</v>
      </c>
      <c r="H11">
        <v>1</v>
      </c>
      <c r="I11" t="s">
        <v>212</v>
      </c>
      <c r="J11" t="s">
        <v>3</v>
      </c>
      <c r="K11" t="s">
        <v>374</v>
      </c>
      <c r="L11">
        <v>608254</v>
      </c>
      <c r="N11">
        <v>1013</v>
      </c>
      <c r="O11" t="s">
        <v>375</v>
      </c>
      <c r="P11" t="s">
        <v>375</v>
      </c>
      <c r="Q11">
        <v>1</v>
      </c>
      <c r="X11">
        <v>0.08</v>
      </c>
      <c r="Y11">
        <v>0</v>
      </c>
      <c r="Z11">
        <v>0</v>
      </c>
      <c r="AA11">
        <v>0</v>
      </c>
      <c r="AB11">
        <v>0</v>
      </c>
      <c r="AC11">
        <v>0</v>
      </c>
      <c r="AD11">
        <v>1</v>
      </c>
      <c r="AE11">
        <v>2</v>
      </c>
      <c r="AF11" t="s">
        <v>3</v>
      </c>
      <c r="AG11">
        <v>0.08</v>
      </c>
      <c r="AH11">
        <v>2</v>
      </c>
      <c r="AI11">
        <v>35842120</v>
      </c>
      <c r="AJ11">
        <v>11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>
      <c r="A12">
        <f>ROW(Source!A39)</f>
        <v>39</v>
      </c>
      <c r="B12">
        <v>35842121</v>
      </c>
      <c r="C12">
        <v>35842118</v>
      </c>
      <c r="D12">
        <v>29172556</v>
      </c>
      <c r="E12">
        <v>1</v>
      </c>
      <c r="F12">
        <v>1</v>
      </c>
      <c r="G12">
        <v>1</v>
      </c>
      <c r="H12">
        <v>2</v>
      </c>
      <c r="I12" t="s">
        <v>376</v>
      </c>
      <c r="J12" t="s">
        <v>377</v>
      </c>
      <c r="K12" t="s">
        <v>378</v>
      </c>
      <c r="L12">
        <v>1368</v>
      </c>
      <c r="N12">
        <v>1011</v>
      </c>
      <c r="O12" t="s">
        <v>379</v>
      </c>
      <c r="P12" t="s">
        <v>379</v>
      </c>
      <c r="Q12">
        <v>1</v>
      </c>
      <c r="X12">
        <v>0.08</v>
      </c>
      <c r="Y12">
        <v>0</v>
      </c>
      <c r="Z12">
        <v>31.26</v>
      </c>
      <c r="AA12">
        <v>13.5</v>
      </c>
      <c r="AB12">
        <v>0</v>
      </c>
      <c r="AC12">
        <v>0</v>
      </c>
      <c r="AD12">
        <v>1</v>
      </c>
      <c r="AE12">
        <v>0</v>
      </c>
      <c r="AF12" t="s">
        <v>3</v>
      </c>
      <c r="AG12">
        <v>0.08</v>
      </c>
      <c r="AH12">
        <v>2</v>
      </c>
      <c r="AI12">
        <v>35842121</v>
      </c>
      <c r="AJ12">
        <v>12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>
      <c r="A13">
        <f>ROW(Source!A79)</f>
        <v>79</v>
      </c>
      <c r="B13">
        <v>36150444</v>
      </c>
      <c r="C13">
        <v>35842190</v>
      </c>
      <c r="D13">
        <v>18416200</v>
      </c>
      <c r="E13">
        <v>1</v>
      </c>
      <c r="F13">
        <v>1</v>
      </c>
      <c r="G13">
        <v>1</v>
      </c>
      <c r="H13">
        <v>1</v>
      </c>
      <c r="I13" t="s">
        <v>380</v>
      </c>
      <c r="J13" t="s">
        <v>3</v>
      </c>
      <c r="K13" t="s">
        <v>381</v>
      </c>
      <c r="L13">
        <v>1369</v>
      </c>
      <c r="N13">
        <v>1013</v>
      </c>
      <c r="O13" t="s">
        <v>369</v>
      </c>
      <c r="P13" t="s">
        <v>369</v>
      </c>
      <c r="Q13">
        <v>1</v>
      </c>
      <c r="X13">
        <v>73.8</v>
      </c>
      <c r="Y13">
        <v>0</v>
      </c>
      <c r="Z13">
        <v>0</v>
      </c>
      <c r="AA13">
        <v>0</v>
      </c>
      <c r="AB13">
        <v>318.66000000000003</v>
      </c>
      <c r="AC13">
        <v>0</v>
      </c>
      <c r="AD13">
        <v>1</v>
      </c>
      <c r="AE13">
        <v>1</v>
      </c>
      <c r="AF13" t="s">
        <v>3</v>
      </c>
      <c r="AG13">
        <v>73.8</v>
      </c>
      <c r="AH13">
        <v>2</v>
      </c>
      <c r="AI13">
        <v>36150444</v>
      </c>
      <c r="AJ13">
        <v>13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>
      <c r="A14">
        <f>ROW(Source!A79)</f>
        <v>79</v>
      </c>
      <c r="B14">
        <v>36150445</v>
      </c>
      <c r="C14">
        <v>35842190</v>
      </c>
      <c r="D14">
        <v>121548</v>
      </c>
      <c r="E14">
        <v>1</v>
      </c>
      <c r="F14">
        <v>1</v>
      </c>
      <c r="G14">
        <v>1</v>
      </c>
      <c r="H14">
        <v>1</v>
      </c>
      <c r="I14" t="s">
        <v>212</v>
      </c>
      <c r="J14" t="s">
        <v>3</v>
      </c>
      <c r="K14" t="s">
        <v>374</v>
      </c>
      <c r="L14">
        <v>608254</v>
      </c>
      <c r="N14">
        <v>1013</v>
      </c>
      <c r="O14" t="s">
        <v>375</v>
      </c>
      <c r="P14" t="s">
        <v>375</v>
      </c>
      <c r="Q14">
        <v>1</v>
      </c>
      <c r="X14">
        <v>1.9</v>
      </c>
      <c r="Y14">
        <v>0</v>
      </c>
      <c r="Z14">
        <v>0</v>
      </c>
      <c r="AA14">
        <v>0</v>
      </c>
      <c r="AB14">
        <v>0</v>
      </c>
      <c r="AC14">
        <v>0</v>
      </c>
      <c r="AD14">
        <v>1</v>
      </c>
      <c r="AE14">
        <v>2</v>
      </c>
      <c r="AF14" t="s">
        <v>3</v>
      </c>
      <c r="AG14">
        <v>1.9</v>
      </c>
      <c r="AH14">
        <v>2</v>
      </c>
      <c r="AI14">
        <v>36150445</v>
      </c>
      <c r="AJ14">
        <v>14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>
      <c r="A15">
        <f>ROW(Source!A79)</f>
        <v>79</v>
      </c>
      <c r="B15">
        <v>36150446</v>
      </c>
      <c r="C15">
        <v>35842190</v>
      </c>
      <c r="D15">
        <v>29172556</v>
      </c>
      <c r="E15">
        <v>1</v>
      </c>
      <c r="F15">
        <v>1</v>
      </c>
      <c r="G15">
        <v>1</v>
      </c>
      <c r="H15">
        <v>2</v>
      </c>
      <c r="I15" t="s">
        <v>376</v>
      </c>
      <c r="J15" t="s">
        <v>377</v>
      </c>
      <c r="K15" t="s">
        <v>378</v>
      </c>
      <c r="L15">
        <v>1368</v>
      </c>
      <c r="N15">
        <v>1011</v>
      </c>
      <c r="O15" t="s">
        <v>379</v>
      </c>
      <c r="P15" t="s">
        <v>379</v>
      </c>
      <c r="Q15">
        <v>1</v>
      </c>
      <c r="X15">
        <v>0.46</v>
      </c>
      <c r="Y15">
        <v>0</v>
      </c>
      <c r="Z15">
        <v>31.26</v>
      </c>
      <c r="AA15">
        <v>13.5</v>
      </c>
      <c r="AB15">
        <v>0</v>
      </c>
      <c r="AC15">
        <v>0</v>
      </c>
      <c r="AD15">
        <v>1</v>
      </c>
      <c r="AE15">
        <v>0</v>
      </c>
      <c r="AF15" t="s">
        <v>3</v>
      </c>
      <c r="AG15">
        <v>0.46</v>
      </c>
      <c r="AH15">
        <v>2</v>
      </c>
      <c r="AI15">
        <v>36150446</v>
      </c>
      <c r="AJ15">
        <v>15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>
      <c r="A16">
        <f>ROW(Source!A79)</f>
        <v>79</v>
      </c>
      <c r="B16">
        <v>36150447</v>
      </c>
      <c r="C16">
        <v>35842190</v>
      </c>
      <c r="D16">
        <v>29173141</v>
      </c>
      <c r="E16">
        <v>1</v>
      </c>
      <c r="F16">
        <v>1</v>
      </c>
      <c r="G16">
        <v>1</v>
      </c>
      <c r="H16">
        <v>2</v>
      </c>
      <c r="I16" t="s">
        <v>382</v>
      </c>
      <c r="J16" t="s">
        <v>383</v>
      </c>
      <c r="K16" t="s">
        <v>384</v>
      </c>
      <c r="L16">
        <v>1368</v>
      </c>
      <c r="N16">
        <v>1011</v>
      </c>
      <c r="O16" t="s">
        <v>379</v>
      </c>
      <c r="P16" t="s">
        <v>379</v>
      </c>
      <c r="Q16">
        <v>1</v>
      </c>
      <c r="X16">
        <v>1.44</v>
      </c>
      <c r="Y16">
        <v>0</v>
      </c>
      <c r="Z16">
        <v>12.4</v>
      </c>
      <c r="AA16">
        <v>10.06</v>
      </c>
      <c r="AB16">
        <v>0</v>
      </c>
      <c r="AC16">
        <v>0</v>
      </c>
      <c r="AD16">
        <v>1</v>
      </c>
      <c r="AE16">
        <v>0</v>
      </c>
      <c r="AF16" t="s">
        <v>3</v>
      </c>
      <c r="AG16">
        <v>1.44</v>
      </c>
      <c r="AH16">
        <v>2</v>
      </c>
      <c r="AI16">
        <v>36150447</v>
      </c>
      <c r="AJ16">
        <v>16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4">
      <c r="A17">
        <f>ROW(Source!A79)</f>
        <v>79</v>
      </c>
      <c r="B17">
        <v>36150448</v>
      </c>
      <c r="C17">
        <v>35842190</v>
      </c>
      <c r="D17">
        <v>29109353</v>
      </c>
      <c r="E17">
        <v>1</v>
      </c>
      <c r="F17">
        <v>1</v>
      </c>
      <c r="G17">
        <v>1</v>
      </c>
      <c r="H17">
        <v>3</v>
      </c>
      <c r="I17" t="s">
        <v>385</v>
      </c>
      <c r="J17" t="s">
        <v>386</v>
      </c>
      <c r="K17" t="s">
        <v>387</v>
      </c>
      <c r="L17">
        <v>1348</v>
      </c>
      <c r="N17">
        <v>1009</v>
      </c>
      <c r="O17" t="s">
        <v>27</v>
      </c>
      <c r="P17" t="s">
        <v>27</v>
      </c>
      <c r="Q17">
        <v>1000</v>
      </c>
      <c r="X17">
        <v>0.01</v>
      </c>
      <c r="Y17">
        <v>11300.01</v>
      </c>
      <c r="Z17">
        <v>0</v>
      </c>
      <c r="AA17">
        <v>0</v>
      </c>
      <c r="AB17">
        <v>0</v>
      </c>
      <c r="AC17">
        <v>0</v>
      </c>
      <c r="AD17">
        <v>1</v>
      </c>
      <c r="AE17">
        <v>0</v>
      </c>
      <c r="AF17" t="s">
        <v>3</v>
      </c>
      <c r="AG17">
        <v>0.01</v>
      </c>
      <c r="AH17">
        <v>2</v>
      </c>
      <c r="AI17">
        <v>36150448</v>
      </c>
      <c r="AJ17">
        <v>17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>
      <c r="A18">
        <f>ROW(Source!A79)</f>
        <v>79</v>
      </c>
      <c r="B18">
        <v>36150449</v>
      </c>
      <c r="C18">
        <v>35842190</v>
      </c>
      <c r="D18">
        <v>29145311</v>
      </c>
      <c r="E18">
        <v>1</v>
      </c>
      <c r="F18">
        <v>1</v>
      </c>
      <c r="G18">
        <v>1</v>
      </c>
      <c r="H18">
        <v>3</v>
      </c>
      <c r="I18" t="s">
        <v>129</v>
      </c>
      <c r="J18" t="s">
        <v>131</v>
      </c>
      <c r="K18" t="s">
        <v>130</v>
      </c>
      <c r="L18">
        <v>1348</v>
      </c>
      <c r="N18">
        <v>1009</v>
      </c>
      <c r="O18" t="s">
        <v>27</v>
      </c>
      <c r="P18" t="s">
        <v>27</v>
      </c>
      <c r="Q18">
        <v>1000</v>
      </c>
      <c r="X18">
        <v>0.96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 t="s">
        <v>3</v>
      </c>
      <c r="AG18">
        <v>0.96</v>
      </c>
      <c r="AH18">
        <v>2</v>
      </c>
      <c r="AI18">
        <v>36150449</v>
      </c>
      <c r="AJ18">
        <v>19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>
      <c r="A19">
        <f>ROW(Source!A79)</f>
        <v>79</v>
      </c>
      <c r="B19">
        <v>36150450</v>
      </c>
      <c r="C19">
        <v>35842190</v>
      </c>
      <c r="D19">
        <v>29150040</v>
      </c>
      <c r="E19">
        <v>1</v>
      </c>
      <c r="F19">
        <v>1</v>
      </c>
      <c r="G19">
        <v>1</v>
      </c>
      <c r="H19">
        <v>3</v>
      </c>
      <c r="I19" t="s">
        <v>388</v>
      </c>
      <c r="J19" t="s">
        <v>389</v>
      </c>
      <c r="K19" t="s">
        <v>390</v>
      </c>
      <c r="L19">
        <v>1339</v>
      </c>
      <c r="N19">
        <v>1007</v>
      </c>
      <c r="O19" t="s">
        <v>391</v>
      </c>
      <c r="P19" t="s">
        <v>391</v>
      </c>
      <c r="Q19">
        <v>1</v>
      </c>
      <c r="X19">
        <v>0.63</v>
      </c>
      <c r="Y19">
        <v>2.44</v>
      </c>
      <c r="Z19">
        <v>0</v>
      </c>
      <c r="AA19">
        <v>0</v>
      </c>
      <c r="AB19">
        <v>0</v>
      </c>
      <c r="AC19">
        <v>0</v>
      </c>
      <c r="AD19">
        <v>1</v>
      </c>
      <c r="AE19">
        <v>0</v>
      </c>
      <c r="AF19" t="s">
        <v>3</v>
      </c>
      <c r="AG19">
        <v>0.63</v>
      </c>
      <c r="AH19">
        <v>2</v>
      </c>
      <c r="AI19">
        <v>36150450</v>
      </c>
      <c r="AJ19">
        <v>20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>
      <c r="A20">
        <f>ROW(Source!A83)</f>
        <v>83</v>
      </c>
      <c r="B20">
        <v>35844007</v>
      </c>
      <c r="C20">
        <v>35843995</v>
      </c>
      <c r="D20">
        <v>18409850</v>
      </c>
      <c r="E20">
        <v>1</v>
      </c>
      <c r="F20">
        <v>1</v>
      </c>
      <c r="G20">
        <v>1</v>
      </c>
      <c r="H20">
        <v>1</v>
      </c>
      <c r="I20" t="s">
        <v>392</v>
      </c>
      <c r="J20" t="s">
        <v>3</v>
      </c>
      <c r="K20" t="s">
        <v>393</v>
      </c>
      <c r="L20">
        <v>1369</v>
      </c>
      <c r="N20">
        <v>1013</v>
      </c>
      <c r="O20" t="s">
        <v>369</v>
      </c>
      <c r="P20" t="s">
        <v>369</v>
      </c>
      <c r="Q20">
        <v>1</v>
      </c>
      <c r="X20">
        <v>51.01</v>
      </c>
      <c r="Y20">
        <v>0</v>
      </c>
      <c r="Z20">
        <v>0</v>
      </c>
      <c r="AA20">
        <v>0</v>
      </c>
      <c r="AB20">
        <v>296.13</v>
      </c>
      <c r="AC20">
        <v>0</v>
      </c>
      <c r="AD20">
        <v>1</v>
      </c>
      <c r="AE20">
        <v>1</v>
      </c>
      <c r="AF20" t="s">
        <v>147</v>
      </c>
      <c r="AG20">
        <v>58.661499999999997</v>
      </c>
      <c r="AH20">
        <v>2</v>
      </c>
      <c r="AI20">
        <v>35844007</v>
      </c>
      <c r="AJ20">
        <v>21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4">
      <c r="A21">
        <f>ROW(Source!A83)</f>
        <v>83</v>
      </c>
      <c r="B21">
        <v>35844008</v>
      </c>
      <c r="C21">
        <v>35843995</v>
      </c>
      <c r="D21">
        <v>121548</v>
      </c>
      <c r="E21">
        <v>1</v>
      </c>
      <c r="F21">
        <v>1</v>
      </c>
      <c r="G21">
        <v>1</v>
      </c>
      <c r="H21">
        <v>1</v>
      </c>
      <c r="I21" t="s">
        <v>212</v>
      </c>
      <c r="J21" t="s">
        <v>3</v>
      </c>
      <c r="K21" t="s">
        <v>374</v>
      </c>
      <c r="L21">
        <v>608254</v>
      </c>
      <c r="N21">
        <v>1013</v>
      </c>
      <c r="O21" t="s">
        <v>375</v>
      </c>
      <c r="P21" t="s">
        <v>375</v>
      </c>
      <c r="Q21">
        <v>1</v>
      </c>
      <c r="X21">
        <v>0.01</v>
      </c>
      <c r="Y21">
        <v>0</v>
      </c>
      <c r="Z21">
        <v>0</v>
      </c>
      <c r="AA21">
        <v>0</v>
      </c>
      <c r="AB21">
        <v>0</v>
      </c>
      <c r="AC21">
        <v>0</v>
      </c>
      <c r="AD21">
        <v>1</v>
      </c>
      <c r="AE21">
        <v>2</v>
      </c>
      <c r="AF21" t="s">
        <v>146</v>
      </c>
      <c r="AG21">
        <v>1.2500000000000001E-2</v>
      </c>
      <c r="AH21">
        <v>2</v>
      </c>
      <c r="AI21">
        <v>35844008</v>
      </c>
      <c r="AJ21">
        <v>22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>
      <c r="A22">
        <f>ROW(Source!A83)</f>
        <v>83</v>
      </c>
      <c r="B22">
        <v>35844009</v>
      </c>
      <c r="C22">
        <v>35843995</v>
      </c>
      <c r="D22">
        <v>29172556</v>
      </c>
      <c r="E22">
        <v>1</v>
      </c>
      <c r="F22">
        <v>1</v>
      </c>
      <c r="G22">
        <v>1</v>
      </c>
      <c r="H22">
        <v>2</v>
      </c>
      <c r="I22" t="s">
        <v>376</v>
      </c>
      <c r="J22" t="s">
        <v>377</v>
      </c>
      <c r="K22" t="s">
        <v>378</v>
      </c>
      <c r="L22">
        <v>1368</v>
      </c>
      <c r="N22">
        <v>1011</v>
      </c>
      <c r="O22" t="s">
        <v>379</v>
      </c>
      <c r="P22" t="s">
        <v>379</v>
      </c>
      <c r="Q22">
        <v>1</v>
      </c>
      <c r="X22">
        <v>0.01</v>
      </c>
      <c r="Y22">
        <v>0</v>
      </c>
      <c r="Z22">
        <v>31.26</v>
      </c>
      <c r="AA22">
        <v>13.5</v>
      </c>
      <c r="AB22">
        <v>0</v>
      </c>
      <c r="AC22">
        <v>0</v>
      </c>
      <c r="AD22">
        <v>1</v>
      </c>
      <c r="AE22">
        <v>0</v>
      </c>
      <c r="AF22" t="s">
        <v>146</v>
      </c>
      <c r="AG22">
        <v>1.2500000000000001E-2</v>
      </c>
      <c r="AH22">
        <v>2</v>
      </c>
      <c r="AI22">
        <v>35844009</v>
      </c>
      <c r="AJ22">
        <v>23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>
      <c r="A23">
        <f>ROW(Source!A83)</f>
        <v>83</v>
      </c>
      <c r="B23">
        <v>35844010</v>
      </c>
      <c r="C23">
        <v>35843995</v>
      </c>
      <c r="D23">
        <v>29174913</v>
      </c>
      <c r="E23">
        <v>1</v>
      </c>
      <c r="F23">
        <v>1</v>
      </c>
      <c r="G23">
        <v>1</v>
      </c>
      <c r="H23">
        <v>2</v>
      </c>
      <c r="I23" t="s">
        <v>394</v>
      </c>
      <c r="J23" t="s">
        <v>395</v>
      </c>
      <c r="K23" t="s">
        <v>396</v>
      </c>
      <c r="L23">
        <v>1368</v>
      </c>
      <c r="N23">
        <v>1011</v>
      </c>
      <c r="O23" t="s">
        <v>379</v>
      </c>
      <c r="P23" t="s">
        <v>379</v>
      </c>
      <c r="Q23">
        <v>1</v>
      </c>
      <c r="X23">
        <v>0.11</v>
      </c>
      <c r="Y23">
        <v>0</v>
      </c>
      <c r="Z23">
        <v>87.17</v>
      </c>
      <c r="AA23">
        <v>11.6</v>
      </c>
      <c r="AB23">
        <v>0</v>
      </c>
      <c r="AC23">
        <v>0</v>
      </c>
      <c r="AD23">
        <v>1</v>
      </c>
      <c r="AE23">
        <v>0</v>
      </c>
      <c r="AF23" t="s">
        <v>146</v>
      </c>
      <c r="AG23">
        <v>0.13750000000000001</v>
      </c>
      <c r="AH23">
        <v>2</v>
      </c>
      <c r="AI23">
        <v>35844010</v>
      </c>
      <c r="AJ23">
        <v>24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>
      <c r="A24">
        <f>ROW(Source!A83)</f>
        <v>83</v>
      </c>
      <c r="B24">
        <v>35844011</v>
      </c>
      <c r="C24">
        <v>35843995</v>
      </c>
      <c r="D24">
        <v>29110344</v>
      </c>
      <c r="E24">
        <v>1</v>
      </c>
      <c r="F24">
        <v>1</v>
      </c>
      <c r="G24">
        <v>1</v>
      </c>
      <c r="H24">
        <v>3</v>
      </c>
      <c r="I24" t="s">
        <v>397</v>
      </c>
      <c r="J24" t="s">
        <v>398</v>
      </c>
      <c r="K24" t="s">
        <v>399</v>
      </c>
      <c r="L24">
        <v>1348</v>
      </c>
      <c r="N24">
        <v>1009</v>
      </c>
      <c r="O24" t="s">
        <v>27</v>
      </c>
      <c r="P24" t="s">
        <v>27</v>
      </c>
      <c r="Q24">
        <v>1000</v>
      </c>
      <c r="X24">
        <v>1.8370000000000001E-2</v>
      </c>
      <c r="Y24">
        <v>15707</v>
      </c>
      <c r="Z24">
        <v>0</v>
      </c>
      <c r="AA24">
        <v>0</v>
      </c>
      <c r="AB24">
        <v>0</v>
      </c>
      <c r="AC24">
        <v>0</v>
      </c>
      <c r="AD24">
        <v>1</v>
      </c>
      <c r="AE24">
        <v>0</v>
      </c>
      <c r="AF24" t="s">
        <v>3</v>
      </c>
      <c r="AG24">
        <v>1.8370000000000001E-2</v>
      </c>
      <c r="AH24">
        <v>2</v>
      </c>
      <c r="AI24">
        <v>35844011</v>
      </c>
      <c r="AJ24">
        <v>25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</row>
    <row r="25" spans="1:44">
      <c r="A25">
        <f>ROW(Source!A83)</f>
        <v>83</v>
      </c>
      <c r="B25">
        <v>35844012</v>
      </c>
      <c r="C25">
        <v>35843995</v>
      </c>
      <c r="D25">
        <v>29107779</v>
      </c>
      <c r="E25">
        <v>1</v>
      </c>
      <c r="F25">
        <v>1</v>
      </c>
      <c r="G25">
        <v>1</v>
      </c>
      <c r="H25">
        <v>3</v>
      </c>
      <c r="I25" t="s">
        <v>400</v>
      </c>
      <c r="J25" t="s">
        <v>401</v>
      </c>
      <c r="K25" t="s">
        <v>402</v>
      </c>
      <c r="L25">
        <v>1327</v>
      </c>
      <c r="N25">
        <v>1005</v>
      </c>
      <c r="O25" t="s">
        <v>183</v>
      </c>
      <c r="P25" t="s">
        <v>183</v>
      </c>
      <c r="Q25">
        <v>1</v>
      </c>
      <c r="X25">
        <v>0.84</v>
      </c>
      <c r="Y25">
        <v>72.31</v>
      </c>
      <c r="Z25">
        <v>0</v>
      </c>
      <c r="AA25">
        <v>0</v>
      </c>
      <c r="AB25">
        <v>0</v>
      </c>
      <c r="AC25">
        <v>0</v>
      </c>
      <c r="AD25">
        <v>1</v>
      </c>
      <c r="AE25">
        <v>0</v>
      </c>
      <c r="AF25" t="s">
        <v>3</v>
      </c>
      <c r="AG25">
        <v>0.84</v>
      </c>
      <c r="AH25">
        <v>2</v>
      </c>
      <c r="AI25">
        <v>35844012</v>
      </c>
      <c r="AJ25">
        <v>26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</row>
    <row r="26" spans="1:44">
      <c r="A26">
        <f>ROW(Source!A83)</f>
        <v>83</v>
      </c>
      <c r="B26">
        <v>35844013</v>
      </c>
      <c r="C26">
        <v>35843995</v>
      </c>
      <c r="D26">
        <v>29109795</v>
      </c>
      <c r="E26">
        <v>1</v>
      </c>
      <c r="F26">
        <v>1</v>
      </c>
      <c r="G26">
        <v>1</v>
      </c>
      <c r="H26">
        <v>3</v>
      </c>
      <c r="I26" t="s">
        <v>403</v>
      </c>
      <c r="J26" t="s">
        <v>404</v>
      </c>
      <c r="K26" t="s">
        <v>405</v>
      </c>
      <c r="L26">
        <v>1348</v>
      </c>
      <c r="N26">
        <v>1009</v>
      </c>
      <c r="O26" t="s">
        <v>27</v>
      </c>
      <c r="P26" t="s">
        <v>27</v>
      </c>
      <c r="Q26">
        <v>1000</v>
      </c>
      <c r="X26">
        <v>5.0999999999999997E-2</v>
      </c>
      <c r="Y26">
        <v>2898.5</v>
      </c>
      <c r="Z26">
        <v>0</v>
      </c>
      <c r="AA26">
        <v>0</v>
      </c>
      <c r="AB26">
        <v>0</v>
      </c>
      <c r="AC26">
        <v>0</v>
      </c>
      <c r="AD26">
        <v>1</v>
      </c>
      <c r="AE26">
        <v>0</v>
      </c>
      <c r="AF26" t="s">
        <v>3</v>
      </c>
      <c r="AG26">
        <v>5.0999999999999997E-2</v>
      </c>
      <c r="AH26">
        <v>2</v>
      </c>
      <c r="AI26">
        <v>35844013</v>
      </c>
      <c r="AJ26">
        <v>27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 spans="1:44">
      <c r="A27">
        <f>ROW(Source!A83)</f>
        <v>83</v>
      </c>
      <c r="B27">
        <v>35844014</v>
      </c>
      <c r="C27">
        <v>35843995</v>
      </c>
      <c r="D27">
        <v>29107800</v>
      </c>
      <c r="E27">
        <v>1</v>
      </c>
      <c r="F27">
        <v>1</v>
      </c>
      <c r="G27">
        <v>1</v>
      </c>
      <c r="H27">
        <v>3</v>
      </c>
      <c r="I27" t="s">
        <v>406</v>
      </c>
      <c r="J27" t="s">
        <v>407</v>
      </c>
      <c r="K27" t="s">
        <v>408</v>
      </c>
      <c r="L27">
        <v>1346</v>
      </c>
      <c r="N27">
        <v>1009</v>
      </c>
      <c r="O27" t="s">
        <v>153</v>
      </c>
      <c r="P27" t="s">
        <v>153</v>
      </c>
      <c r="Q27">
        <v>1</v>
      </c>
      <c r="X27">
        <v>0.31</v>
      </c>
      <c r="Y27">
        <v>1.81</v>
      </c>
      <c r="Z27">
        <v>0</v>
      </c>
      <c r="AA27">
        <v>0</v>
      </c>
      <c r="AB27">
        <v>0</v>
      </c>
      <c r="AC27">
        <v>0</v>
      </c>
      <c r="AD27">
        <v>1</v>
      </c>
      <c r="AE27">
        <v>0</v>
      </c>
      <c r="AF27" t="s">
        <v>3</v>
      </c>
      <c r="AG27">
        <v>0.31</v>
      </c>
      <c r="AH27">
        <v>2</v>
      </c>
      <c r="AI27">
        <v>35844014</v>
      </c>
      <c r="AJ27">
        <v>28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</row>
    <row r="28" spans="1:44">
      <c r="A28">
        <f>ROW(Source!A83)</f>
        <v>83</v>
      </c>
      <c r="B28">
        <v>35844015</v>
      </c>
      <c r="C28">
        <v>35843995</v>
      </c>
      <c r="D28">
        <v>29109351</v>
      </c>
      <c r="E28">
        <v>1</v>
      </c>
      <c r="F28">
        <v>1</v>
      </c>
      <c r="G28">
        <v>1</v>
      </c>
      <c r="H28">
        <v>3</v>
      </c>
      <c r="I28" t="s">
        <v>409</v>
      </c>
      <c r="J28" t="s">
        <v>410</v>
      </c>
      <c r="K28" t="s">
        <v>411</v>
      </c>
      <c r="L28">
        <v>1348</v>
      </c>
      <c r="N28">
        <v>1009</v>
      </c>
      <c r="O28" t="s">
        <v>27</v>
      </c>
      <c r="P28" t="s">
        <v>27</v>
      </c>
      <c r="Q28">
        <v>1000</v>
      </c>
      <c r="X28">
        <v>7.4999999999999997E-3</v>
      </c>
      <c r="Y28">
        <v>25764</v>
      </c>
      <c r="Z28">
        <v>0</v>
      </c>
      <c r="AA28">
        <v>0</v>
      </c>
      <c r="AB28">
        <v>0</v>
      </c>
      <c r="AC28">
        <v>0</v>
      </c>
      <c r="AD28">
        <v>1</v>
      </c>
      <c r="AE28">
        <v>0</v>
      </c>
      <c r="AF28" t="s">
        <v>3</v>
      </c>
      <c r="AG28">
        <v>7.4999999999999997E-3</v>
      </c>
      <c r="AH28">
        <v>2</v>
      </c>
      <c r="AI28">
        <v>35844015</v>
      </c>
      <c r="AJ28">
        <v>29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</row>
    <row r="29" spans="1:44">
      <c r="A29">
        <f>ROW(Source!A83)</f>
        <v>83</v>
      </c>
      <c r="B29">
        <v>35844016</v>
      </c>
      <c r="C29">
        <v>35843995</v>
      </c>
      <c r="D29">
        <v>29110571</v>
      </c>
      <c r="E29">
        <v>1</v>
      </c>
      <c r="F29">
        <v>1</v>
      </c>
      <c r="G29">
        <v>1</v>
      </c>
      <c r="H29">
        <v>3</v>
      </c>
      <c r="I29" t="s">
        <v>412</v>
      </c>
      <c r="J29" t="s">
        <v>413</v>
      </c>
      <c r="K29" t="s">
        <v>414</v>
      </c>
      <c r="L29">
        <v>1348</v>
      </c>
      <c r="N29">
        <v>1009</v>
      </c>
      <c r="O29" t="s">
        <v>27</v>
      </c>
      <c r="P29" t="s">
        <v>27</v>
      </c>
      <c r="Q29">
        <v>1000</v>
      </c>
      <c r="X29">
        <v>1.1299999999999999E-2</v>
      </c>
      <c r="Y29">
        <v>26230</v>
      </c>
      <c r="Z29">
        <v>0</v>
      </c>
      <c r="AA29">
        <v>0</v>
      </c>
      <c r="AB29">
        <v>0</v>
      </c>
      <c r="AC29">
        <v>0</v>
      </c>
      <c r="AD29">
        <v>1</v>
      </c>
      <c r="AE29">
        <v>0</v>
      </c>
      <c r="AF29" t="s">
        <v>3</v>
      </c>
      <c r="AG29">
        <v>1.1299999999999999E-2</v>
      </c>
      <c r="AH29">
        <v>2</v>
      </c>
      <c r="AI29">
        <v>35844016</v>
      </c>
      <c r="AJ29">
        <v>30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</row>
    <row r="30" spans="1:44">
      <c r="A30">
        <f>ROW(Source!A83)</f>
        <v>83</v>
      </c>
      <c r="B30">
        <v>35844017</v>
      </c>
      <c r="C30">
        <v>35843995</v>
      </c>
      <c r="D30">
        <v>29149868</v>
      </c>
      <c r="E30">
        <v>1</v>
      </c>
      <c r="F30">
        <v>1</v>
      </c>
      <c r="G30">
        <v>1</v>
      </c>
      <c r="H30">
        <v>3</v>
      </c>
      <c r="I30" t="s">
        <v>415</v>
      </c>
      <c r="J30" t="s">
        <v>416</v>
      </c>
      <c r="K30" t="s">
        <v>417</v>
      </c>
      <c r="L30">
        <v>1339</v>
      </c>
      <c r="N30">
        <v>1007</v>
      </c>
      <c r="O30" t="s">
        <v>391</v>
      </c>
      <c r="P30" t="s">
        <v>391</v>
      </c>
      <c r="Q30">
        <v>1</v>
      </c>
      <c r="X30">
        <v>2.3999999999999998E-3</v>
      </c>
      <c r="Y30">
        <v>74.59</v>
      </c>
      <c r="Z30">
        <v>0</v>
      </c>
      <c r="AA30">
        <v>0</v>
      </c>
      <c r="AB30">
        <v>0</v>
      </c>
      <c r="AC30">
        <v>0</v>
      </c>
      <c r="AD30">
        <v>1</v>
      </c>
      <c r="AE30">
        <v>0</v>
      </c>
      <c r="AF30" t="s">
        <v>3</v>
      </c>
      <c r="AG30">
        <v>2.3999999999999998E-3</v>
      </c>
      <c r="AH30">
        <v>2</v>
      </c>
      <c r="AI30">
        <v>35844017</v>
      </c>
      <c r="AJ30">
        <v>32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</row>
    <row r="31" spans="1:44">
      <c r="A31">
        <f>ROW(Source!A86)</f>
        <v>86</v>
      </c>
      <c r="B31">
        <v>36167806</v>
      </c>
      <c r="C31">
        <v>36167805</v>
      </c>
      <c r="D31">
        <v>18410171</v>
      </c>
      <c r="E31">
        <v>1</v>
      </c>
      <c r="F31">
        <v>1</v>
      </c>
      <c r="G31">
        <v>1</v>
      </c>
      <c r="H31">
        <v>1</v>
      </c>
      <c r="I31" t="s">
        <v>418</v>
      </c>
      <c r="J31" t="s">
        <v>3</v>
      </c>
      <c r="K31" t="s">
        <v>419</v>
      </c>
      <c r="L31">
        <v>1369</v>
      </c>
      <c r="N31">
        <v>1013</v>
      </c>
      <c r="O31" t="s">
        <v>369</v>
      </c>
      <c r="P31" t="s">
        <v>369</v>
      </c>
      <c r="Q31">
        <v>1</v>
      </c>
      <c r="X31">
        <v>16.940000000000001</v>
      </c>
      <c r="Y31">
        <v>0</v>
      </c>
      <c r="Z31">
        <v>0</v>
      </c>
      <c r="AA31">
        <v>0</v>
      </c>
      <c r="AB31">
        <v>292.87</v>
      </c>
      <c r="AC31">
        <v>0</v>
      </c>
      <c r="AD31">
        <v>1</v>
      </c>
      <c r="AE31">
        <v>1</v>
      </c>
      <c r="AF31" t="s">
        <v>3</v>
      </c>
      <c r="AG31">
        <v>16.940000000000001</v>
      </c>
      <c r="AH31">
        <v>2</v>
      </c>
      <c r="AI31">
        <v>36167806</v>
      </c>
      <c r="AJ31">
        <v>33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</row>
    <row r="32" spans="1:44">
      <c r="A32">
        <f>ROW(Source!A86)</f>
        <v>86</v>
      </c>
      <c r="B32">
        <v>36167807</v>
      </c>
      <c r="C32">
        <v>36167805</v>
      </c>
      <c r="D32">
        <v>121548</v>
      </c>
      <c r="E32">
        <v>1</v>
      </c>
      <c r="F32">
        <v>1</v>
      </c>
      <c r="G32">
        <v>1</v>
      </c>
      <c r="H32">
        <v>1</v>
      </c>
      <c r="I32" t="s">
        <v>212</v>
      </c>
      <c r="J32" t="s">
        <v>3</v>
      </c>
      <c r="K32" t="s">
        <v>374</v>
      </c>
      <c r="L32">
        <v>608254</v>
      </c>
      <c r="N32">
        <v>1013</v>
      </c>
      <c r="O32" t="s">
        <v>375</v>
      </c>
      <c r="P32" t="s">
        <v>375</v>
      </c>
      <c r="Q32">
        <v>1</v>
      </c>
      <c r="X32">
        <v>0.01</v>
      </c>
      <c r="Y32">
        <v>0</v>
      </c>
      <c r="Z32">
        <v>0</v>
      </c>
      <c r="AA32">
        <v>0</v>
      </c>
      <c r="AB32">
        <v>0</v>
      </c>
      <c r="AC32">
        <v>0</v>
      </c>
      <c r="AD32">
        <v>1</v>
      </c>
      <c r="AE32">
        <v>2</v>
      </c>
      <c r="AF32" t="s">
        <v>3</v>
      </c>
      <c r="AG32">
        <v>0.01</v>
      </c>
      <c r="AH32">
        <v>2</v>
      </c>
      <c r="AI32">
        <v>36167807</v>
      </c>
      <c r="AJ32">
        <v>34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</row>
    <row r="33" spans="1:44">
      <c r="A33">
        <f>ROW(Source!A86)</f>
        <v>86</v>
      </c>
      <c r="B33">
        <v>36167808</v>
      </c>
      <c r="C33">
        <v>36167805</v>
      </c>
      <c r="D33">
        <v>29172556</v>
      </c>
      <c r="E33">
        <v>1</v>
      </c>
      <c r="F33">
        <v>1</v>
      </c>
      <c r="G33">
        <v>1</v>
      </c>
      <c r="H33">
        <v>2</v>
      </c>
      <c r="I33" t="s">
        <v>376</v>
      </c>
      <c r="J33" t="s">
        <v>377</v>
      </c>
      <c r="K33" t="s">
        <v>378</v>
      </c>
      <c r="L33">
        <v>1368</v>
      </c>
      <c r="N33">
        <v>1011</v>
      </c>
      <c r="O33" t="s">
        <v>379</v>
      </c>
      <c r="P33" t="s">
        <v>379</v>
      </c>
      <c r="Q33">
        <v>1</v>
      </c>
      <c r="X33">
        <v>0.01</v>
      </c>
      <c r="Y33">
        <v>0</v>
      </c>
      <c r="Z33">
        <v>31.26</v>
      </c>
      <c r="AA33">
        <v>13.5</v>
      </c>
      <c r="AB33">
        <v>0</v>
      </c>
      <c r="AC33">
        <v>0</v>
      </c>
      <c r="AD33">
        <v>1</v>
      </c>
      <c r="AE33">
        <v>0</v>
      </c>
      <c r="AF33" t="s">
        <v>3</v>
      </c>
      <c r="AG33">
        <v>0.01</v>
      </c>
      <c r="AH33">
        <v>2</v>
      </c>
      <c r="AI33">
        <v>36167808</v>
      </c>
      <c r="AJ33">
        <v>35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</row>
    <row r="34" spans="1:44">
      <c r="A34">
        <f>ROW(Source!A86)</f>
        <v>86</v>
      </c>
      <c r="B34">
        <v>36167809</v>
      </c>
      <c r="C34">
        <v>36167805</v>
      </c>
      <c r="D34">
        <v>29174913</v>
      </c>
      <c r="E34">
        <v>1</v>
      </c>
      <c r="F34">
        <v>1</v>
      </c>
      <c r="G34">
        <v>1</v>
      </c>
      <c r="H34">
        <v>2</v>
      </c>
      <c r="I34" t="s">
        <v>394</v>
      </c>
      <c r="J34" t="s">
        <v>395</v>
      </c>
      <c r="K34" t="s">
        <v>396</v>
      </c>
      <c r="L34">
        <v>1368</v>
      </c>
      <c r="N34">
        <v>1011</v>
      </c>
      <c r="O34" t="s">
        <v>379</v>
      </c>
      <c r="P34" t="s">
        <v>379</v>
      </c>
      <c r="Q34">
        <v>1</v>
      </c>
      <c r="X34">
        <v>0.09</v>
      </c>
      <c r="Y34">
        <v>0</v>
      </c>
      <c r="Z34">
        <v>87.17</v>
      </c>
      <c r="AA34">
        <v>11.6</v>
      </c>
      <c r="AB34">
        <v>0</v>
      </c>
      <c r="AC34">
        <v>0</v>
      </c>
      <c r="AD34">
        <v>1</v>
      </c>
      <c r="AE34">
        <v>0</v>
      </c>
      <c r="AF34" t="s">
        <v>3</v>
      </c>
      <c r="AG34">
        <v>0.09</v>
      </c>
      <c r="AH34">
        <v>2</v>
      </c>
      <c r="AI34">
        <v>36167809</v>
      </c>
      <c r="AJ34">
        <v>36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</row>
    <row r="35" spans="1:44">
      <c r="A35">
        <f>ROW(Source!A86)</f>
        <v>86</v>
      </c>
      <c r="B35">
        <v>36167810</v>
      </c>
      <c r="C35">
        <v>36167805</v>
      </c>
      <c r="D35">
        <v>29107779</v>
      </c>
      <c r="E35">
        <v>1</v>
      </c>
      <c r="F35">
        <v>1</v>
      </c>
      <c r="G35">
        <v>1</v>
      </c>
      <c r="H35">
        <v>3</v>
      </c>
      <c r="I35" t="s">
        <v>400</v>
      </c>
      <c r="J35" t="s">
        <v>401</v>
      </c>
      <c r="K35" t="s">
        <v>402</v>
      </c>
      <c r="L35">
        <v>1327</v>
      </c>
      <c r="N35">
        <v>1005</v>
      </c>
      <c r="O35" t="s">
        <v>183</v>
      </c>
      <c r="P35" t="s">
        <v>183</v>
      </c>
      <c r="Q35">
        <v>1</v>
      </c>
      <c r="X35">
        <v>0.33</v>
      </c>
      <c r="Y35">
        <v>72.31</v>
      </c>
      <c r="Z35">
        <v>0</v>
      </c>
      <c r="AA35">
        <v>0</v>
      </c>
      <c r="AB35">
        <v>0</v>
      </c>
      <c r="AC35">
        <v>0</v>
      </c>
      <c r="AD35">
        <v>1</v>
      </c>
      <c r="AE35">
        <v>0</v>
      </c>
      <c r="AF35" t="s">
        <v>3</v>
      </c>
      <c r="AG35">
        <v>0.33</v>
      </c>
      <c r="AH35">
        <v>2</v>
      </c>
      <c r="AI35">
        <v>36167810</v>
      </c>
      <c r="AJ35">
        <v>37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</row>
    <row r="36" spans="1:44">
      <c r="A36">
        <f>ROW(Source!A86)</f>
        <v>86</v>
      </c>
      <c r="B36">
        <v>36167811</v>
      </c>
      <c r="C36">
        <v>36167805</v>
      </c>
      <c r="D36">
        <v>29109797</v>
      </c>
      <c r="E36">
        <v>1</v>
      </c>
      <c r="F36">
        <v>1</v>
      </c>
      <c r="G36">
        <v>1</v>
      </c>
      <c r="H36">
        <v>3</v>
      </c>
      <c r="I36" t="s">
        <v>420</v>
      </c>
      <c r="J36" t="s">
        <v>421</v>
      </c>
      <c r="K36" t="s">
        <v>422</v>
      </c>
      <c r="L36">
        <v>1348</v>
      </c>
      <c r="N36">
        <v>1009</v>
      </c>
      <c r="O36" t="s">
        <v>27</v>
      </c>
      <c r="P36" t="s">
        <v>27</v>
      </c>
      <c r="Q36">
        <v>1000</v>
      </c>
      <c r="X36">
        <v>5.4999999999999997E-3</v>
      </c>
      <c r="Y36">
        <v>4294.0200000000004</v>
      </c>
      <c r="Z36">
        <v>0</v>
      </c>
      <c r="AA36">
        <v>0</v>
      </c>
      <c r="AB36">
        <v>0</v>
      </c>
      <c r="AC36">
        <v>0</v>
      </c>
      <c r="AD36">
        <v>1</v>
      </c>
      <c r="AE36">
        <v>0</v>
      </c>
      <c r="AF36" t="s">
        <v>3</v>
      </c>
      <c r="AG36">
        <v>5.4999999999999997E-3</v>
      </c>
      <c r="AH36">
        <v>2</v>
      </c>
      <c r="AI36">
        <v>36167811</v>
      </c>
      <c r="AJ36">
        <v>38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</row>
    <row r="37" spans="1:44">
      <c r="A37">
        <f>ROW(Source!A86)</f>
        <v>86</v>
      </c>
      <c r="B37">
        <v>36167812</v>
      </c>
      <c r="C37">
        <v>36167805</v>
      </c>
      <c r="D37">
        <v>29107800</v>
      </c>
      <c r="E37">
        <v>1</v>
      </c>
      <c r="F37">
        <v>1</v>
      </c>
      <c r="G37">
        <v>1</v>
      </c>
      <c r="H37">
        <v>3</v>
      </c>
      <c r="I37" t="s">
        <v>406</v>
      </c>
      <c r="J37" t="s">
        <v>407</v>
      </c>
      <c r="K37" t="s">
        <v>408</v>
      </c>
      <c r="L37">
        <v>1346</v>
      </c>
      <c r="N37">
        <v>1009</v>
      </c>
      <c r="O37" t="s">
        <v>153</v>
      </c>
      <c r="P37" t="s">
        <v>153</v>
      </c>
      <c r="Q37">
        <v>1</v>
      </c>
      <c r="X37">
        <v>0.11</v>
      </c>
      <c r="Y37">
        <v>1.81</v>
      </c>
      <c r="Z37">
        <v>0</v>
      </c>
      <c r="AA37">
        <v>0</v>
      </c>
      <c r="AB37">
        <v>0</v>
      </c>
      <c r="AC37">
        <v>0</v>
      </c>
      <c r="AD37">
        <v>1</v>
      </c>
      <c r="AE37">
        <v>0</v>
      </c>
      <c r="AF37" t="s">
        <v>3</v>
      </c>
      <c r="AG37">
        <v>0.11</v>
      </c>
      <c r="AH37">
        <v>2</v>
      </c>
      <c r="AI37">
        <v>36167812</v>
      </c>
      <c r="AJ37">
        <v>39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</row>
    <row r="38" spans="1:44">
      <c r="A38">
        <f>ROW(Source!A86)</f>
        <v>86</v>
      </c>
      <c r="B38">
        <v>36167813</v>
      </c>
      <c r="C38">
        <v>36167805</v>
      </c>
      <c r="D38">
        <v>29110439</v>
      </c>
      <c r="E38">
        <v>1</v>
      </c>
      <c r="F38">
        <v>1</v>
      </c>
      <c r="G38">
        <v>1</v>
      </c>
      <c r="H38">
        <v>3</v>
      </c>
      <c r="I38" t="s">
        <v>423</v>
      </c>
      <c r="J38" t="s">
        <v>424</v>
      </c>
      <c r="K38" t="s">
        <v>425</v>
      </c>
      <c r="L38">
        <v>1348</v>
      </c>
      <c r="N38">
        <v>1009</v>
      </c>
      <c r="O38" t="s">
        <v>27</v>
      </c>
      <c r="P38" t="s">
        <v>27</v>
      </c>
      <c r="Q38">
        <v>1000</v>
      </c>
      <c r="X38">
        <v>5.7000000000000002E-2</v>
      </c>
      <c r="Y38">
        <v>15481.01</v>
      </c>
      <c r="Z38">
        <v>0</v>
      </c>
      <c r="AA38">
        <v>0</v>
      </c>
      <c r="AB38">
        <v>0</v>
      </c>
      <c r="AC38">
        <v>0</v>
      </c>
      <c r="AD38">
        <v>1</v>
      </c>
      <c r="AE38">
        <v>0</v>
      </c>
      <c r="AF38" t="s">
        <v>3</v>
      </c>
      <c r="AG38">
        <v>5.7000000000000002E-2</v>
      </c>
      <c r="AH38">
        <v>2</v>
      </c>
      <c r="AI38">
        <v>36167813</v>
      </c>
      <c r="AJ38">
        <v>40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</row>
    <row r="39" spans="1:44">
      <c r="A39">
        <f>ROW(Source!A88)</f>
        <v>88</v>
      </c>
      <c r="B39">
        <v>36150943</v>
      </c>
      <c r="C39">
        <v>35844448</v>
      </c>
      <c r="D39">
        <v>18407150</v>
      </c>
      <c r="E39">
        <v>1</v>
      </c>
      <c r="F39">
        <v>1</v>
      </c>
      <c r="G39">
        <v>1</v>
      </c>
      <c r="H39">
        <v>1</v>
      </c>
      <c r="I39" t="s">
        <v>426</v>
      </c>
      <c r="J39" t="s">
        <v>3</v>
      </c>
      <c r="K39" t="s">
        <v>427</v>
      </c>
      <c r="L39">
        <v>1369</v>
      </c>
      <c r="N39">
        <v>1013</v>
      </c>
      <c r="O39" t="s">
        <v>369</v>
      </c>
      <c r="P39" t="s">
        <v>369</v>
      </c>
      <c r="Q39">
        <v>1</v>
      </c>
      <c r="X39">
        <v>35.74</v>
      </c>
      <c r="Y39">
        <v>0</v>
      </c>
      <c r="Z39">
        <v>0</v>
      </c>
      <c r="AA39">
        <v>0</v>
      </c>
      <c r="AB39">
        <v>278.5</v>
      </c>
      <c r="AC39">
        <v>0</v>
      </c>
      <c r="AD39">
        <v>1</v>
      </c>
      <c r="AE39">
        <v>1</v>
      </c>
      <c r="AF39" t="s">
        <v>3</v>
      </c>
      <c r="AG39">
        <v>35.74</v>
      </c>
      <c r="AH39">
        <v>2</v>
      </c>
      <c r="AI39">
        <v>36150943</v>
      </c>
      <c r="AJ39">
        <v>41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</row>
    <row r="40" spans="1:44">
      <c r="A40">
        <f>ROW(Source!A88)</f>
        <v>88</v>
      </c>
      <c r="B40">
        <v>36150944</v>
      </c>
      <c r="C40">
        <v>35844448</v>
      </c>
      <c r="D40">
        <v>121548</v>
      </c>
      <c r="E40">
        <v>1</v>
      </c>
      <c r="F40">
        <v>1</v>
      </c>
      <c r="G40">
        <v>1</v>
      </c>
      <c r="H40">
        <v>1</v>
      </c>
      <c r="I40" t="s">
        <v>212</v>
      </c>
      <c r="J40" t="s">
        <v>3</v>
      </c>
      <c r="K40" t="s">
        <v>374</v>
      </c>
      <c r="L40">
        <v>608254</v>
      </c>
      <c r="N40">
        <v>1013</v>
      </c>
      <c r="O40" t="s">
        <v>375</v>
      </c>
      <c r="P40" t="s">
        <v>375</v>
      </c>
      <c r="Q40">
        <v>1</v>
      </c>
      <c r="X40">
        <v>0.18</v>
      </c>
      <c r="Y40">
        <v>0</v>
      </c>
      <c r="Z40">
        <v>0</v>
      </c>
      <c r="AA40">
        <v>0</v>
      </c>
      <c r="AB40">
        <v>0</v>
      </c>
      <c r="AC40">
        <v>0</v>
      </c>
      <c r="AD40">
        <v>1</v>
      </c>
      <c r="AE40">
        <v>2</v>
      </c>
      <c r="AF40" t="s">
        <v>3</v>
      </c>
      <c r="AG40">
        <v>0.18</v>
      </c>
      <c r="AH40">
        <v>2</v>
      </c>
      <c r="AI40">
        <v>36150944</v>
      </c>
      <c r="AJ40">
        <v>42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</row>
    <row r="41" spans="1:44">
      <c r="A41">
        <f>ROW(Source!A88)</f>
        <v>88</v>
      </c>
      <c r="B41">
        <v>36150945</v>
      </c>
      <c r="C41">
        <v>35844448</v>
      </c>
      <c r="D41">
        <v>29172556</v>
      </c>
      <c r="E41">
        <v>1</v>
      </c>
      <c r="F41">
        <v>1</v>
      </c>
      <c r="G41">
        <v>1</v>
      </c>
      <c r="H41">
        <v>2</v>
      </c>
      <c r="I41" t="s">
        <v>376</v>
      </c>
      <c r="J41" t="s">
        <v>377</v>
      </c>
      <c r="K41" t="s">
        <v>378</v>
      </c>
      <c r="L41">
        <v>1368</v>
      </c>
      <c r="N41">
        <v>1011</v>
      </c>
      <c r="O41" t="s">
        <v>379</v>
      </c>
      <c r="P41" t="s">
        <v>379</v>
      </c>
      <c r="Q41">
        <v>1</v>
      </c>
      <c r="X41">
        <v>0.18</v>
      </c>
      <c r="Y41">
        <v>0</v>
      </c>
      <c r="Z41">
        <v>31.26</v>
      </c>
      <c r="AA41">
        <v>13.5</v>
      </c>
      <c r="AB41">
        <v>0</v>
      </c>
      <c r="AC41">
        <v>0</v>
      </c>
      <c r="AD41">
        <v>1</v>
      </c>
      <c r="AE41">
        <v>0</v>
      </c>
      <c r="AF41" t="s">
        <v>3</v>
      </c>
      <c r="AG41">
        <v>0.18</v>
      </c>
      <c r="AH41">
        <v>2</v>
      </c>
      <c r="AI41">
        <v>36150945</v>
      </c>
      <c r="AJ41">
        <v>43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</row>
    <row r="42" spans="1:44">
      <c r="A42">
        <f>ROW(Source!A88)</f>
        <v>88</v>
      </c>
      <c r="B42">
        <v>36150946</v>
      </c>
      <c r="C42">
        <v>35844448</v>
      </c>
      <c r="D42">
        <v>29174591</v>
      </c>
      <c r="E42">
        <v>1</v>
      </c>
      <c r="F42">
        <v>1</v>
      </c>
      <c r="G42">
        <v>1</v>
      </c>
      <c r="H42">
        <v>2</v>
      </c>
      <c r="I42" t="s">
        <v>428</v>
      </c>
      <c r="J42" t="s">
        <v>429</v>
      </c>
      <c r="K42" t="s">
        <v>430</v>
      </c>
      <c r="L42">
        <v>1368</v>
      </c>
      <c r="N42">
        <v>1011</v>
      </c>
      <c r="O42" t="s">
        <v>379</v>
      </c>
      <c r="P42" t="s">
        <v>379</v>
      </c>
      <c r="Q42">
        <v>1</v>
      </c>
      <c r="X42">
        <v>0.32</v>
      </c>
      <c r="Y42">
        <v>0</v>
      </c>
      <c r="Z42">
        <v>0.95</v>
      </c>
      <c r="AA42">
        <v>0</v>
      </c>
      <c r="AB42">
        <v>0</v>
      </c>
      <c r="AC42">
        <v>0</v>
      </c>
      <c r="AD42">
        <v>1</v>
      </c>
      <c r="AE42">
        <v>0</v>
      </c>
      <c r="AF42" t="s">
        <v>3</v>
      </c>
      <c r="AG42">
        <v>0.32</v>
      </c>
      <c r="AH42">
        <v>2</v>
      </c>
      <c r="AI42">
        <v>36150946</v>
      </c>
      <c r="AJ42">
        <v>44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</row>
    <row r="43" spans="1:44">
      <c r="A43">
        <f>ROW(Source!A88)</f>
        <v>88</v>
      </c>
      <c r="B43">
        <v>36150947</v>
      </c>
      <c r="C43">
        <v>35844448</v>
      </c>
      <c r="D43">
        <v>29174913</v>
      </c>
      <c r="E43">
        <v>1</v>
      </c>
      <c r="F43">
        <v>1</v>
      </c>
      <c r="G43">
        <v>1</v>
      </c>
      <c r="H43">
        <v>2</v>
      </c>
      <c r="I43" t="s">
        <v>394</v>
      </c>
      <c r="J43" t="s">
        <v>395</v>
      </c>
      <c r="K43" t="s">
        <v>396</v>
      </c>
      <c r="L43">
        <v>1368</v>
      </c>
      <c r="N43">
        <v>1011</v>
      </c>
      <c r="O43" t="s">
        <v>379</v>
      </c>
      <c r="P43" t="s">
        <v>379</v>
      </c>
      <c r="Q43">
        <v>1</v>
      </c>
      <c r="X43">
        <v>0.26</v>
      </c>
      <c r="Y43">
        <v>0</v>
      </c>
      <c r="Z43">
        <v>87.17</v>
      </c>
      <c r="AA43">
        <v>11.6</v>
      </c>
      <c r="AB43">
        <v>0</v>
      </c>
      <c r="AC43">
        <v>0</v>
      </c>
      <c r="AD43">
        <v>1</v>
      </c>
      <c r="AE43">
        <v>0</v>
      </c>
      <c r="AF43" t="s">
        <v>3</v>
      </c>
      <c r="AG43">
        <v>0.26</v>
      </c>
      <c r="AH43">
        <v>2</v>
      </c>
      <c r="AI43">
        <v>36150947</v>
      </c>
      <c r="AJ43">
        <v>45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</row>
    <row r="44" spans="1:44">
      <c r="A44">
        <f>ROW(Source!A88)</f>
        <v>88</v>
      </c>
      <c r="B44">
        <v>36150948</v>
      </c>
      <c r="C44">
        <v>35844448</v>
      </c>
      <c r="D44">
        <v>29109162</v>
      </c>
      <c r="E44">
        <v>1</v>
      </c>
      <c r="F44">
        <v>1</v>
      </c>
      <c r="G44">
        <v>1</v>
      </c>
      <c r="H44">
        <v>3</v>
      </c>
      <c r="I44" t="s">
        <v>431</v>
      </c>
      <c r="J44" t="s">
        <v>432</v>
      </c>
      <c r="K44" t="s">
        <v>433</v>
      </c>
      <c r="L44">
        <v>1327</v>
      </c>
      <c r="N44">
        <v>1005</v>
      </c>
      <c r="O44" t="s">
        <v>183</v>
      </c>
      <c r="P44" t="s">
        <v>183</v>
      </c>
      <c r="Q44">
        <v>1</v>
      </c>
      <c r="X44">
        <v>21</v>
      </c>
      <c r="Y44">
        <v>5.71</v>
      </c>
      <c r="Z44">
        <v>0</v>
      </c>
      <c r="AA44">
        <v>0</v>
      </c>
      <c r="AB44">
        <v>0</v>
      </c>
      <c r="AC44">
        <v>0</v>
      </c>
      <c r="AD44">
        <v>1</v>
      </c>
      <c r="AE44">
        <v>0</v>
      </c>
      <c r="AF44" t="s">
        <v>3</v>
      </c>
      <c r="AG44">
        <v>21</v>
      </c>
      <c r="AH44">
        <v>2</v>
      </c>
      <c r="AI44">
        <v>36150948</v>
      </c>
      <c r="AJ44">
        <v>46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</row>
    <row r="45" spans="1:44">
      <c r="A45">
        <f>ROW(Source!A88)</f>
        <v>88</v>
      </c>
      <c r="B45">
        <v>36150949</v>
      </c>
      <c r="C45">
        <v>35844448</v>
      </c>
      <c r="D45">
        <v>29131086</v>
      </c>
      <c r="E45">
        <v>1</v>
      </c>
      <c r="F45">
        <v>1</v>
      </c>
      <c r="G45">
        <v>1</v>
      </c>
      <c r="H45">
        <v>3</v>
      </c>
      <c r="I45" t="s">
        <v>434</v>
      </c>
      <c r="J45" t="s">
        <v>435</v>
      </c>
      <c r="K45" t="s">
        <v>436</v>
      </c>
      <c r="L45">
        <v>1339</v>
      </c>
      <c r="N45">
        <v>1007</v>
      </c>
      <c r="O45" t="s">
        <v>391</v>
      </c>
      <c r="P45" t="s">
        <v>391</v>
      </c>
      <c r="Q45">
        <v>1</v>
      </c>
      <c r="X45">
        <v>0.82</v>
      </c>
      <c r="Y45">
        <v>1970.01</v>
      </c>
      <c r="Z45">
        <v>0</v>
      </c>
      <c r="AA45">
        <v>0</v>
      </c>
      <c r="AB45">
        <v>0</v>
      </c>
      <c r="AC45">
        <v>0</v>
      </c>
      <c r="AD45">
        <v>1</v>
      </c>
      <c r="AE45">
        <v>0</v>
      </c>
      <c r="AF45" t="s">
        <v>3</v>
      </c>
      <c r="AG45">
        <v>0.82</v>
      </c>
      <c r="AH45">
        <v>2</v>
      </c>
      <c r="AI45">
        <v>36150949</v>
      </c>
      <c r="AJ45">
        <v>47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</row>
    <row r="46" spans="1:44">
      <c r="A46">
        <f>ROW(Source!A89)</f>
        <v>89</v>
      </c>
      <c r="B46">
        <v>35844577</v>
      </c>
      <c r="C46">
        <v>35844576</v>
      </c>
      <c r="D46">
        <v>18407150</v>
      </c>
      <c r="E46">
        <v>1</v>
      </c>
      <c r="F46">
        <v>1</v>
      </c>
      <c r="G46">
        <v>1</v>
      </c>
      <c r="H46">
        <v>1</v>
      </c>
      <c r="I46" t="s">
        <v>426</v>
      </c>
      <c r="J46" t="s">
        <v>3</v>
      </c>
      <c r="K46" t="s">
        <v>427</v>
      </c>
      <c r="L46">
        <v>1369</v>
      </c>
      <c r="N46">
        <v>1013</v>
      </c>
      <c r="O46" t="s">
        <v>369</v>
      </c>
      <c r="P46" t="s">
        <v>369</v>
      </c>
      <c r="Q46">
        <v>1</v>
      </c>
      <c r="X46">
        <v>60.72</v>
      </c>
      <c r="Y46">
        <v>0</v>
      </c>
      <c r="Z46">
        <v>0</v>
      </c>
      <c r="AA46">
        <v>0</v>
      </c>
      <c r="AB46">
        <v>278.5</v>
      </c>
      <c r="AC46">
        <v>0</v>
      </c>
      <c r="AD46">
        <v>1</v>
      </c>
      <c r="AE46">
        <v>1</v>
      </c>
      <c r="AF46" t="s">
        <v>147</v>
      </c>
      <c r="AG46">
        <v>69.827999999999989</v>
      </c>
      <c r="AH46">
        <v>2</v>
      </c>
      <c r="AI46">
        <v>35844577</v>
      </c>
      <c r="AJ46">
        <v>48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</row>
    <row r="47" spans="1:44">
      <c r="A47">
        <f>ROW(Source!A89)</f>
        <v>89</v>
      </c>
      <c r="B47">
        <v>35844578</v>
      </c>
      <c r="C47">
        <v>35844576</v>
      </c>
      <c r="D47">
        <v>121548</v>
      </c>
      <c r="E47">
        <v>1</v>
      </c>
      <c r="F47">
        <v>1</v>
      </c>
      <c r="G47">
        <v>1</v>
      </c>
      <c r="H47">
        <v>1</v>
      </c>
      <c r="I47" t="s">
        <v>212</v>
      </c>
      <c r="J47" t="s">
        <v>3</v>
      </c>
      <c r="K47" t="s">
        <v>374</v>
      </c>
      <c r="L47">
        <v>608254</v>
      </c>
      <c r="N47">
        <v>1013</v>
      </c>
      <c r="O47" t="s">
        <v>375</v>
      </c>
      <c r="P47" t="s">
        <v>375</v>
      </c>
      <c r="Q47">
        <v>1</v>
      </c>
      <c r="X47">
        <v>0.57999999999999996</v>
      </c>
      <c r="Y47">
        <v>0</v>
      </c>
      <c r="Z47">
        <v>0</v>
      </c>
      <c r="AA47">
        <v>0</v>
      </c>
      <c r="AB47">
        <v>0</v>
      </c>
      <c r="AC47">
        <v>0</v>
      </c>
      <c r="AD47">
        <v>1</v>
      </c>
      <c r="AE47">
        <v>2</v>
      </c>
      <c r="AF47" t="s">
        <v>146</v>
      </c>
      <c r="AG47">
        <v>0.72499999999999998</v>
      </c>
      <c r="AH47">
        <v>2</v>
      </c>
      <c r="AI47">
        <v>35844578</v>
      </c>
      <c r="AJ47">
        <v>49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</row>
    <row r="48" spans="1:44">
      <c r="A48">
        <f>ROW(Source!A89)</f>
        <v>89</v>
      </c>
      <c r="B48">
        <v>35844579</v>
      </c>
      <c r="C48">
        <v>35844576</v>
      </c>
      <c r="D48">
        <v>29172556</v>
      </c>
      <c r="E48">
        <v>1</v>
      </c>
      <c r="F48">
        <v>1</v>
      </c>
      <c r="G48">
        <v>1</v>
      </c>
      <c r="H48">
        <v>2</v>
      </c>
      <c r="I48" t="s">
        <v>376</v>
      </c>
      <c r="J48" t="s">
        <v>377</v>
      </c>
      <c r="K48" t="s">
        <v>378</v>
      </c>
      <c r="L48">
        <v>1368</v>
      </c>
      <c r="N48">
        <v>1011</v>
      </c>
      <c r="O48" t="s">
        <v>379</v>
      </c>
      <c r="P48" t="s">
        <v>379</v>
      </c>
      <c r="Q48">
        <v>1</v>
      </c>
      <c r="X48">
        <v>0.57999999999999996</v>
      </c>
      <c r="Y48">
        <v>0</v>
      </c>
      <c r="Z48">
        <v>31.26</v>
      </c>
      <c r="AA48">
        <v>13.5</v>
      </c>
      <c r="AB48">
        <v>0</v>
      </c>
      <c r="AC48">
        <v>0</v>
      </c>
      <c r="AD48">
        <v>1</v>
      </c>
      <c r="AE48">
        <v>0</v>
      </c>
      <c r="AF48" t="s">
        <v>146</v>
      </c>
      <c r="AG48">
        <v>0.72499999999999998</v>
      </c>
      <c r="AH48">
        <v>2</v>
      </c>
      <c r="AI48">
        <v>35844579</v>
      </c>
      <c r="AJ48">
        <v>50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</row>
    <row r="49" spans="1:44">
      <c r="A49">
        <f>ROW(Source!A89)</f>
        <v>89</v>
      </c>
      <c r="B49">
        <v>35844580</v>
      </c>
      <c r="C49">
        <v>35844576</v>
      </c>
      <c r="D49">
        <v>29174591</v>
      </c>
      <c r="E49">
        <v>1</v>
      </c>
      <c r="F49">
        <v>1</v>
      </c>
      <c r="G49">
        <v>1</v>
      </c>
      <c r="H49">
        <v>2</v>
      </c>
      <c r="I49" t="s">
        <v>428</v>
      </c>
      <c r="J49" t="s">
        <v>429</v>
      </c>
      <c r="K49" t="s">
        <v>430</v>
      </c>
      <c r="L49">
        <v>1368</v>
      </c>
      <c r="N49">
        <v>1011</v>
      </c>
      <c r="O49" t="s">
        <v>379</v>
      </c>
      <c r="P49" t="s">
        <v>379</v>
      </c>
      <c r="Q49">
        <v>1</v>
      </c>
      <c r="X49">
        <v>0.82</v>
      </c>
      <c r="Y49">
        <v>0</v>
      </c>
      <c r="Z49">
        <v>0.95</v>
      </c>
      <c r="AA49">
        <v>0</v>
      </c>
      <c r="AB49">
        <v>0</v>
      </c>
      <c r="AC49">
        <v>0</v>
      </c>
      <c r="AD49">
        <v>1</v>
      </c>
      <c r="AE49">
        <v>0</v>
      </c>
      <c r="AF49" t="s">
        <v>146</v>
      </c>
      <c r="AG49">
        <v>1.0249999999999999</v>
      </c>
      <c r="AH49">
        <v>2</v>
      </c>
      <c r="AI49">
        <v>35844580</v>
      </c>
      <c r="AJ49">
        <v>51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</row>
    <row r="50" spans="1:44">
      <c r="A50">
        <f>ROW(Source!A89)</f>
        <v>89</v>
      </c>
      <c r="B50">
        <v>35844581</v>
      </c>
      <c r="C50">
        <v>35844576</v>
      </c>
      <c r="D50">
        <v>29174661</v>
      </c>
      <c r="E50">
        <v>1</v>
      </c>
      <c r="F50">
        <v>1</v>
      </c>
      <c r="G50">
        <v>1</v>
      </c>
      <c r="H50">
        <v>2</v>
      </c>
      <c r="I50" t="s">
        <v>437</v>
      </c>
      <c r="J50" t="s">
        <v>438</v>
      </c>
      <c r="K50" t="s">
        <v>439</v>
      </c>
      <c r="L50">
        <v>1368</v>
      </c>
      <c r="N50">
        <v>1011</v>
      </c>
      <c r="O50" t="s">
        <v>379</v>
      </c>
      <c r="P50" t="s">
        <v>379</v>
      </c>
      <c r="Q50">
        <v>1</v>
      </c>
      <c r="X50">
        <v>2.7</v>
      </c>
      <c r="Y50">
        <v>0</v>
      </c>
      <c r="Z50">
        <v>2.09</v>
      </c>
      <c r="AA50">
        <v>0</v>
      </c>
      <c r="AB50">
        <v>0</v>
      </c>
      <c r="AC50">
        <v>0</v>
      </c>
      <c r="AD50">
        <v>1</v>
      </c>
      <c r="AE50">
        <v>0</v>
      </c>
      <c r="AF50" t="s">
        <v>146</v>
      </c>
      <c r="AG50">
        <v>3.375</v>
      </c>
      <c r="AH50">
        <v>2</v>
      </c>
      <c r="AI50">
        <v>35844581</v>
      </c>
      <c r="AJ50">
        <v>52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</row>
    <row r="51" spans="1:44">
      <c r="A51">
        <f>ROW(Source!A89)</f>
        <v>89</v>
      </c>
      <c r="B51">
        <v>35844582</v>
      </c>
      <c r="C51">
        <v>35844576</v>
      </c>
      <c r="D51">
        <v>29174913</v>
      </c>
      <c r="E51">
        <v>1</v>
      </c>
      <c r="F51">
        <v>1</v>
      </c>
      <c r="G51">
        <v>1</v>
      </c>
      <c r="H51">
        <v>2</v>
      </c>
      <c r="I51" t="s">
        <v>394</v>
      </c>
      <c r="J51" t="s">
        <v>395</v>
      </c>
      <c r="K51" t="s">
        <v>396</v>
      </c>
      <c r="L51">
        <v>1368</v>
      </c>
      <c r="N51">
        <v>1011</v>
      </c>
      <c r="O51" t="s">
        <v>379</v>
      </c>
      <c r="P51" t="s">
        <v>379</v>
      </c>
      <c r="Q51">
        <v>1</v>
      </c>
      <c r="X51">
        <v>0.84</v>
      </c>
      <c r="Y51">
        <v>0</v>
      </c>
      <c r="Z51">
        <v>87.17</v>
      </c>
      <c r="AA51">
        <v>11.6</v>
      </c>
      <c r="AB51">
        <v>0</v>
      </c>
      <c r="AC51">
        <v>0</v>
      </c>
      <c r="AD51">
        <v>1</v>
      </c>
      <c r="AE51">
        <v>0</v>
      </c>
      <c r="AF51" t="s">
        <v>146</v>
      </c>
      <c r="AG51">
        <v>1.05</v>
      </c>
      <c r="AH51">
        <v>2</v>
      </c>
      <c r="AI51">
        <v>35844582</v>
      </c>
      <c r="AJ51">
        <v>53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</row>
    <row r="52" spans="1:44">
      <c r="A52">
        <f>ROW(Source!A89)</f>
        <v>89</v>
      </c>
      <c r="B52">
        <v>35844583</v>
      </c>
      <c r="C52">
        <v>35844576</v>
      </c>
      <c r="D52">
        <v>29114332</v>
      </c>
      <c r="E52">
        <v>1</v>
      </c>
      <c r="F52">
        <v>1</v>
      </c>
      <c r="G52">
        <v>1</v>
      </c>
      <c r="H52">
        <v>3</v>
      </c>
      <c r="I52" t="s">
        <v>440</v>
      </c>
      <c r="J52" t="s">
        <v>441</v>
      </c>
      <c r="K52" t="s">
        <v>442</v>
      </c>
      <c r="L52">
        <v>1348</v>
      </c>
      <c r="N52">
        <v>1009</v>
      </c>
      <c r="O52" t="s">
        <v>27</v>
      </c>
      <c r="P52" t="s">
        <v>27</v>
      </c>
      <c r="Q52">
        <v>1000</v>
      </c>
      <c r="X52">
        <v>1.23E-2</v>
      </c>
      <c r="Y52">
        <v>11978</v>
      </c>
      <c r="Z52">
        <v>0</v>
      </c>
      <c r="AA52">
        <v>0</v>
      </c>
      <c r="AB52">
        <v>0</v>
      </c>
      <c r="AC52">
        <v>0</v>
      </c>
      <c r="AD52">
        <v>1</v>
      </c>
      <c r="AE52">
        <v>0</v>
      </c>
      <c r="AF52" t="s">
        <v>3</v>
      </c>
      <c r="AG52">
        <v>1.23E-2</v>
      </c>
      <c r="AH52">
        <v>2</v>
      </c>
      <c r="AI52">
        <v>35844583</v>
      </c>
      <c r="AJ52">
        <v>54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</row>
    <row r="53" spans="1:44">
      <c r="A53">
        <f>ROW(Source!A89)</f>
        <v>89</v>
      </c>
      <c r="B53">
        <v>35844584</v>
      </c>
      <c r="C53">
        <v>35844576</v>
      </c>
      <c r="D53">
        <v>29130788</v>
      </c>
      <c r="E53">
        <v>1</v>
      </c>
      <c r="F53">
        <v>1</v>
      </c>
      <c r="G53">
        <v>1</v>
      </c>
      <c r="H53">
        <v>3</v>
      </c>
      <c r="I53" t="s">
        <v>443</v>
      </c>
      <c r="J53" t="s">
        <v>444</v>
      </c>
      <c r="K53" t="s">
        <v>445</v>
      </c>
      <c r="L53">
        <v>1339</v>
      </c>
      <c r="N53">
        <v>1007</v>
      </c>
      <c r="O53" t="s">
        <v>391</v>
      </c>
      <c r="P53" t="s">
        <v>391</v>
      </c>
      <c r="Q53">
        <v>1</v>
      </c>
      <c r="X53">
        <v>2.88</v>
      </c>
      <c r="Y53">
        <v>2156.0100000000002</v>
      </c>
      <c r="Z53">
        <v>0</v>
      </c>
      <c r="AA53">
        <v>0</v>
      </c>
      <c r="AB53">
        <v>0</v>
      </c>
      <c r="AC53">
        <v>0</v>
      </c>
      <c r="AD53">
        <v>1</v>
      </c>
      <c r="AE53">
        <v>0</v>
      </c>
      <c r="AF53" t="s">
        <v>3</v>
      </c>
      <c r="AG53">
        <v>2.88</v>
      </c>
      <c r="AH53">
        <v>2</v>
      </c>
      <c r="AI53">
        <v>35844584</v>
      </c>
      <c r="AJ53">
        <v>55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</row>
    <row r="54" spans="1:44">
      <c r="A54">
        <f>ROW(Source!A90)</f>
        <v>90</v>
      </c>
      <c r="B54">
        <v>35841660</v>
      </c>
      <c r="C54">
        <v>35841652</v>
      </c>
      <c r="D54">
        <v>18408291</v>
      </c>
      <c r="E54">
        <v>1</v>
      </c>
      <c r="F54">
        <v>1</v>
      </c>
      <c r="G54">
        <v>1</v>
      </c>
      <c r="H54">
        <v>1</v>
      </c>
      <c r="I54" t="s">
        <v>370</v>
      </c>
      <c r="J54" t="s">
        <v>3</v>
      </c>
      <c r="K54" t="s">
        <v>371</v>
      </c>
      <c r="L54">
        <v>1369</v>
      </c>
      <c r="N54">
        <v>1013</v>
      </c>
      <c r="O54" t="s">
        <v>369</v>
      </c>
      <c r="P54" t="s">
        <v>369</v>
      </c>
      <c r="Q54">
        <v>1</v>
      </c>
      <c r="X54">
        <v>31.26</v>
      </c>
      <c r="Y54">
        <v>0</v>
      </c>
      <c r="Z54">
        <v>0</v>
      </c>
      <c r="AA54">
        <v>0</v>
      </c>
      <c r="AB54">
        <v>232.28</v>
      </c>
      <c r="AC54">
        <v>0</v>
      </c>
      <c r="AD54">
        <v>1</v>
      </c>
      <c r="AE54">
        <v>1</v>
      </c>
      <c r="AF54" t="s">
        <v>175</v>
      </c>
      <c r="AG54">
        <v>35.948999999999998</v>
      </c>
      <c r="AH54">
        <v>2</v>
      </c>
      <c r="AI54">
        <v>35841653</v>
      </c>
      <c r="AJ54">
        <v>56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</row>
    <row r="55" spans="1:44">
      <c r="A55">
        <f>ROW(Source!A90)</f>
        <v>90</v>
      </c>
      <c r="B55">
        <v>35841661</v>
      </c>
      <c r="C55">
        <v>35841652</v>
      </c>
      <c r="D55">
        <v>121548</v>
      </c>
      <c r="E55">
        <v>1</v>
      </c>
      <c r="F55">
        <v>1</v>
      </c>
      <c r="G55">
        <v>1</v>
      </c>
      <c r="H55">
        <v>1</v>
      </c>
      <c r="I55" t="s">
        <v>212</v>
      </c>
      <c r="J55" t="s">
        <v>3</v>
      </c>
      <c r="K55" t="s">
        <v>374</v>
      </c>
      <c r="L55">
        <v>608254</v>
      </c>
      <c r="N55">
        <v>1013</v>
      </c>
      <c r="O55" t="s">
        <v>375</v>
      </c>
      <c r="P55" t="s">
        <v>375</v>
      </c>
      <c r="Q55">
        <v>1</v>
      </c>
      <c r="X55">
        <v>6.7</v>
      </c>
      <c r="Y55">
        <v>0</v>
      </c>
      <c r="Z55">
        <v>0</v>
      </c>
      <c r="AA55">
        <v>0</v>
      </c>
      <c r="AB55">
        <v>0</v>
      </c>
      <c r="AC55">
        <v>0</v>
      </c>
      <c r="AD55">
        <v>1</v>
      </c>
      <c r="AE55">
        <v>2</v>
      </c>
      <c r="AF55" t="s">
        <v>174</v>
      </c>
      <c r="AG55">
        <v>8.375</v>
      </c>
      <c r="AH55">
        <v>2</v>
      </c>
      <c r="AI55">
        <v>35841654</v>
      </c>
      <c r="AJ55">
        <v>57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</row>
    <row r="56" spans="1:44">
      <c r="A56">
        <f>ROW(Source!A90)</f>
        <v>90</v>
      </c>
      <c r="B56">
        <v>35841662</v>
      </c>
      <c r="C56">
        <v>35841652</v>
      </c>
      <c r="D56">
        <v>29172710</v>
      </c>
      <c r="E56">
        <v>1</v>
      </c>
      <c r="F56">
        <v>1</v>
      </c>
      <c r="G56">
        <v>1</v>
      </c>
      <c r="H56">
        <v>2</v>
      </c>
      <c r="I56" t="s">
        <v>446</v>
      </c>
      <c r="J56" t="s">
        <v>447</v>
      </c>
      <c r="K56" t="s">
        <v>448</v>
      </c>
      <c r="L56">
        <v>1368</v>
      </c>
      <c r="N56">
        <v>1011</v>
      </c>
      <c r="O56" t="s">
        <v>379</v>
      </c>
      <c r="P56" t="s">
        <v>379</v>
      </c>
      <c r="Q56">
        <v>1</v>
      </c>
      <c r="X56">
        <v>6.7</v>
      </c>
      <c r="Y56">
        <v>0</v>
      </c>
      <c r="Z56">
        <v>46.56</v>
      </c>
      <c r="AA56">
        <v>10.06</v>
      </c>
      <c r="AB56">
        <v>0</v>
      </c>
      <c r="AC56">
        <v>0</v>
      </c>
      <c r="AD56">
        <v>1</v>
      </c>
      <c r="AE56">
        <v>0</v>
      </c>
      <c r="AF56" t="s">
        <v>174</v>
      </c>
      <c r="AG56">
        <v>8.375</v>
      </c>
      <c r="AH56">
        <v>2</v>
      </c>
      <c r="AI56">
        <v>35841655</v>
      </c>
      <c r="AJ56">
        <v>58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</row>
    <row r="57" spans="1:44">
      <c r="A57">
        <f>ROW(Source!A90)</f>
        <v>90</v>
      </c>
      <c r="B57">
        <v>35841663</v>
      </c>
      <c r="C57">
        <v>35841652</v>
      </c>
      <c r="D57">
        <v>29173472</v>
      </c>
      <c r="E57">
        <v>1</v>
      </c>
      <c r="F57">
        <v>1</v>
      </c>
      <c r="G57">
        <v>1</v>
      </c>
      <c r="H57">
        <v>2</v>
      </c>
      <c r="I57" t="s">
        <v>449</v>
      </c>
      <c r="J57" t="s">
        <v>450</v>
      </c>
      <c r="K57" t="s">
        <v>451</v>
      </c>
      <c r="L57">
        <v>1368</v>
      </c>
      <c r="N57">
        <v>1011</v>
      </c>
      <c r="O57" t="s">
        <v>379</v>
      </c>
      <c r="P57" t="s">
        <v>379</v>
      </c>
      <c r="Q57">
        <v>1</v>
      </c>
      <c r="X57">
        <v>11</v>
      </c>
      <c r="Y57">
        <v>0</v>
      </c>
      <c r="Z57">
        <v>3</v>
      </c>
      <c r="AA57">
        <v>0</v>
      </c>
      <c r="AB57">
        <v>0</v>
      </c>
      <c r="AC57">
        <v>0</v>
      </c>
      <c r="AD57">
        <v>1</v>
      </c>
      <c r="AE57">
        <v>0</v>
      </c>
      <c r="AF57" t="s">
        <v>174</v>
      </c>
      <c r="AG57">
        <v>13.75</v>
      </c>
      <c r="AH57">
        <v>2</v>
      </c>
      <c r="AI57">
        <v>35841656</v>
      </c>
      <c r="AJ57">
        <v>59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</row>
    <row r="58" spans="1:44">
      <c r="A58">
        <f>ROW(Source!A90)</f>
        <v>90</v>
      </c>
      <c r="B58">
        <v>35841664</v>
      </c>
      <c r="C58">
        <v>35841652</v>
      </c>
      <c r="D58">
        <v>29174913</v>
      </c>
      <c r="E58">
        <v>1</v>
      </c>
      <c r="F58">
        <v>1</v>
      </c>
      <c r="G58">
        <v>1</v>
      </c>
      <c r="H58">
        <v>2</v>
      </c>
      <c r="I58" t="s">
        <v>394</v>
      </c>
      <c r="J58" t="s">
        <v>395</v>
      </c>
      <c r="K58" t="s">
        <v>396</v>
      </c>
      <c r="L58">
        <v>1368</v>
      </c>
      <c r="N58">
        <v>1011</v>
      </c>
      <c r="O58" t="s">
        <v>379</v>
      </c>
      <c r="P58" t="s">
        <v>379</v>
      </c>
      <c r="Q58">
        <v>1</v>
      </c>
      <c r="X58">
        <v>0.35</v>
      </c>
      <c r="Y58">
        <v>0</v>
      </c>
      <c r="Z58">
        <v>87.17</v>
      </c>
      <c r="AA58">
        <v>11.6</v>
      </c>
      <c r="AB58">
        <v>0</v>
      </c>
      <c r="AC58">
        <v>0</v>
      </c>
      <c r="AD58">
        <v>1</v>
      </c>
      <c r="AE58">
        <v>0</v>
      </c>
      <c r="AF58" t="s">
        <v>174</v>
      </c>
      <c r="AG58">
        <v>0.4375</v>
      </c>
      <c r="AH58">
        <v>2</v>
      </c>
      <c r="AI58">
        <v>35841657</v>
      </c>
      <c r="AJ58">
        <v>60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</row>
    <row r="59" spans="1:44">
      <c r="A59">
        <f>ROW(Source!A90)</f>
        <v>90</v>
      </c>
      <c r="B59">
        <v>35841665</v>
      </c>
      <c r="C59">
        <v>35841652</v>
      </c>
      <c r="D59">
        <v>29114687</v>
      </c>
      <c r="E59">
        <v>1</v>
      </c>
      <c r="F59">
        <v>1</v>
      </c>
      <c r="G59">
        <v>1</v>
      </c>
      <c r="H59">
        <v>3</v>
      </c>
      <c r="I59" t="s">
        <v>452</v>
      </c>
      <c r="J59" t="s">
        <v>453</v>
      </c>
      <c r="K59" t="s">
        <v>454</v>
      </c>
      <c r="L59">
        <v>1348</v>
      </c>
      <c r="N59">
        <v>1009</v>
      </c>
      <c r="O59" t="s">
        <v>27</v>
      </c>
      <c r="P59" t="s">
        <v>27</v>
      </c>
      <c r="Q59">
        <v>1000</v>
      </c>
      <c r="X59">
        <v>1.8E-3</v>
      </c>
      <c r="Y59">
        <v>16974</v>
      </c>
      <c r="Z59">
        <v>0</v>
      </c>
      <c r="AA59">
        <v>0</v>
      </c>
      <c r="AB59">
        <v>0</v>
      </c>
      <c r="AC59">
        <v>0</v>
      </c>
      <c r="AD59">
        <v>1</v>
      </c>
      <c r="AE59">
        <v>0</v>
      </c>
      <c r="AF59" t="s">
        <v>3</v>
      </c>
      <c r="AG59">
        <v>1.8E-3</v>
      </c>
      <c r="AH59">
        <v>2</v>
      </c>
      <c r="AI59">
        <v>35841658</v>
      </c>
      <c r="AJ59">
        <v>61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</row>
    <row r="60" spans="1:44">
      <c r="A60">
        <f>ROW(Source!A90)</f>
        <v>90</v>
      </c>
      <c r="B60">
        <v>35841666</v>
      </c>
      <c r="C60">
        <v>35841652</v>
      </c>
      <c r="D60">
        <v>29115292</v>
      </c>
      <c r="E60">
        <v>1</v>
      </c>
      <c r="F60">
        <v>1</v>
      </c>
      <c r="G60">
        <v>1</v>
      </c>
      <c r="H60">
        <v>3</v>
      </c>
      <c r="I60" t="s">
        <v>455</v>
      </c>
      <c r="J60" t="s">
        <v>456</v>
      </c>
      <c r="K60" t="s">
        <v>457</v>
      </c>
      <c r="L60">
        <v>1339</v>
      </c>
      <c r="N60">
        <v>1007</v>
      </c>
      <c r="O60" t="s">
        <v>391</v>
      </c>
      <c r="P60" t="s">
        <v>391</v>
      </c>
      <c r="Q60">
        <v>1</v>
      </c>
      <c r="X60">
        <v>1.24</v>
      </c>
      <c r="Y60">
        <v>4478.33</v>
      </c>
      <c r="Z60">
        <v>0</v>
      </c>
      <c r="AA60">
        <v>0</v>
      </c>
      <c r="AB60">
        <v>0</v>
      </c>
      <c r="AC60">
        <v>0</v>
      </c>
      <c r="AD60">
        <v>1</v>
      </c>
      <c r="AE60">
        <v>0</v>
      </c>
      <c r="AF60" t="s">
        <v>3</v>
      </c>
      <c r="AG60">
        <v>1.24</v>
      </c>
      <c r="AH60">
        <v>2</v>
      </c>
      <c r="AI60">
        <v>35841659</v>
      </c>
      <c r="AJ60">
        <v>62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</row>
    <row r="61" spans="1:44">
      <c r="A61">
        <f>ROW(Source!A91)</f>
        <v>91</v>
      </c>
      <c r="B61">
        <v>36150951</v>
      </c>
      <c r="C61">
        <v>36150950</v>
      </c>
      <c r="D61">
        <v>31427882</v>
      </c>
      <c r="E61">
        <v>1</v>
      </c>
      <c r="F61">
        <v>1</v>
      </c>
      <c r="G61">
        <v>1</v>
      </c>
      <c r="H61">
        <v>1</v>
      </c>
      <c r="I61" t="s">
        <v>458</v>
      </c>
      <c r="J61" t="s">
        <v>3</v>
      </c>
      <c r="K61" t="s">
        <v>459</v>
      </c>
      <c r="L61">
        <v>1369</v>
      </c>
      <c r="N61">
        <v>1013</v>
      </c>
      <c r="O61" t="s">
        <v>369</v>
      </c>
      <c r="P61" t="s">
        <v>369</v>
      </c>
      <c r="Q61">
        <v>1</v>
      </c>
      <c r="X61">
        <v>45.26</v>
      </c>
      <c r="Y61">
        <v>0</v>
      </c>
      <c r="Z61">
        <v>0</v>
      </c>
      <c r="AA61">
        <v>0</v>
      </c>
      <c r="AB61">
        <v>278.5</v>
      </c>
      <c r="AC61">
        <v>0</v>
      </c>
      <c r="AD61">
        <v>1</v>
      </c>
      <c r="AE61">
        <v>1</v>
      </c>
      <c r="AF61" t="s">
        <v>3</v>
      </c>
      <c r="AG61">
        <v>45.26</v>
      </c>
      <c r="AH61">
        <v>2</v>
      </c>
      <c r="AI61">
        <v>36150951</v>
      </c>
      <c r="AJ61">
        <v>63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</row>
    <row r="62" spans="1:44">
      <c r="A62">
        <f>ROW(Source!A91)</f>
        <v>91</v>
      </c>
      <c r="B62">
        <v>36150952</v>
      </c>
      <c r="C62">
        <v>36150950</v>
      </c>
      <c r="D62">
        <v>121548</v>
      </c>
      <c r="E62">
        <v>1</v>
      </c>
      <c r="F62">
        <v>1</v>
      </c>
      <c r="G62">
        <v>1</v>
      </c>
      <c r="H62">
        <v>1</v>
      </c>
      <c r="I62" t="s">
        <v>212</v>
      </c>
      <c r="J62" t="s">
        <v>3</v>
      </c>
      <c r="K62" t="s">
        <v>374</v>
      </c>
      <c r="L62">
        <v>608254</v>
      </c>
      <c r="N62">
        <v>1013</v>
      </c>
      <c r="O62" t="s">
        <v>375</v>
      </c>
      <c r="P62" t="s">
        <v>375</v>
      </c>
      <c r="Q62">
        <v>1</v>
      </c>
      <c r="X62">
        <v>0.04</v>
      </c>
      <c r="Y62">
        <v>0</v>
      </c>
      <c r="Z62">
        <v>0</v>
      </c>
      <c r="AA62">
        <v>0</v>
      </c>
      <c r="AB62">
        <v>0</v>
      </c>
      <c r="AC62">
        <v>0</v>
      </c>
      <c r="AD62">
        <v>1</v>
      </c>
      <c r="AE62">
        <v>2</v>
      </c>
      <c r="AF62" t="s">
        <v>3</v>
      </c>
      <c r="AG62">
        <v>0.04</v>
      </c>
      <c r="AH62">
        <v>2</v>
      </c>
      <c r="AI62">
        <v>36150952</v>
      </c>
      <c r="AJ62">
        <v>64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</row>
    <row r="63" spans="1:44">
      <c r="A63">
        <f>ROW(Source!A91)</f>
        <v>91</v>
      </c>
      <c r="B63">
        <v>36150953</v>
      </c>
      <c r="C63">
        <v>36150950</v>
      </c>
      <c r="D63">
        <v>35554737</v>
      </c>
      <c r="E63">
        <v>1</v>
      </c>
      <c r="F63">
        <v>1</v>
      </c>
      <c r="G63">
        <v>1</v>
      </c>
      <c r="H63">
        <v>2</v>
      </c>
      <c r="I63" t="s">
        <v>376</v>
      </c>
      <c r="J63" t="s">
        <v>460</v>
      </c>
      <c r="K63" t="s">
        <v>378</v>
      </c>
      <c r="L63">
        <v>1368</v>
      </c>
      <c r="N63">
        <v>1011</v>
      </c>
      <c r="O63" t="s">
        <v>379</v>
      </c>
      <c r="P63" t="s">
        <v>379</v>
      </c>
      <c r="Q63">
        <v>1</v>
      </c>
      <c r="X63">
        <v>0.04</v>
      </c>
      <c r="Y63">
        <v>0</v>
      </c>
      <c r="Z63">
        <v>31.26</v>
      </c>
      <c r="AA63">
        <v>13.5</v>
      </c>
      <c r="AB63">
        <v>0</v>
      </c>
      <c r="AC63">
        <v>0</v>
      </c>
      <c r="AD63">
        <v>1</v>
      </c>
      <c r="AE63">
        <v>0</v>
      </c>
      <c r="AF63" t="s">
        <v>3</v>
      </c>
      <c r="AG63">
        <v>0.04</v>
      </c>
      <c r="AH63">
        <v>2</v>
      </c>
      <c r="AI63">
        <v>36150953</v>
      </c>
      <c r="AJ63">
        <v>65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</row>
    <row r="64" spans="1:44">
      <c r="A64">
        <f>ROW(Source!A91)</f>
        <v>91</v>
      </c>
      <c r="B64">
        <v>36150954</v>
      </c>
      <c r="C64">
        <v>36150950</v>
      </c>
      <c r="D64">
        <v>35555025</v>
      </c>
      <c r="E64">
        <v>1</v>
      </c>
      <c r="F64">
        <v>1</v>
      </c>
      <c r="G64">
        <v>1</v>
      </c>
      <c r="H64">
        <v>2</v>
      </c>
      <c r="I64" t="s">
        <v>461</v>
      </c>
      <c r="J64" t="s">
        <v>462</v>
      </c>
      <c r="K64" t="s">
        <v>463</v>
      </c>
      <c r="L64">
        <v>1368</v>
      </c>
      <c r="N64">
        <v>1011</v>
      </c>
      <c r="O64" t="s">
        <v>379</v>
      </c>
      <c r="P64" t="s">
        <v>379</v>
      </c>
      <c r="Q64">
        <v>1</v>
      </c>
      <c r="X64">
        <v>1.35</v>
      </c>
      <c r="Y64">
        <v>0</v>
      </c>
      <c r="Z64">
        <v>2.7</v>
      </c>
      <c r="AA64">
        <v>0</v>
      </c>
      <c r="AB64">
        <v>0</v>
      </c>
      <c r="AC64">
        <v>0</v>
      </c>
      <c r="AD64">
        <v>1</v>
      </c>
      <c r="AE64">
        <v>0</v>
      </c>
      <c r="AF64" t="s">
        <v>3</v>
      </c>
      <c r="AG64">
        <v>1.35</v>
      </c>
      <c r="AH64">
        <v>2</v>
      </c>
      <c r="AI64">
        <v>36150954</v>
      </c>
      <c r="AJ64">
        <v>66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</row>
    <row r="65" spans="1:44">
      <c r="A65">
        <f>ROW(Source!A91)</f>
        <v>91</v>
      </c>
      <c r="B65">
        <v>36150955</v>
      </c>
      <c r="C65">
        <v>36150950</v>
      </c>
      <c r="D65">
        <v>35555088</v>
      </c>
      <c r="E65">
        <v>1</v>
      </c>
      <c r="F65">
        <v>1</v>
      </c>
      <c r="G65">
        <v>1</v>
      </c>
      <c r="H65">
        <v>2</v>
      </c>
      <c r="I65" t="s">
        <v>394</v>
      </c>
      <c r="J65" t="s">
        <v>464</v>
      </c>
      <c r="K65" t="s">
        <v>396</v>
      </c>
      <c r="L65">
        <v>1368</v>
      </c>
      <c r="N65">
        <v>1011</v>
      </c>
      <c r="O65" t="s">
        <v>379</v>
      </c>
      <c r="P65" t="s">
        <v>379</v>
      </c>
      <c r="Q65">
        <v>1</v>
      </c>
      <c r="X65">
        <v>0.01</v>
      </c>
      <c r="Y65">
        <v>0</v>
      </c>
      <c r="Z65">
        <v>87.17</v>
      </c>
      <c r="AA65">
        <v>11.6</v>
      </c>
      <c r="AB65">
        <v>0</v>
      </c>
      <c r="AC65">
        <v>0</v>
      </c>
      <c r="AD65">
        <v>1</v>
      </c>
      <c r="AE65">
        <v>0</v>
      </c>
      <c r="AF65" t="s">
        <v>3</v>
      </c>
      <c r="AG65">
        <v>0.01</v>
      </c>
      <c r="AH65">
        <v>2</v>
      </c>
      <c r="AI65">
        <v>36150955</v>
      </c>
      <c r="AJ65">
        <v>67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</row>
    <row r="66" spans="1:44">
      <c r="A66">
        <f>ROW(Source!A91)</f>
        <v>91</v>
      </c>
      <c r="B66">
        <v>36150956</v>
      </c>
      <c r="C66">
        <v>36150950</v>
      </c>
      <c r="D66">
        <v>35552818</v>
      </c>
      <c r="E66">
        <v>1</v>
      </c>
      <c r="F66">
        <v>1</v>
      </c>
      <c r="G66">
        <v>1</v>
      </c>
      <c r="H66">
        <v>3</v>
      </c>
      <c r="I66" t="s">
        <v>465</v>
      </c>
      <c r="J66" t="s">
        <v>466</v>
      </c>
      <c r="K66" t="s">
        <v>467</v>
      </c>
      <c r="L66">
        <v>1308</v>
      </c>
      <c r="N66">
        <v>1003</v>
      </c>
      <c r="O66" t="s">
        <v>238</v>
      </c>
      <c r="P66" t="s">
        <v>238</v>
      </c>
      <c r="Q66">
        <v>100</v>
      </c>
      <c r="X66">
        <v>0.68</v>
      </c>
      <c r="Y66">
        <v>99.4</v>
      </c>
      <c r="Z66">
        <v>0</v>
      </c>
      <c r="AA66">
        <v>0</v>
      </c>
      <c r="AB66">
        <v>0</v>
      </c>
      <c r="AC66">
        <v>0</v>
      </c>
      <c r="AD66">
        <v>1</v>
      </c>
      <c r="AE66">
        <v>0</v>
      </c>
      <c r="AF66" t="s">
        <v>3</v>
      </c>
      <c r="AG66">
        <v>0.68</v>
      </c>
      <c r="AH66">
        <v>2</v>
      </c>
      <c r="AI66">
        <v>36150956</v>
      </c>
      <c r="AJ66">
        <v>68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</row>
    <row r="67" spans="1:44">
      <c r="A67">
        <f>ROW(Source!A91)</f>
        <v>91</v>
      </c>
      <c r="B67">
        <v>36150957</v>
      </c>
      <c r="C67">
        <v>36150950</v>
      </c>
      <c r="D67">
        <v>35554067</v>
      </c>
      <c r="E67">
        <v>1</v>
      </c>
      <c r="F67">
        <v>1</v>
      </c>
      <c r="G67">
        <v>1</v>
      </c>
      <c r="H67">
        <v>3</v>
      </c>
      <c r="I67" t="s">
        <v>186</v>
      </c>
      <c r="J67" t="s">
        <v>188</v>
      </c>
      <c r="K67" t="s">
        <v>187</v>
      </c>
      <c r="L67">
        <v>1327</v>
      </c>
      <c r="N67">
        <v>1005</v>
      </c>
      <c r="O67" t="s">
        <v>183</v>
      </c>
      <c r="P67" t="s">
        <v>183</v>
      </c>
      <c r="Q67">
        <v>1</v>
      </c>
      <c r="X67">
        <v>102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 t="s">
        <v>3</v>
      </c>
      <c r="AG67">
        <v>102</v>
      </c>
      <c r="AH67">
        <v>2</v>
      </c>
      <c r="AI67">
        <v>36150957</v>
      </c>
      <c r="AJ67">
        <v>70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</row>
    <row r="68" spans="1:44">
      <c r="A68">
        <f>ROW(Source!A91)</f>
        <v>91</v>
      </c>
      <c r="B68">
        <v>36150958</v>
      </c>
      <c r="C68">
        <v>36150950</v>
      </c>
      <c r="D68">
        <v>35553389</v>
      </c>
      <c r="E68">
        <v>1</v>
      </c>
      <c r="F68">
        <v>1</v>
      </c>
      <c r="G68">
        <v>1</v>
      </c>
      <c r="H68">
        <v>3</v>
      </c>
      <c r="I68" t="s">
        <v>468</v>
      </c>
      <c r="J68" t="s">
        <v>469</v>
      </c>
      <c r="K68" t="s">
        <v>470</v>
      </c>
      <c r="L68">
        <v>1346</v>
      </c>
      <c r="N68">
        <v>1009</v>
      </c>
      <c r="O68" t="s">
        <v>153</v>
      </c>
      <c r="P68" t="s">
        <v>153</v>
      </c>
      <c r="Q68">
        <v>1</v>
      </c>
      <c r="X68">
        <v>27</v>
      </c>
      <c r="Y68">
        <v>26.71</v>
      </c>
      <c r="Z68">
        <v>0</v>
      </c>
      <c r="AA68">
        <v>0</v>
      </c>
      <c r="AB68">
        <v>0</v>
      </c>
      <c r="AC68">
        <v>0</v>
      </c>
      <c r="AD68">
        <v>1</v>
      </c>
      <c r="AE68">
        <v>0</v>
      </c>
      <c r="AF68" t="s">
        <v>3</v>
      </c>
      <c r="AG68">
        <v>27</v>
      </c>
      <c r="AH68">
        <v>2</v>
      </c>
      <c r="AI68">
        <v>36150958</v>
      </c>
      <c r="AJ68">
        <v>71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</row>
    <row r="69" spans="1:44">
      <c r="A69">
        <f>ROW(Source!A94)</f>
        <v>94</v>
      </c>
      <c r="B69">
        <v>35841691</v>
      </c>
      <c r="C69">
        <v>35841686</v>
      </c>
      <c r="D69">
        <v>18416200</v>
      </c>
      <c r="E69">
        <v>1</v>
      </c>
      <c r="F69">
        <v>1</v>
      </c>
      <c r="G69">
        <v>1</v>
      </c>
      <c r="H69">
        <v>1</v>
      </c>
      <c r="I69" t="s">
        <v>380</v>
      </c>
      <c r="J69" t="s">
        <v>3</v>
      </c>
      <c r="K69" t="s">
        <v>381</v>
      </c>
      <c r="L69">
        <v>1369</v>
      </c>
      <c r="N69">
        <v>1013</v>
      </c>
      <c r="O69" t="s">
        <v>369</v>
      </c>
      <c r="P69" t="s">
        <v>369</v>
      </c>
      <c r="Q69">
        <v>1</v>
      </c>
      <c r="X69">
        <v>8.99</v>
      </c>
      <c r="Y69">
        <v>0</v>
      </c>
      <c r="Z69">
        <v>0</v>
      </c>
      <c r="AA69">
        <v>0</v>
      </c>
      <c r="AB69">
        <v>277.48</v>
      </c>
      <c r="AC69">
        <v>0</v>
      </c>
      <c r="AD69">
        <v>1</v>
      </c>
      <c r="AE69">
        <v>1</v>
      </c>
      <c r="AF69" t="s">
        <v>175</v>
      </c>
      <c r="AG69">
        <v>10.3385</v>
      </c>
      <c r="AH69">
        <v>2</v>
      </c>
      <c r="AI69">
        <v>35841687</v>
      </c>
      <c r="AJ69">
        <v>72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</row>
    <row r="70" spans="1:44">
      <c r="A70">
        <f>ROW(Source!A94)</f>
        <v>94</v>
      </c>
      <c r="B70">
        <v>35841692</v>
      </c>
      <c r="C70">
        <v>35841686</v>
      </c>
      <c r="D70">
        <v>29174913</v>
      </c>
      <c r="E70">
        <v>1</v>
      </c>
      <c r="F70">
        <v>1</v>
      </c>
      <c r="G70">
        <v>1</v>
      </c>
      <c r="H70">
        <v>2</v>
      </c>
      <c r="I70" t="s">
        <v>394</v>
      </c>
      <c r="J70" t="s">
        <v>395</v>
      </c>
      <c r="K70" t="s">
        <v>396</v>
      </c>
      <c r="L70">
        <v>1368</v>
      </c>
      <c r="N70">
        <v>1011</v>
      </c>
      <c r="O70" t="s">
        <v>379</v>
      </c>
      <c r="P70" t="s">
        <v>379</v>
      </c>
      <c r="Q70">
        <v>1</v>
      </c>
      <c r="X70">
        <v>0.03</v>
      </c>
      <c r="Y70">
        <v>0</v>
      </c>
      <c r="Z70">
        <v>87.17</v>
      </c>
      <c r="AA70">
        <v>11.6</v>
      </c>
      <c r="AB70">
        <v>0</v>
      </c>
      <c r="AC70">
        <v>0</v>
      </c>
      <c r="AD70">
        <v>1</v>
      </c>
      <c r="AE70">
        <v>0</v>
      </c>
      <c r="AF70" t="s">
        <v>174</v>
      </c>
      <c r="AG70">
        <v>3.7499999999999999E-2</v>
      </c>
      <c r="AH70">
        <v>2</v>
      </c>
      <c r="AI70">
        <v>35841688</v>
      </c>
      <c r="AJ70">
        <v>73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</row>
    <row r="71" spans="1:44">
      <c r="A71">
        <f>ROW(Source!A94)</f>
        <v>94</v>
      </c>
      <c r="B71">
        <v>35841693</v>
      </c>
      <c r="C71">
        <v>35841686</v>
      </c>
      <c r="D71">
        <v>29111241</v>
      </c>
      <c r="E71">
        <v>1</v>
      </c>
      <c r="F71">
        <v>1</v>
      </c>
      <c r="G71">
        <v>1</v>
      </c>
      <c r="H71">
        <v>3</v>
      </c>
      <c r="I71" t="s">
        <v>471</v>
      </c>
      <c r="J71" t="s">
        <v>472</v>
      </c>
      <c r="K71" t="s">
        <v>473</v>
      </c>
      <c r="L71">
        <v>1346</v>
      </c>
      <c r="N71">
        <v>1009</v>
      </c>
      <c r="O71" t="s">
        <v>153</v>
      </c>
      <c r="P71" t="s">
        <v>153</v>
      </c>
      <c r="Q71">
        <v>1</v>
      </c>
      <c r="X71">
        <v>5.15</v>
      </c>
      <c r="Y71">
        <v>8.35</v>
      </c>
      <c r="Z71">
        <v>0</v>
      </c>
      <c r="AA71">
        <v>0</v>
      </c>
      <c r="AB71">
        <v>0</v>
      </c>
      <c r="AC71">
        <v>0</v>
      </c>
      <c r="AD71">
        <v>1</v>
      </c>
      <c r="AE71">
        <v>0</v>
      </c>
      <c r="AF71" t="s">
        <v>3</v>
      </c>
      <c r="AG71">
        <v>5.15</v>
      </c>
      <c r="AH71">
        <v>2</v>
      </c>
      <c r="AI71">
        <v>35841689</v>
      </c>
      <c r="AJ71">
        <v>74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</row>
    <row r="72" spans="1:44">
      <c r="A72">
        <f>ROW(Source!A94)</f>
        <v>94</v>
      </c>
      <c r="B72">
        <v>35841694</v>
      </c>
      <c r="C72">
        <v>35841686</v>
      </c>
      <c r="D72">
        <v>29110997</v>
      </c>
      <c r="E72">
        <v>1</v>
      </c>
      <c r="F72">
        <v>1</v>
      </c>
      <c r="G72">
        <v>1</v>
      </c>
      <c r="H72">
        <v>3</v>
      </c>
      <c r="I72" t="s">
        <v>474</v>
      </c>
      <c r="J72" t="s">
        <v>475</v>
      </c>
      <c r="K72" t="s">
        <v>476</v>
      </c>
      <c r="L72">
        <v>1301</v>
      </c>
      <c r="N72">
        <v>1003</v>
      </c>
      <c r="O72" t="s">
        <v>245</v>
      </c>
      <c r="P72" t="s">
        <v>245</v>
      </c>
      <c r="Q72">
        <v>1</v>
      </c>
      <c r="X72">
        <v>101</v>
      </c>
      <c r="Y72">
        <v>12.3</v>
      </c>
      <c r="Z72">
        <v>0</v>
      </c>
      <c r="AA72">
        <v>0</v>
      </c>
      <c r="AB72">
        <v>0</v>
      </c>
      <c r="AC72">
        <v>0</v>
      </c>
      <c r="AD72">
        <v>1</v>
      </c>
      <c r="AE72">
        <v>0</v>
      </c>
      <c r="AF72" t="s">
        <v>3</v>
      </c>
      <c r="AG72">
        <v>101</v>
      </c>
      <c r="AH72">
        <v>2</v>
      </c>
      <c r="AI72">
        <v>35841690</v>
      </c>
      <c r="AJ72">
        <v>75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</row>
    <row r="73" spans="1:44">
      <c r="A73">
        <f>ROW(Source!A95)</f>
        <v>95</v>
      </c>
      <c r="B73">
        <v>35841716</v>
      </c>
      <c r="C73">
        <v>35841695</v>
      </c>
      <c r="D73">
        <v>18407150</v>
      </c>
      <c r="E73">
        <v>1</v>
      </c>
      <c r="F73">
        <v>1</v>
      </c>
      <c r="G73">
        <v>1</v>
      </c>
      <c r="H73">
        <v>1</v>
      </c>
      <c r="I73" t="s">
        <v>426</v>
      </c>
      <c r="J73" t="s">
        <v>3</v>
      </c>
      <c r="K73" t="s">
        <v>427</v>
      </c>
      <c r="L73">
        <v>1369</v>
      </c>
      <c r="N73">
        <v>1013</v>
      </c>
      <c r="O73" t="s">
        <v>369</v>
      </c>
      <c r="P73" t="s">
        <v>369</v>
      </c>
      <c r="Q73">
        <v>1</v>
      </c>
      <c r="X73">
        <v>103.55</v>
      </c>
      <c r="Y73">
        <v>0</v>
      </c>
      <c r="Z73">
        <v>0</v>
      </c>
      <c r="AA73">
        <v>0</v>
      </c>
      <c r="AB73">
        <v>242.51</v>
      </c>
      <c r="AC73">
        <v>0</v>
      </c>
      <c r="AD73">
        <v>1</v>
      </c>
      <c r="AE73">
        <v>1</v>
      </c>
      <c r="AF73" t="s">
        <v>175</v>
      </c>
      <c r="AG73">
        <v>119.08249999999998</v>
      </c>
      <c r="AH73">
        <v>2</v>
      </c>
      <c r="AI73">
        <v>35841696</v>
      </c>
      <c r="AJ73">
        <v>76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</row>
    <row r="74" spans="1:44">
      <c r="A74">
        <f>ROW(Source!A95)</f>
        <v>95</v>
      </c>
      <c r="B74">
        <v>35841717</v>
      </c>
      <c r="C74">
        <v>35841695</v>
      </c>
      <c r="D74">
        <v>121548</v>
      </c>
      <c r="E74">
        <v>1</v>
      </c>
      <c r="F74">
        <v>1</v>
      </c>
      <c r="G74">
        <v>1</v>
      </c>
      <c r="H74">
        <v>1</v>
      </c>
      <c r="I74" t="s">
        <v>212</v>
      </c>
      <c r="J74" t="s">
        <v>3</v>
      </c>
      <c r="K74" t="s">
        <v>374</v>
      </c>
      <c r="L74">
        <v>608254</v>
      </c>
      <c r="N74">
        <v>1013</v>
      </c>
      <c r="O74" t="s">
        <v>375</v>
      </c>
      <c r="P74" t="s">
        <v>375</v>
      </c>
      <c r="Q74">
        <v>1</v>
      </c>
      <c r="X74">
        <v>0.16</v>
      </c>
      <c r="Y74">
        <v>0</v>
      </c>
      <c r="Z74">
        <v>0</v>
      </c>
      <c r="AA74">
        <v>0</v>
      </c>
      <c r="AB74">
        <v>0</v>
      </c>
      <c r="AC74">
        <v>0</v>
      </c>
      <c r="AD74">
        <v>1</v>
      </c>
      <c r="AE74">
        <v>2</v>
      </c>
      <c r="AF74" t="s">
        <v>174</v>
      </c>
      <c r="AG74">
        <v>0.2</v>
      </c>
      <c r="AH74">
        <v>2</v>
      </c>
      <c r="AI74">
        <v>35841697</v>
      </c>
      <c r="AJ74">
        <v>77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</row>
    <row r="75" spans="1:44">
      <c r="A75">
        <f>ROW(Source!A95)</f>
        <v>95</v>
      </c>
      <c r="B75">
        <v>35841718</v>
      </c>
      <c r="C75">
        <v>35841695</v>
      </c>
      <c r="D75">
        <v>29172379</v>
      </c>
      <c r="E75">
        <v>1</v>
      </c>
      <c r="F75">
        <v>1</v>
      </c>
      <c r="G75">
        <v>1</v>
      </c>
      <c r="H75">
        <v>2</v>
      </c>
      <c r="I75" t="s">
        <v>477</v>
      </c>
      <c r="J75" t="s">
        <v>478</v>
      </c>
      <c r="K75" t="s">
        <v>479</v>
      </c>
      <c r="L75">
        <v>1368</v>
      </c>
      <c r="N75">
        <v>1011</v>
      </c>
      <c r="O75" t="s">
        <v>379</v>
      </c>
      <c r="P75" t="s">
        <v>379</v>
      </c>
      <c r="Q75">
        <v>1</v>
      </c>
      <c r="X75">
        <v>0.16</v>
      </c>
      <c r="Y75">
        <v>0</v>
      </c>
      <c r="Z75">
        <v>112</v>
      </c>
      <c r="AA75">
        <v>13.5</v>
      </c>
      <c r="AB75">
        <v>0</v>
      </c>
      <c r="AC75">
        <v>0</v>
      </c>
      <c r="AD75">
        <v>1</v>
      </c>
      <c r="AE75">
        <v>0</v>
      </c>
      <c r="AF75" t="s">
        <v>174</v>
      </c>
      <c r="AG75">
        <v>0.2</v>
      </c>
      <c r="AH75">
        <v>2</v>
      </c>
      <c r="AI75">
        <v>35841698</v>
      </c>
      <c r="AJ75">
        <v>78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</row>
    <row r="76" spans="1:44">
      <c r="A76">
        <f>ROW(Source!A95)</f>
        <v>95</v>
      </c>
      <c r="B76">
        <v>35841719</v>
      </c>
      <c r="C76">
        <v>35841695</v>
      </c>
      <c r="D76">
        <v>29172659</v>
      </c>
      <c r="E76">
        <v>1</v>
      </c>
      <c r="F76">
        <v>1</v>
      </c>
      <c r="G76">
        <v>1</v>
      </c>
      <c r="H76">
        <v>2</v>
      </c>
      <c r="I76" t="s">
        <v>480</v>
      </c>
      <c r="J76" t="s">
        <v>481</v>
      </c>
      <c r="K76" t="s">
        <v>482</v>
      </c>
      <c r="L76">
        <v>1368</v>
      </c>
      <c r="N76">
        <v>1011</v>
      </c>
      <c r="O76" t="s">
        <v>379</v>
      </c>
      <c r="P76" t="s">
        <v>379</v>
      </c>
      <c r="Q76">
        <v>1</v>
      </c>
      <c r="X76">
        <v>0.7</v>
      </c>
      <c r="Y76">
        <v>0</v>
      </c>
      <c r="Z76">
        <v>1.2</v>
      </c>
      <c r="AA76">
        <v>0</v>
      </c>
      <c r="AB76">
        <v>0</v>
      </c>
      <c r="AC76">
        <v>0</v>
      </c>
      <c r="AD76">
        <v>1</v>
      </c>
      <c r="AE76">
        <v>0</v>
      </c>
      <c r="AF76" t="s">
        <v>174</v>
      </c>
      <c r="AG76">
        <v>0.875</v>
      </c>
      <c r="AH76">
        <v>2</v>
      </c>
      <c r="AI76">
        <v>35841699</v>
      </c>
      <c r="AJ76">
        <v>79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</row>
    <row r="77" spans="1:44">
      <c r="A77">
        <f>ROW(Source!A95)</f>
        <v>95</v>
      </c>
      <c r="B77">
        <v>35841720</v>
      </c>
      <c r="C77">
        <v>35841695</v>
      </c>
      <c r="D77">
        <v>29172669</v>
      </c>
      <c r="E77">
        <v>1</v>
      </c>
      <c r="F77">
        <v>1</v>
      </c>
      <c r="G77">
        <v>1</v>
      </c>
      <c r="H77">
        <v>2</v>
      </c>
      <c r="I77" t="s">
        <v>483</v>
      </c>
      <c r="J77" t="s">
        <v>484</v>
      </c>
      <c r="K77" t="s">
        <v>485</v>
      </c>
      <c r="L77">
        <v>1368</v>
      </c>
      <c r="N77">
        <v>1011</v>
      </c>
      <c r="O77" t="s">
        <v>379</v>
      </c>
      <c r="P77" t="s">
        <v>379</v>
      </c>
      <c r="Q77">
        <v>1</v>
      </c>
      <c r="X77">
        <v>3.74</v>
      </c>
      <c r="Y77">
        <v>0</v>
      </c>
      <c r="Z77">
        <v>12.31</v>
      </c>
      <c r="AA77">
        <v>0</v>
      </c>
      <c r="AB77">
        <v>0</v>
      </c>
      <c r="AC77">
        <v>0</v>
      </c>
      <c r="AD77">
        <v>1</v>
      </c>
      <c r="AE77">
        <v>0</v>
      </c>
      <c r="AF77" t="s">
        <v>174</v>
      </c>
      <c r="AG77">
        <v>4.6750000000000007</v>
      </c>
      <c r="AH77">
        <v>2</v>
      </c>
      <c r="AI77">
        <v>35841700</v>
      </c>
      <c r="AJ77">
        <v>80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</row>
    <row r="78" spans="1:44">
      <c r="A78">
        <f>ROW(Source!A95)</f>
        <v>95</v>
      </c>
      <c r="B78">
        <v>35841721</v>
      </c>
      <c r="C78">
        <v>35841695</v>
      </c>
      <c r="D78">
        <v>29172679</v>
      </c>
      <c r="E78">
        <v>1</v>
      </c>
      <c r="F78">
        <v>1</v>
      </c>
      <c r="G78">
        <v>1</v>
      </c>
      <c r="H78">
        <v>2</v>
      </c>
      <c r="I78" t="s">
        <v>486</v>
      </c>
      <c r="J78" t="s">
        <v>487</v>
      </c>
      <c r="K78" t="s">
        <v>488</v>
      </c>
      <c r="L78">
        <v>1368</v>
      </c>
      <c r="N78">
        <v>1011</v>
      </c>
      <c r="O78" t="s">
        <v>379</v>
      </c>
      <c r="P78" t="s">
        <v>379</v>
      </c>
      <c r="Q78">
        <v>1</v>
      </c>
      <c r="X78">
        <v>0.26</v>
      </c>
      <c r="Y78">
        <v>0</v>
      </c>
      <c r="Z78">
        <v>6.7</v>
      </c>
      <c r="AA78">
        <v>0</v>
      </c>
      <c r="AB78">
        <v>0</v>
      </c>
      <c r="AC78">
        <v>0</v>
      </c>
      <c r="AD78">
        <v>1</v>
      </c>
      <c r="AE78">
        <v>0</v>
      </c>
      <c r="AF78" t="s">
        <v>174</v>
      </c>
      <c r="AG78">
        <v>0.32500000000000001</v>
      </c>
      <c r="AH78">
        <v>2</v>
      </c>
      <c r="AI78">
        <v>35841701</v>
      </c>
      <c r="AJ78">
        <v>81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</row>
    <row r="79" spans="1:44">
      <c r="A79">
        <f>ROW(Source!A95)</f>
        <v>95</v>
      </c>
      <c r="B79">
        <v>35841722</v>
      </c>
      <c r="C79">
        <v>35841695</v>
      </c>
      <c r="D79">
        <v>29174507</v>
      </c>
      <c r="E79">
        <v>1</v>
      </c>
      <c r="F79">
        <v>1</v>
      </c>
      <c r="G79">
        <v>1</v>
      </c>
      <c r="H79">
        <v>2</v>
      </c>
      <c r="I79" t="s">
        <v>489</v>
      </c>
      <c r="J79" t="s">
        <v>490</v>
      </c>
      <c r="K79" t="s">
        <v>491</v>
      </c>
      <c r="L79">
        <v>1368</v>
      </c>
      <c r="N79">
        <v>1011</v>
      </c>
      <c r="O79" t="s">
        <v>379</v>
      </c>
      <c r="P79" t="s">
        <v>379</v>
      </c>
      <c r="Q79">
        <v>1</v>
      </c>
      <c r="X79">
        <v>0.73</v>
      </c>
      <c r="Y79">
        <v>0</v>
      </c>
      <c r="Z79">
        <v>5.13</v>
      </c>
      <c r="AA79">
        <v>0</v>
      </c>
      <c r="AB79">
        <v>0</v>
      </c>
      <c r="AC79">
        <v>0</v>
      </c>
      <c r="AD79">
        <v>1</v>
      </c>
      <c r="AE79">
        <v>0</v>
      </c>
      <c r="AF79" t="s">
        <v>174</v>
      </c>
      <c r="AG79">
        <v>0.91249999999999998</v>
      </c>
      <c r="AH79">
        <v>2</v>
      </c>
      <c r="AI79">
        <v>35841702</v>
      </c>
      <c r="AJ79">
        <v>82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</row>
    <row r="80" spans="1:44">
      <c r="A80">
        <f>ROW(Source!A95)</f>
        <v>95</v>
      </c>
      <c r="B80">
        <v>35841723</v>
      </c>
      <c r="C80">
        <v>35841695</v>
      </c>
      <c r="D80">
        <v>29174913</v>
      </c>
      <c r="E80">
        <v>1</v>
      </c>
      <c r="F80">
        <v>1</v>
      </c>
      <c r="G80">
        <v>1</v>
      </c>
      <c r="H80">
        <v>2</v>
      </c>
      <c r="I80" t="s">
        <v>394</v>
      </c>
      <c r="J80" t="s">
        <v>395</v>
      </c>
      <c r="K80" t="s">
        <v>396</v>
      </c>
      <c r="L80">
        <v>1368</v>
      </c>
      <c r="N80">
        <v>1011</v>
      </c>
      <c r="O80" t="s">
        <v>379</v>
      </c>
      <c r="P80" t="s">
        <v>379</v>
      </c>
      <c r="Q80">
        <v>1</v>
      </c>
      <c r="X80">
        <v>0.24</v>
      </c>
      <c r="Y80">
        <v>0</v>
      </c>
      <c r="Z80">
        <v>87.17</v>
      </c>
      <c r="AA80">
        <v>11.6</v>
      </c>
      <c r="AB80">
        <v>0</v>
      </c>
      <c r="AC80">
        <v>0</v>
      </c>
      <c r="AD80">
        <v>1</v>
      </c>
      <c r="AE80">
        <v>0</v>
      </c>
      <c r="AF80" t="s">
        <v>174</v>
      </c>
      <c r="AG80">
        <v>0.3</v>
      </c>
      <c r="AH80">
        <v>2</v>
      </c>
      <c r="AI80">
        <v>35841703</v>
      </c>
      <c r="AJ80">
        <v>83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</row>
    <row r="81" spans="1:44">
      <c r="A81">
        <f>ROW(Source!A95)</f>
        <v>95</v>
      </c>
      <c r="B81">
        <v>35841724</v>
      </c>
      <c r="C81">
        <v>35841695</v>
      </c>
      <c r="D81">
        <v>29107906</v>
      </c>
      <c r="E81">
        <v>1</v>
      </c>
      <c r="F81">
        <v>1</v>
      </c>
      <c r="G81">
        <v>1</v>
      </c>
      <c r="H81">
        <v>3</v>
      </c>
      <c r="I81" t="s">
        <v>492</v>
      </c>
      <c r="J81" t="s">
        <v>493</v>
      </c>
      <c r="K81" t="s">
        <v>494</v>
      </c>
      <c r="L81">
        <v>1348</v>
      </c>
      <c r="N81">
        <v>1009</v>
      </c>
      <c r="O81" t="s">
        <v>27</v>
      </c>
      <c r="P81" t="s">
        <v>27</v>
      </c>
      <c r="Q81">
        <v>1000</v>
      </c>
      <c r="X81">
        <v>1E-4</v>
      </c>
      <c r="Y81">
        <v>37900</v>
      </c>
      <c r="Z81">
        <v>0</v>
      </c>
      <c r="AA81">
        <v>0</v>
      </c>
      <c r="AB81">
        <v>0</v>
      </c>
      <c r="AC81">
        <v>0</v>
      </c>
      <c r="AD81">
        <v>1</v>
      </c>
      <c r="AE81">
        <v>0</v>
      </c>
      <c r="AF81" t="s">
        <v>3</v>
      </c>
      <c r="AG81">
        <v>1E-4</v>
      </c>
      <c r="AH81">
        <v>2</v>
      </c>
      <c r="AI81">
        <v>35841704</v>
      </c>
      <c r="AJ81">
        <v>84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</row>
    <row r="82" spans="1:44">
      <c r="A82">
        <f>ROW(Source!A95)</f>
        <v>95</v>
      </c>
      <c r="B82">
        <v>35841725</v>
      </c>
      <c r="C82">
        <v>35841695</v>
      </c>
      <c r="D82">
        <v>29107441</v>
      </c>
      <c r="E82">
        <v>1</v>
      </c>
      <c r="F82">
        <v>1</v>
      </c>
      <c r="G82">
        <v>1</v>
      </c>
      <c r="H82">
        <v>3</v>
      </c>
      <c r="I82" t="s">
        <v>495</v>
      </c>
      <c r="J82" t="s">
        <v>496</v>
      </c>
      <c r="K82" t="s">
        <v>497</v>
      </c>
      <c r="L82">
        <v>1339</v>
      </c>
      <c r="N82">
        <v>1007</v>
      </c>
      <c r="O82" t="s">
        <v>391</v>
      </c>
      <c r="P82" t="s">
        <v>391</v>
      </c>
      <c r="Q82">
        <v>1</v>
      </c>
      <c r="X82">
        <v>0.4</v>
      </c>
      <c r="Y82">
        <v>6.23</v>
      </c>
      <c r="Z82">
        <v>0</v>
      </c>
      <c r="AA82">
        <v>0</v>
      </c>
      <c r="AB82">
        <v>0</v>
      </c>
      <c r="AC82">
        <v>0</v>
      </c>
      <c r="AD82">
        <v>1</v>
      </c>
      <c r="AE82">
        <v>0</v>
      </c>
      <c r="AF82" t="s">
        <v>3</v>
      </c>
      <c r="AG82">
        <v>0.4</v>
      </c>
      <c r="AH82">
        <v>2</v>
      </c>
      <c r="AI82">
        <v>35841705</v>
      </c>
      <c r="AJ82">
        <v>85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</row>
    <row r="83" spans="1:44">
      <c r="A83">
        <f>ROW(Source!A95)</f>
        <v>95</v>
      </c>
      <c r="B83">
        <v>35841726</v>
      </c>
      <c r="C83">
        <v>35841695</v>
      </c>
      <c r="D83">
        <v>29113598</v>
      </c>
      <c r="E83">
        <v>1</v>
      </c>
      <c r="F83">
        <v>1</v>
      </c>
      <c r="G83">
        <v>1</v>
      </c>
      <c r="H83">
        <v>3</v>
      </c>
      <c r="I83" t="s">
        <v>498</v>
      </c>
      <c r="J83" t="s">
        <v>499</v>
      </c>
      <c r="K83" t="s">
        <v>500</v>
      </c>
      <c r="L83">
        <v>1348</v>
      </c>
      <c r="N83">
        <v>1009</v>
      </c>
      <c r="O83" t="s">
        <v>27</v>
      </c>
      <c r="P83" t="s">
        <v>27</v>
      </c>
      <c r="Q83">
        <v>1000</v>
      </c>
      <c r="X83">
        <v>3.0000000000000001E-5</v>
      </c>
      <c r="Y83">
        <v>4455.2</v>
      </c>
      <c r="Z83">
        <v>0</v>
      </c>
      <c r="AA83">
        <v>0</v>
      </c>
      <c r="AB83">
        <v>0</v>
      </c>
      <c r="AC83">
        <v>0</v>
      </c>
      <c r="AD83">
        <v>1</v>
      </c>
      <c r="AE83">
        <v>0</v>
      </c>
      <c r="AF83" t="s">
        <v>3</v>
      </c>
      <c r="AG83">
        <v>3.0000000000000001E-5</v>
      </c>
      <c r="AH83">
        <v>2</v>
      </c>
      <c r="AI83">
        <v>35841706</v>
      </c>
      <c r="AJ83">
        <v>86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</row>
    <row r="84" spans="1:44">
      <c r="A84">
        <f>ROW(Source!A95)</f>
        <v>95</v>
      </c>
      <c r="B84">
        <v>35841727</v>
      </c>
      <c r="C84">
        <v>35841695</v>
      </c>
      <c r="D84">
        <v>29113797</v>
      </c>
      <c r="E84">
        <v>1</v>
      </c>
      <c r="F84">
        <v>1</v>
      </c>
      <c r="G84">
        <v>1</v>
      </c>
      <c r="H84">
        <v>3</v>
      </c>
      <c r="I84" t="s">
        <v>501</v>
      </c>
      <c r="J84" t="s">
        <v>502</v>
      </c>
      <c r="K84" t="s">
        <v>503</v>
      </c>
      <c r="L84">
        <v>1348</v>
      </c>
      <c r="N84">
        <v>1009</v>
      </c>
      <c r="O84" t="s">
        <v>27</v>
      </c>
      <c r="P84" t="s">
        <v>27</v>
      </c>
      <c r="Q84">
        <v>1000</v>
      </c>
      <c r="X84">
        <v>1.9400000000000001E-3</v>
      </c>
      <c r="Y84">
        <v>4920</v>
      </c>
      <c r="Z84">
        <v>0</v>
      </c>
      <c r="AA84">
        <v>0</v>
      </c>
      <c r="AB84">
        <v>0</v>
      </c>
      <c r="AC84">
        <v>0</v>
      </c>
      <c r="AD84">
        <v>1</v>
      </c>
      <c r="AE84">
        <v>0</v>
      </c>
      <c r="AF84" t="s">
        <v>3</v>
      </c>
      <c r="AG84">
        <v>1.9400000000000001E-3</v>
      </c>
      <c r="AH84">
        <v>2</v>
      </c>
      <c r="AI84">
        <v>35841707</v>
      </c>
      <c r="AJ84">
        <v>87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</row>
    <row r="85" spans="1:44">
      <c r="A85">
        <f>ROW(Source!A95)</f>
        <v>95</v>
      </c>
      <c r="B85">
        <v>35841728</v>
      </c>
      <c r="C85">
        <v>35841695</v>
      </c>
      <c r="D85">
        <v>29113990</v>
      </c>
      <c r="E85">
        <v>1</v>
      </c>
      <c r="F85">
        <v>1</v>
      </c>
      <c r="G85">
        <v>1</v>
      </c>
      <c r="H85">
        <v>3</v>
      </c>
      <c r="I85" t="s">
        <v>504</v>
      </c>
      <c r="J85" t="s">
        <v>505</v>
      </c>
      <c r="K85" t="s">
        <v>506</v>
      </c>
      <c r="L85">
        <v>1348</v>
      </c>
      <c r="N85">
        <v>1009</v>
      </c>
      <c r="O85" t="s">
        <v>27</v>
      </c>
      <c r="P85" t="s">
        <v>27</v>
      </c>
      <c r="Q85">
        <v>1000</v>
      </c>
      <c r="X85">
        <v>3.5999999999999999E-3</v>
      </c>
      <c r="Y85">
        <v>10169.99</v>
      </c>
      <c r="Z85">
        <v>0</v>
      </c>
      <c r="AA85">
        <v>0</v>
      </c>
      <c r="AB85">
        <v>0</v>
      </c>
      <c r="AC85">
        <v>0</v>
      </c>
      <c r="AD85">
        <v>1</v>
      </c>
      <c r="AE85">
        <v>0</v>
      </c>
      <c r="AF85" t="s">
        <v>3</v>
      </c>
      <c r="AG85">
        <v>3.5999999999999999E-3</v>
      </c>
      <c r="AH85">
        <v>2</v>
      </c>
      <c r="AI85">
        <v>35841708</v>
      </c>
      <c r="AJ85">
        <v>88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</row>
    <row r="86" spans="1:44">
      <c r="A86">
        <f>ROW(Source!A95)</f>
        <v>95</v>
      </c>
      <c r="B86">
        <v>35841729</v>
      </c>
      <c r="C86">
        <v>35841695</v>
      </c>
      <c r="D86">
        <v>29114332</v>
      </c>
      <c r="E86">
        <v>1</v>
      </c>
      <c r="F86">
        <v>1</v>
      </c>
      <c r="G86">
        <v>1</v>
      </c>
      <c r="H86">
        <v>3</v>
      </c>
      <c r="I86" t="s">
        <v>440</v>
      </c>
      <c r="J86" t="s">
        <v>441</v>
      </c>
      <c r="K86" t="s">
        <v>442</v>
      </c>
      <c r="L86">
        <v>1348</v>
      </c>
      <c r="N86">
        <v>1009</v>
      </c>
      <c r="O86" t="s">
        <v>27</v>
      </c>
      <c r="P86" t="s">
        <v>27</v>
      </c>
      <c r="Q86">
        <v>1000</v>
      </c>
      <c r="X86">
        <v>1.0000000000000001E-5</v>
      </c>
      <c r="Y86">
        <v>11978</v>
      </c>
      <c r="Z86">
        <v>0</v>
      </c>
      <c r="AA86">
        <v>0</v>
      </c>
      <c r="AB86">
        <v>0</v>
      </c>
      <c r="AC86">
        <v>0</v>
      </c>
      <c r="AD86">
        <v>1</v>
      </c>
      <c r="AE86">
        <v>0</v>
      </c>
      <c r="AF86" t="s">
        <v>3</v>
      </c>
      <c r="AG86">
        <v>1.0000000000000001E-5</v>
      </c>
      <c r="AH86">
        <v>2</v>
      </c>
      <c r="AI86">
        <v>35841709</v>
      </c>
      <c r="AJ86">
        <v>89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</row>
    <row r="87" spans="1:44">
      <c r="A87">
        <f>ROW(Source!A95)</f>
        <v>95</v>
      </c>
      <c r="B87">
        <v>35841730</v>
      </c>
      <c r="C87">
        <v>35841695</v>
      </c>
      <c r="D87">
        <v>29107444</v>
      </c>
      <c r="E87">
        <v>1</v>
      </c>
      <c r="F87">
        <v>1</v>
      </c>
      <c r="G87">
        <v>1</v>
      </c>
      <c r="H87">
        <v>3</v>
      </c>
      <c r="I87" t="s">
        <v>507</v>
      </c>
      <c r="J87" t="s">
        <v>508</v>
      </c>
      <c r="K87" t="s">
        <v>509</v>
      </c>
      <c r="L87">
        <v>1346</v>
      </c>
      <c r="N87">
        <v>1009</v>
      </c>
      <c r="O87" t="s">
        <v>153</v>
      </c>
      <c r="P87" t="s">
        <v>153</v>
      </c>
      <c r="Q87">
        <v>1</v>
      </c>
      <c r="X87">
        <v>0.45</v>
      </c>
      <c r="Y87">
        <v>6.09</v>
      </c>
      <c r="Z87">
        <v>0</v>
      </c>
      <c r="AA87">
        <v>0</v>
      </c>
      <c r="AB87">
        <v>0</v>
      </c>
      <c r="AC87">
        <v>0</v>
      </c>
      <c r="AD87">
        <v>1</v>
      </c>
      <c r="AE87">
        <v>0</v>
      </c>
      <c r="AF87" t="s">
        <v>3</v>
      </c>
      <c r="AG87">
        <v>0.45</v>
      </c>
      <c r="AH87">
        <v>2</v>
      </c>
      <c r="AI87">
        <v>35841710</v>
      </c>
      <c r="AJ87">
        <v>90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</row>
    <row r="88" spans="1:44">
      <c r="A88">
        <f>ROW(Source!A95)</f>
        <v>95</v>
      </c>
      <c r="B88">
        <v>35841731</v>
      </c>
      <c r="C88">
        <v>35841695</v>
      </c>
      <c r="D88">
        <v>29110606</v>
      </c>
      <c r="E88">
        <v>1</v>
      </c>
      <c r="F88">
        <v>1</v>
      </c>
      <c r="G88">
        <v>1</v>
      </c>
      <c r="H88">
        <v>3</v>
      </c>
      <c r="I88" t="s">
        <v>510</v>
      </c>
      <c r="J88" t="s">
        <v>511</v>
      </c>
      <c r="K88" t="s">
        <v>512</v>
      </c>
      <c r="L88">
        <v>1348</v>
      </c>
      <c r="N88">
        <v>1009</v>
      </c>
      <c r="O88" t="s">
        <v>27</v>
      </c>
      <c r="P88" t="s">
        <v>27</v>
      </c>
      <c r="Q88">
        <v>1000</v>
      </c>
      <c r="X88">
        <v>5.9999999999999995E-4</v>
      </c>
      <c r="Y88">
        <v>9420</v>
      </c>
      <c r="Z88">
        <v>0</v>
      </c>
      <c r="AA88">
        <v>0</v>
      </c>
      <c r="AB88">
        <v>0</v>
      </c>
      <c r="AC88">
        <v>0</v>
      </c>
      <c r="AD88">
        <v>1</v>
      </c>
      <c r="AE88">
        <v>0</v>
      </c>
      <c r="AF88" t="s">
        <v>3</v>
      </c>
      <c r="AG88">
        <v>5.9999999999999995E-4</v>
      </c>
      <c r="AH88">
        <v>2</v>
      </c>
      <c r="AI88">
        <v>35841711</v>
      </c>
      <c r="AJ88">
        <v>91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</row>
    <row r="89" spans="1:44">
      <c r="A89">
        <f>ROW(Source!A95)</f>
        <v>95</v>
      </c>
      <c r="B89">
        <v>35841732</v>
      </c>
      <c r="C89">
        <v>35841695</v>
      </c>
      <c r="D89">
        <v>29122102</v>
      </c>
      <c r="E89">
        <v>1</v>
      </c>
      <c r="F89">
        <v>1</v>
      </c>
      <c r="G89">
        <v>1</v>
      </c>
      <c r="H89">
        <v>3</v>
      </c>
      <c r="I89" t="s">
        <v>513</v>
      </c>
      <c r="J89" t="s">
        <v>514</v>
      </c>
      <c r="K89" t="s">
        <v>515</v>
      </c>
      <c r="L89">
        <v>1348</v>
      </c>
      <c r="N89">
        <v>1009</v>
      </c>
      <c r="O89" t="s">
        <v>27</v>
      </c>
      <c r="P89" t="s">
        <v>27</v>
      </c>
      <c r="Q89">
        <v>1000</v>
      </c>
      <c r="X89">
        <v>3.1E-4</v>
      </c>
      <c r="Y89">
        <v>15620</v>
      </c>
      <c r="Z89">
        <v>0</v>
      </c>
      <c r="AA89">
        <v>0</v>
      </c>
      <c r="AB89">
        <v>0</v>
      </c>
      <c r="AC89">
        <v>0</v>
      </c>
      <c r="AD89">
        <v>1</v>
      </c>
      <c r="AE89">
        <v>0</v>
      </c>
      <c r="AF89" t="s">
        <v>3</v>
      </c>
      <c r="AG89">
        <v>3.1E-4</v>
      </c>
      <c r="AH89">
        <v>2</v>
      </c>
      <c r="AI89">
        <v>35841712</v>
      </c>
      <c r="AJ89">
        <v>92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</row>
    <row r="90" spans="1:44">
      <c r="A90">
        <f>ROW(Source!A95)</f>
        <v>95</v>
      </c>
      <c r="B90">
        <v>35841733</v>
      </c>
      <c r="C90">
        <v>35841695</v>
      </c>
      <c r="D90">
        <v>29127930</v>
      </c>
      <c r="E90">
        <v>1</v>
      </c>
      <c r="F90">
        <v>1</v>
      </c>
      <c r="G90">
        <v>1</v>
      </c>
      <c r="H90">
        <v>3</v>
      </c>
      <c r="I90" t="s">
        <v>613</v>
      </c>
      <c r="J90" t="s">
        <v>614</v>
      </c>
      <c r="K90" t="s">
        <v>615</v>
      </c>
      <c r="L90">
        <v>1348</v>
      </c>
      <c r="N90">
        <v>1009</v>
      </c>
      <c r="O90" t="s">
        <v>27</v>
      </c>
      <c r="P90" t="s">
        <v>27</v>
      </c>
      <c r="Q90">
        <v>1000</v>
      </c>
      <c r="X90">
        <v>1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 t="s">
        <v>3</v>
      </c>
      <c r="AG90">
        <v>1</v>
      </c>
      <c r="AH90">
        <v>3</v>
      </c>
      <c r="AI90">
        <v>-1</v>
      </c>
      <c r="AJ90" t="s">
        <v>3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</row>
    <row r="91" spans="1:44">
      <c r="A91">
        <f>ROW(Source!A95)</f>
        <v>95</v>
      </c>
      <c r="B91">
        <v>35841734</v>
      </c>
      <c r="C91">
        <v>35841695</v>
      </c>
      <c r="D91">
        <v>29162764</v>
      </c>
      <c r="E91">
        <v>1</v>
      </c>
      <c r="F91">
        <v>1</v>
      </c>
      <c r="G91">
        <v>1</v>
      </c>
      <c r="H91">
        <v>3</v>
      </c>
      <c r="I91" t="s">
        <v>516</v>
      </c>
      <c r="J91" t="s">
        <v>517</v>
      </c>
      <c r="K91" t="s">
        <v>518</v>
      </c>
      <c r="L91">
        <v>1302</v>
      </c>
      <c r="N91">
        <v>1003</v>
      </c>
      <c r="O91" t="s">
        <v>519</v>
      </c>
      <c r="P91" t="s">
        <v>519</v>
      </c>
      <c r="Q91">
        <v>10</v>
      </c>
      <c r="X91">
        <v>1.8700000000000001E-2</v>
      </c>
      <c r="Y91">
        <v>71.489999999999995</v>
      </c>
      <c r="Z91">
        <v>0</v>
      </c>
      <c r="AA91">
        <v>0</v>
      </c>
      <c r="AB91">
        <v>0</v>
      </c>
      <c r="AC91">
        <v>0</v>
      </c>
      <c r="AD91">
        <v>1</v>
      </c>
      <c r="AE91">
        <v>0</v>
      </c>
      <c r="AF91" t="s">
        <v>3</v>
      </c>
      <c r="AG91">
        <v>1.8700000000000001E-2</v>
      </c>
      <c r="AH91">
        <v>2</v>
      </c>
      <c r="AI91">
        <v>35841714</v>
      </c>
      <c r="AJ91">
        <v>94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</row>
    <row r="92" spans="1:44">
      <c r="A92">
        <f>ROW(Source!A163)</f>
        <v>163</v>
      </c>
      <c r="B92">
        <v>35844606</v>
      </c>
      <c r="C92">
        <v>35844605</v>
      </c>
      <c r="D92">
        <v>18407525</v>
      </c>
      <c r="E92">
        <v>1</v>
      </c>
      <c r="F92">
        <v>1</v>
      </c>
      <c r="G92">
        <v>1</v>
      </c>
      <c r="H92">
        <v>1</v>
      </c>
      <c r="I92" t="s">
        <v>520</v>
      </c>
      <c r="J92" t="s">
        <v>3</v>
      </c>
      <c r="K92" t="s">
        <v>521</v>
      </c>
      <c r="L92">
        <v>1369</v>
      </c>
      <c r="N92">
        <v>1013</v>
      </c>
      <c r="O92" t="s">
        <v>369</v>
      </c>
      <c r="P92" t="s">
        <v>369</v>
      </c>
      <c r="Q92">
        <v>1</v>
      </c>
      <c r="X92">
        <v>110</v>
      </c>
      <c r="Y92">
        <v>0</v>
      </c>
      <c r="Z92">
        <v>0</v>
      </c>
      <c r="AA92">
        <v>0</v>
      </c>
      <c r="AB92">
        <v>256.95</v>
      </c>
      <c r="AC92">
        <v>0</v>
      </c>
      <c r="AD92">
        <v>1</v>
      </c>
      <c r="AE92">
        <v>1</v>
      </c>
      <c r="AF92" t="s">
        <v>3</v>
      </c>
      <c r="AG92">
        <v>110</v>
      </c>
      <c r="AH92">
        <v>2</v>
      </c>
      <c r="AI92">
        <v>35844606</v>
      </c>
      <c r="AJ92">
        <v>96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</row>
    <row r="93" spans="1:44">
      <c r="A93">
        <f>ROW(Source!A163)</f>
        <v>163</v>
      </c>
      <c r="B93">
        <v>35844607</v>
      </c>
      <c r="C93">
        <v>35844605</v>
      </c>
      <c r="D93">
        <v>121548</v>
      </c>
      <c r="E93">
        <v>1</v>
      </c>
      <c r="F93">
        <v>1</v>
      </c>
      <c r="G93">
        <v>1</v>
      </c>
      <c r="H93">
        <v>1</v>
      </c>
      <c r="I93" t="s">
        <v>212</v>
      </c>
      <c r="J93" t="s">
        <v>3</v>
      </c>
      <c r="K93" t="s">
        <v>374</v>
      </c>
      <c r="L93">
        <v>608254</v>
      </c>
      <c r="N93">
        <v>1013</v>
      </c>
      <c r="O93" t="s">
        <v>375</v>
      </c>
      <c r="P93" t="s">
        <v>375</v>
      </c>
      <c r="Q93">
        <v>1</v>
      </c>
      <c r="X93">
        <v>2.2400000000000002</v>
      </c>
      <c r="Y93">
        <v>0</v>
      </c>
      <c r="Z93">
        <v>0</v>
      </c>
      <c r="AA93">
        <v>0</v>
      </c>
      <c r="AB93">
        <v>0</v>
      </c>
      <c r="AC93">
        <v>0</v>
      </c>
      <c r="AD93">
        <v>1</v>
      </c>
      <c r="AE93">
        <v>2</v>
      </c>
      <c r="AF93" t="s">
        <v>3</v>
      </c>
      <c r="AG93">
        <v>2.2400000000000002</v>
      </c>
      <c r="AH93">
        <v>2</v>
      </c>
      <c r="AI93">
        <v>35844607</v>
      </c>
      <c r="AJ93">
        <v>97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</row>
    <row r="94" spans="1:44">
      <c r="A94">
        <f>ROW(Source!A163)</f>
        <v>163</v>
      </c>
      <c r="B94">
        <v>35844608</v>
      </c>
      <c r="C94">
        <v>35844605</v>
      </c>
      <c r="D94">
        <v>29172556</v>
      </c>
      <c r="E94">
        <v>1</v>
      </c>
      <c r="F94">
        <v>1</v>
      </c>
      <c r="G94">
        <v>1</v>
      </c>
      <c r="H94">
        <v>2</v>
      </c>
      <c r="I94" t="s">
        <v>376</v>
      </c>
      <c r="J94" t="s">
        <v>377</v>
      </c>
      <c r="K94" t="s">
        <v>378</v>
      </c>
      <c r="L94">
        <v>1368</v>
      </c>
      <c r="N94">
        <v>1011</v>
      </c>
      <c r="O94" t="s">
        <v>379</v>
      </c>
      <c r="P94" t="s">
        <v>379</v>
      </c>
      <c r="Q94">
        <v>1</v>
      </c>
      <c r="X94">
        <v>2.2400000000000002</v>
      </c>
      <c r="Y94">
        <v>0</v>
      </c>
      <c r="Z94">
        <v>31.26</v>
      </c>
      <c r="AA94">
        <v>13.5</v>
      </c>
      <c r="AB94">
        <v>0</v>
      </c>
      <c r="AC94">
        <v>0</v>
      </c>
      <c r="AD94">
        <v>1</v>
      </c>
      <c r="AE94">
        <v>0</v>
      </c>
      <c r="AF94" t="s">
        <v>3</v>
      </c>
      <c r="AG94">
        <v>2.2400000000000002</v>
      </c>
      <c r="AH94">
        <v>2</v>
      </c>
      <c r="AI94">
        <v>35844608</v>
      </c>
      <c r="AJ94">
        <v>98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</row>
    <row r="95" spans="1:44">
      <c r="A95">
        <f>ROW(Source!A164)</f>
        <v>164</v>
      </c>
      <c r="B95">
        <v>35914100</v>
      </c>
      <c r="C95">
        <v>35844688</v>
      </c>
      <c r="D95">
        <v>18407150</v>
      </c>
      <c r="E95">
        <v>1</v>
      </c>
      <c r="F95">
        <v>1</v>
      </c>
      <c r="G95">
        <v>1</v>
      </c>
      <c r="H95">
        <v>1</v>
      </c>
      <c r="I95" t="s">
        <v>426</v>
      </c>
      <c r="J95" t="s">
        <v>3</v>
      </c>
      <c r="K95" t="s">
        <v>427</v>
      </c>
      <c r="L95">
        <v>1369</v>
      </c>
      <c r="N95">
        <v>1013</v>
      </c>
      <c r="O95" t="s">
        <v>369</v>
      </c>
      <c r="P95" t="s">
        <v>369</v>
      </c>
      <c r="Q95">
        <v>1</v>
      </c>
      <c r="X95">
        <v>43.6</v>
      </c>
      <c r="Y95">
        <v>0</v>
      </c>
      <c r="Z95">
        <v>0</v>
      </c>
      <c r="AA95">
        <v>0</v>
      </c>
      <c r="AB95">
        <v>278.5</v>
      </c>
      <c r="AC95">
        <v>0</v>
      </c>
      <c r="AD95">
        <v>1</v>
      </c>
      <c r="AE95">
        <v>1</v>
      </c>
      <c r="AF95" t="s">
        <v>3</v>
      </c>
      <c r="AG95">
        <v>43.6</v>
      </c>
      <c r="AH95">
        <v>2</v>
      </c>
      <c r="AI95">
        <v>35914100</v>
      </c>
      <c r="AJ95">
        <v>99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</row>
    <row r="96" spans="1:44">
      <c r="A96">
        <f>ROW(Source!A164)</f>
        <v>164</v>
      </c>
      <c r="B96">
        <v>35914101</v>
      </c>
      <c r="C96">
        <v>35844688</v>
      </c>
      <c r="D96">
        <v>29172659</v>
      </c>
      <c r="E96">
        <v>1</v>
      </c>
      <c r="F96">
        <v>1</v>
      </c>
      <c r="G96">
        <v>1</v>
      </c>
      <c r="H96">
        <v>2</v>
      </c>
      <c r="I96" t="s">
        <v>480</v>
      </c>
      <c r="J96" t="s">
        <v>481</v>
      </c>
      <c r="K96" t="s">
        <v>482</v>
      </c>
      <c r="L96">
        <v>1368</v>
      </c>
      <c r="N96">
        <v>1011</v>
      </c>
      <c r="O96" t="s">
        <v>379</v>
      </c>
      <c r="P96" t="s">
        <v>379</v>
      </c>
      <c r="Q96">
        <v>1</v>
      </c>
      <c r="X96">
        <v>5.45</v>
      </c>
      <c r="Y96">
        <v>0</v>
      </c>
      <c r="Z96">
        <v>1.2</v>
      </c>
      <c r="AA96">
        <v>0</v>
      </c>
      <c r="AB96">
        <v>0</v>
      </c>
      <c r="AC96">
        <v>0</v>
      </c>
      <c r="AD96">
        <v>1</v>
      </c>
      <c r="AE96">
        <v>0</v>
      </c>
      <c r="AF96" t="s">
        <v>3</v>
      </c>
      <c r="AG96">
        <v>5.45</v>
      </c>
      <c r="AH96">
        <v>2</v>
      </c>
      <c r="AI96">
        <v>35914101</v>
      </c>
      <c r="AJ96">
        <v>100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</row>
    <row r="97" spans="1:44">
      <c r="A97">
        <f>ROW(Source!A164)</f>
        <v>164</v>
      </c>
      <c r="B97">
        <v>35914102</v>
      </c>
      <c r="C97">
        <v>35844688</v>
      </c>
      <c r="D97">
        <v>29107441</v>
      </c>
      <c r="E97">
        <v>1</v>
      </c>
      <c r="F97">
        <v>1</v>
      </c>
      <c r="G97">
        <v>1</v>
      </c>
      <c r="H97">
        <v>3</v>
      </c>
      <c r="I97" t="s">
        <v>495</v>
      </c>
      <c r="J97" t="s">
        <v>496</v>
      </c>
      <c r="K97" t="s">
        <v>497</v>
      </c>
      <c r="L97">
        <v>1339</v>
      </c>
      <c r="N97">
        <v>1007</v>
      </c>
      <c r="O97" t="s">
        <v>391</v>
      </c>
      <c r="P97" t="s">
        <v>391</v>
      </c>
      <c r="Q97">
        <v>1</v>
      </c>
      <c r="X97">
        <v>1.0900000000000001</v>
      </c>
      <c r="Y97">
        <v>6.23</v>
      </c>
      <c r="Z97">
        <v>0</v>
      </c>
      <c r="AA97">
        <v>0</v>
      </c>
      <c r="AB97">
        <v>0</v>
      </c>
      <c r="AC97">
        <v>0</v>
      </c>
      <c r="AD97">
        <v>1</v>
      </c>
      <c r="AE97">
        <v>0</v>
      </c>
      <c r="AF97" t="s">
        <v>3</v>
      </c>
      <c r="AG97">
        <v>1.0900000000000001</v>
      </c>
      <c r="AH97">
        <v>2</v>
      </c>
      <c r="AI97">
        <v>35914102</v>
      </c>
      <c r="AJ97">
        <v>101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</row>
    <row r="98" spans="1:44">
      <c r="A98">
        <f>ROW(Source!A164)</f>
        <v>164</v>
      </c>
      <c r="B98">
        <v>35914103</v>
      </c>
      <c r="C98">
        <v>35844688</v>
      </c>
      <c r="D98">
        <v>29107430</v>
      </c>
      <c r="E98">
        <v>1</v>
      </c>
      <c r="F98">
        <v>1</v>
      </c>
      <c r="G98">
        <v>1</v>
      </c>
      <c r="H98">
        <v>3</v>
      </c>
      <c r="I98" t="s">
        <v>522</v>
      </c>
      <c r="J98" t="s">
        <v>523</v>
      </c>
      <c r="K98" t="s">
        <v>524</v>
      </c>
      <c r="L98">
        <v>1339</v>
      </c>
      <c r="N98">
        <v>1007</v>
      </c>
      <c r="O98" t="s">
        <v>391</v>
      </c>
      <c r="P98" t="s">
        <v>391</v>
      </c>
      <c r="Q98">
        <v>1</v>
      </c>
      <c r="X98">
        <v>0.15</v>
      </c>
      <c r="Y98">
        <v>38.49</v>
      </c>
      <c r="Z98">
        <v>0</v>
      </c>
      <c r="AA98">
        <v>0</v>
      </c>
      <c r="AB98">
        <v>0</v>
      </c>
      <c r="AC98">
        <v>0</v>
      </c>
      <c r="AD98">
        <v>1</v>
      </c>
      <c r="AE98">
        <v>0</v>
      </c>
      <c r="AF98" t="s">
        <v>3</v>
      </c>
      <c r="AG98">
        <v>0.15</v>
      </c>
      <c r="AH98">
        <v>2</v>
      </c>
      <c r="AI98">
        <v>35914103</v>
      </c>
      <c r="AJ98">
        <v>102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</row>
    <row r="99" spans="1:44">
      <c r="A99">
        <f>ROW(Source!A165)</f>
        <v>165</v>
      </c>
      <c r="B99">
        <v>35844704</v>
      </c>
      <c r="C99">
        <v>35844690</v>
      </c>
      <c r="D99">
        <v>18410171</v>
      </c>
      <c r="E99">
        <v>1</v>
      </c>
      <c r="F99">
        <v>1</v>
      </c>
      <c r="G99">
        <v>1</v>
      </c>
      <c r="H99">
        <v>1</v>
      </c>
      <c r="I99" t="s">
        <v>418</v>
      </c>
      <c r="J99" t="s">
        <v>3</v>
      </c>
      <c r="K99" t="s">
        <v>419</v>
      </c>
      <c r="L99">
        <v>1369</v>
      </c>
      <c r="N99">
        <v>1013</v>
      </c>
      <c r="O99" t="s">
        <v>369</v>
      </c>
      <c r="P99" t="s">
        <v>369</v>
      </c>
      <c r="Q99">
        <v>1</v>
      </c>
      <c r="X99">
        <v>65.599999999999994</v>
      </c>
      <c r="Y99">
        <v>0</v>
      </c>
      <c r="Z99">
        <v>0</v>
      </c>
      <c r="AA99">
        <v>0</v>
      </c>
      <c r="AB99">
        <v>292.87</v>
      </c>
      <c r="AC99">
        <v>0</v>
      </c>
      <c r="AD99">
        <v>1</v>
      </c>
      <c r="AE99">
        <v>1</v>
      </c>
      <c r="AF99" t="s">
        <v>147</v>
      </c>
      <c r="AG99">
        <v>75.439999999999984</v>
      </c>
      <c r="AH99">
        <v>2</v>
      </c>
      <c r="AI99">
        <v>35844704</v>
      </c>
      <c r="AJ99">
        <v>103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</row>
    <row r="100" spans="1:44">
      <c r="A100">
        <f>ROW(Source!A165)</f>
        <v>165</v>
      </c>
      <c r="B100">
        <v>35844705</v>
      </c>
      <c r="C100">
        <v>35844690</v>
      </c>
      <c r="D100">
        <v>121548</v>
      </c>
      <c r="E100">
        <v>1</v>
      </c>
      <c r="F100">
        <v>1</v>
      </c>
      <c r="G100">
        <v>1</v>
      </c>
      <c r="H100">
        <v>1</v>
      </c>
      <c r="I100" t="s">
        <v>212</v>
      </c>
      <c r="J100" t="s">
        <v>3</v>
      </c>
      <c r="K100" t="s">
        <v>374</v>
      </c>
      <c r="L100">
        <v>608254</v>
      </c>
      <c r="N100">
        <v>1013</v>
      </c>
      <c r="O100" t="s">
        <v>375</v>
      </c>
      <c r="P100" t="s">
        <v>375</v>
      </c>
      <c r="Q100">
        <v>1</v>
      </c>
      <c r="X100">
        <v>1.28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1</v>
      </c>
      <c r="AE100">
        <v>2</v>
      </c>
      <c r="AF100" t="s">
        <v>146</v>
      </c>
      <c r="AG100">
        <v>1.6</v>
      </c>
      <c r="AH100">
        <v>2</v>
      </c>
      <c r="AI100">
        <v>35844705</v>
      </c>
      <c r="AJ100">
        <v>104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</row>
    <row r="101" spans="1:44">
      <c r="A101">
        <f>ROW(Source!A165)</f>
        <v>165</v>
      </c>
      <c r="B101">
        <v>35844706</v>
      </c>
      <c r="C101">
        <v>35844690</v>
      </c>
      <c r="D101">
        <v>29172379</v>
      </c>
      <c r="E101">
        <v>1</v>
      </c>
      <c r="F101">
        <v>1</v>
      </c>
      <c r="G101">
        <v>1</v>
      </c>
      <c r="H101">
        <v>2</v>
      </c>
      <c r="I101" t="s">
        <v>477</v>
      </c>
      <c r="J101" t="s">
        <v>478</v>
      </c>
      <c r="K101" t="s">
        <v>479</v>
      </c>
      <c r="L101">
        <v>1368</v>
      </c>
      <c r="N101">
        <v>1011</v>
      </c>
      <c r="O101" t="s">
        <v>379</v>
      </c>
      <c r="P101" t="s">
        <v>379</v>
      </c>
      <c r="Q101">
        <v>1</v>
      </c>
      <c r="X101">
        <v>0.09</v>
      </c>
      <c r="Y101">
        <v>0</v>
      </c>
      <c r="Z101">
        <v>112</v>
      </c>
      <c r="AA101">
        <v>13.5</v>
      </c>
      <c r="AB101">
        <v>0</v>
      </c>
      <c r="AC101">
        <v>0</v>
      </c>
      <c r="AD101">
        <v>1</v>
      </c>
      <c r="AE101">
        <v>0</v>
      </c>
      <c r="AF101" t="s">
        <v>146</v>
      </c>
      <c r="AG101">
        <v>0.11249999999999999</v>
      </c>
      <c r="AH101">
        <v>2</v>
      </c>
      <c r="AI101">
        <v>35844706</v>
      </c>
      <c r="AJ101">
        <v>105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</row>
    <row r="102" spans="1:44">
      <c r="A102">
        <f>ROW(Source!A165)</f>
        <v>165</v>
      </c>
      <c r="B102">
        <v>35844707</v>
      </c>
      <c r="C102">
        <v>35844690</v>
      </c>
      <c r="D102">
        <v>29172556</v>
      </c>
      <c r="E102">
        <v>1</v>
      </c>
      <c r="F102">
        <v>1</v>
      </c>
      <c r="G102">
        <v>1</v>
      </c>
      <c r="H102">
        <v>2</v>
      </c>
      <c r="I102" t="s">
        <v>376</v>
      </c>
      <c r="J102" t="s">
        <v>377</v>
      </c>
      <c r="K102" t="s">
        <v>378</v>
      </c>
      <c r="L102">
        <v>1368</v>
      </c>
      <c r="N102">
        <v>1011</v>
      </c>
      <c r="O102" t="s">
        <v>379</v>
      </c>
      <c r="P102" t="s">
        <v>379</v>
      </c>
      <c r="Q102">
        <v>1</v>
      </c>
      <c r="X102">
        <v>1.19</v>
      </c>
      <c r="Y102">
        <v>0</v>
      </c>
      <c r="Z102">
        <v>31.26</v>
      </c>
      <c r="AA102">
        <v>13.5</v>
      </c>
      <c r="AB102">
        <v>0</v>
      </c>
      <c r="AC102">
        <v>0</v>
      </c>
      <c r="AD102">
        <v>1</v>
      </c>
      <c r="AE102">
        <v>0</v>
      </c>
      <c r="AF102" t="s">
        <v>146</v>
      </c>
      <c r="AG102">
        <v>1.4874999999999998</v>
      </c>
      <c r="AH102">
        <v>2</v>
      </c>
      <c r="AI102">
        <v>35844707</v>
      </c>
      <c r="AJ102">
        <v>106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</row>
    <row r="103" spans="1:44">
      <c r="A103">
        <f>ROW(Source!A165)</f>
        <v>165</v>
      </c>
      <c r="B103">
        <v>35844708</v>
      </c>
      <c r="C103">
        <v>35844690</v>
      </c>
      <c r="D103">
        <v>29172703</v>
      </c>
      <c r="E103">
        <v>1</v>
      </c>
      <c r="F103">
        <v>1</v>
      </c>
      <c r="G103">
        <v>1</v>
      </c>
      <c r="H103">
        <v>2</v>
      </c>
      <c r="I103" t="s">
        <v>525</v>
      </c>
      <c r="J103" t="s">
        <v>526</v>
      </c>
      <c r="K103" t="s">
        <v>527</v>
      </c>
      <c r="L103">
        <v>1368</v>
      </c>
      <c r="N103">
        <v>1011</v>
      </c>
      <c r="O103" t="s">
        <v>379</v>
      </c>
      <c r="P103" t="s">
        <v>379</v>
      </c>
      <c r="Q103">
        <v>1</v>
      </c>
      <c r="X103">
        <v>0.8</v>
      </c>
      <c r="Y103">
        <v>0</v>
      </c>
      <c r="Z103">
        <v>29.67</v>
      </c>
      <c r="AA103">
        <v>0</v>
      </c>
      <c r="AB103">
        <v>0</v>
      </c>
      <c r="AC103">
        <v>0</v>
      </c>
      <c r="AD103">
        <v>1</v>
      </c>
      <c r="AE103">
        <v>0</v>
      </c>
      <c r="AF103" t="s">
        <v>146</v>
      </c>
      <c r="AG103">
        <v>1</v>
      </c>
      <c r="AH103">
        <v>2</v>
      </c>
      <c r="AI103">
        <v>35844708</v>
      </c>
      <c r="AJ103">
        <v>107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</row>
    <row r="104" spans="1:44">
      <c r="A104">
        <f>ROW(Source!A165)</f>
        <v>165</v>
      </c>
      <c r="B104">
        <v>35844709</v>
      </c>
      <c r="C104">
        <v>35844690</v>
      </c>
      <c r="D104">
        <v>29174500</v>
      </c>
      <c r="E104">
        <v>1</v>
      </c>
      <c r="F104">
        <v>1</v>
      </c>
      <c r="G104">
        <v>1</v>
      </c>
      <c r="H104">
        <v>2</v>
      </c>
      <c r="I104" t="s">
        <v>528</v>
      </c>
      <c r="J104" t="s">
        <v>529</v>
      </c>
      <c r="K104" t="s">
        <v>530</v>
      </c>
      <c r="L104">
        <v>1368</v>
      </c>
      <c r="N104">
        <v>1011</v>
      </c>
      <c r="O104" t="s">
        <v>379</v>
      </c>
      <c r="P104" t="s">
        <v>379</v>
      </c>
      <c r="Q104">
        <v>1</v>
      </c>
      <c r="X104">
        <v>0.21</v>
      </c>
      <c r="Y104">
        <v>0</v>
      </c>
      <c r="Z104">
        <v>1.95</v>
      </c>
      <c r="AA104">
        <v>0</v>
      </c>
      <c r="AB104">
        <v>0</v>
      </c>
      <c r="AC104">
        <v>0</v>
      </c>
      <c r="AD104">
        <v>1</v>
      </c>
      <c r="AE104">
        <v>0</v>
      </c>
      <c r="AF104" t="s">
        <v>146</v>
      </c>
      <c r="AG104">
        <v>0.26250000000000001</v>
      </c>
      <c r="AH104">
        <v>2</v>
      </c>
      <c r="AI104">
        <v>35844709</v>
      </c>
      <c r="AJ104">
        <v>108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</row>
    <row r="105" spans="1:44">
      <c r="A105">
        <f>ROW(Source!A165)</f>
        <v>165</v>
      </c>
      <c r="B105">
        <v>35844710</v>
      </c>
      <c r="C105">
        <v>35844690</v>
      </c>
      <c r="D105">
        <v>29174913</v>
      </c>
      <c r="E105">
        <v>1</v>
      </c>
      <c r="F105">
        <v>1</v>
      </c>
      <c r="G105">
        <v>1</v>
      </c>
      <c r="H105">
        <v>2</v>
      </c>
      <c r="I105" t="s">
        <v>394</v>
      </c>
      <c r="J105" t="s">
        <v>395</v>
      </c>
      <c r="K105" t="s">
        <v>396</v>
      </c>
      <c r="L105">
        <v>1368</v>
      </c>
      <c r="N105">
        <v>1011</v>
      </c>
      <c r="O105" t="s">
        <v>379</v>
      </c>
      <c r="P105" t="s">
        <v>379</v>
      </c>
      <c r="Q105">
        <v>1</v>
      </c>
      <c r="X105">
        <v>1.85</v>
      </c>
      <c r="Y105">
        <v>0</v>
      </c>
      <c r="Z105">
        <v>87.17</v>
      </c>
      <c r="AA105">
        <v>11.6</v>
      </c>
      <c r="AB105">
        <v>0</v>
      </c>
      <c r="AC105">
        <v>0</v>
      </c>
      <c r="AD105">
        <v>1</v>
      </c>
      <c r="AE105">
        <v>0</v>
      </c>
      <c r="AF105" t="s">
        <v>146</v>
      </c>
      <c r="AG105">
        <v>2.3125</v>
      </c>
      <c r="AH105">
        <v>2</v>
      </c>
      <c r="AI105">
        <v>35844710</v>
      </c>
      <c r="AJ105">
        <v>109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</row>
    <row r="106" spans="1:44">
      <c r="A106">
        <f>ROW(Source!A165)</f>
        <v>165</v>
      </c>
      <c r="B106">
        <v>35844711</v>
      </c>
      <c r="C106">
        <v>35844690</v>
      </c>
      <c r="D106">
        <v>29114681</v>
      </c>
      <c r="E106">
        <v>1</v>
      </c>
      <c r="F106">
        <v>1</v>
      </c>
      <c r="G106">
        <v>1</v>
      </c>
      <c r="H106">
        <v>3</v>
      </c>
      <c r="I106" t="s">
        <v>531</v>
      </c>
      <c r="J106" t="s">
        <v>532</v>
      </c>
      <c r="K106" t="s">
        <v>533</v>
      </c>
      <c r="L106">
        <v>1348</v>
      </c>
      <c r="N106">
        <v>1009</v>
      </c>
      <c r="O106" t="s">
        <v>27</v>
      </c>
      <c r="P106" t="s">
        <v>27</v>
      </c>
      <c r="Q106">
        <v>1000</v>
      </c>
      <c r="X106">
        <v>4.4999999999999997E-3</v>
      </c>
      <c r="Y106">
        <v>9628</v>
      </c>
      <c r="Z106">
        <v>0</v>
      </c>
      <c r="AA106">
        <v>0</v>
      </c>
      <c r="AB106">
        <v>0</v>
      </c>
      <c r="AC106">
        <v>0</v>
      </c>
      <c r="AD106">
        <v>1</v>
      </c>
      <c r="AE106">
        <v>0</v>
      </c>
      <c r="AF106" t="s">
        <v>3</v>
      </c>
      <c r="AG106">
        <v>4.4999999999999997E-3</v>
      </c>
      <c r="AH106">
        <v>2</v>
      </c>
      <c r="AI106">
        <v>35844711</v>
      </c>
      <c r="AJ106">
        <v>110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</row>
    <row r="107" spans="1:44">
      <c r="A107">
        <f>ROW(Source!A165)</f>
        <v>165</v>
      </c>
      <c r="B107">
        <v>35844712</v>
      </c>
      <c r="C107">
        <v>35844690</v>
      </c>
      <c r="D107">
        <v>29114471</v>
      </c>
      <c r="E107">
        <v>1</v>
      </c>
      <c r="F107">
        <v>1</v>
      </c>
      <c r="G107">
        <v>1</v>
      </c>
      <c r="H107">
        <v>3</v>
      </c>
      <c r="I107" t="s">
        <v>534</v>
      </c>
      <c r="J107" t="s">
        <v>535</v>
      </c>
      <c r="K107" t="s">
        <v>536</v>
      </c>
      <c r="L107">
        <v>1358</v>
      </c>
      <c r="N107">
        <v>1010</v>
      </c>
      <c r="O107" t="s">
        <v>537</v>
      </c>
      <c r="P107" t="s">
        <v>537</v>
      </c>
      <c r="Q107">
        <v>10</v>
      </c>
      <c r="X107">
        <v>8.9</v>
      </c>
      <c r="Y107">
        <v>1.6</v>
      </c>
      <c r="Z107">
        <v>0</v>
      </c>
      <c r="AA107">
        <v>0</v>
      </c>
      <c r="AB107">
        <v>0</v>
      </c>
      <c r="AC107">
        <v>0</v>
      </c>
      <c r="AD107">
        <v>1</v>
      </c>
      <c r="AE107">
        <v>0</v>
      </c>
      <c r="AF107" t="s">
        <v>3</v>
      </c>
      <c r="AG107">
        <v>8.9</v>
      </c>
      <c r="AH107">
        <v>2</v>
      </c>
      <c r="AI107">
        <v>35844712</v>
      </c>
      <c r="AJ107">
        <v>111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</row>
    <row r="108" spans="1:44">
      <c r="A108">
        <f>ROW(Source!A165)</f>
        <v>165</v>
      </c>
      <c r="B108">
        <v>35844713</v>
      </c>
      <c r="C108">
        <v>35844690</v>
      </c>
      <c r="D108">
        <v>29140948</v>
      </c>
      <c r="E108">
        <v>1</v>
      </c>
      <c r="F108">
        <v>1</v>
      </c>
      <c r="G108">
        <v>1</v>
      </c>
      <c r="H108">
        <v>3</v>
      </c>
      <c r="I108" t="s">
        <v>232</v>
      </c>
      <c r="J108" t="s">
        <v>235</v>
      </c>
      <c r="K108" t="s">
        <v>233</v>
      </c>
      <c r="L108">
        <v>1033</v>
      </c>
      <c r="N108">
        <v>1013</v>
      </c>
      <c r="O108" t="s">
        <v>234</v>
      </c>
      <c r="P108" t="s">
        <v>234</v>
      </c>
      <c r="Q108">
        <v>1</v>
      </c>
      <c r="X108">
        <v>100</v>
      </c>
      <c r="Y108">
        <v>166.98</v>
      </c>
      <c r="Z108">
        <v>0</v>
      </c>
      <c r="AA108">
        <v>0</v>
      </c>
      <c r="AB108">
        <v>0</v>
      </c>
      <c r="AC108">
        <v>0</v>
      </c>
      <c r="AD108">
        <v>1</v>
      </c>
      <c r="AE108">
        <v>0</v>
      </c>
      <c r="AF108" t="s">
        <v>3</v>
      </c>
      <c r="AG108">
        <v>100</v>
      </c>
      <c r="AH108">
        <v>2</v>
      </c>
      <c r="AI108">
        <v>35844713</v>
      </c>
      <c r="AJ108">
        <v>112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</row>
    <row r="109" spans="1:44">
      <c r="A109">
        <f>ROW(Source!A165)</f>
        <v>165</v>
      </c>
      <c r="B109">
        <v>35844714</v>
      </c>
      <c r="C109">
        <v>35844690</v>
      </c>
      <c r="D109">
        <v>29140930</v>
      </c>
      <c r="E109">
        <v>1</v>
      </c>
      <c r="F109">
        <v>1</v>
      </c>
      <c r="G109">
        <v>1</v>
      </c>
      <c r="H109">
        <v>3</v>
      </c>
      <c r="I109" t="s">
        <v>538</v>
      </c>
      <c r="J109" t="s">
        <v>539</v>
      </c>
      <c r="K109" t="s">
        <v>540</v>
      </c>
      <c r="L109">
        <v>1035</v>
      </c>
      <c r="N109">
        <v>1013</v>
      </c>
      <c r="O109" t="s">
        <v>204</v>
      </c>
      <c r="P109" t="s">
        <v>204</v>
      </c>
      <c r="Q109">
        <v>1</v>
      </c>
      <c r="X109">
        <v>44.2</v>
      </c>
      <c r="Y109">
        <v>24.74</v>
      </c>
      <c r="Z109">
        <v>0</v>
      </c>
      <c r="AA109">
        <v>0</v>
      </c>
      <c r="AB109">
        <v>0</v>
      </c>
      <c r="AC109">
        <v>0</v>
      </c>
      <c r="AD109">
        <v>1</v>
      </c>
      <c r="AE109">
        <v>0</v>
      </c>
      <c r="AF109" t="s">
        <v>3</v>
      </c>
      <c r="AG109">
        <v>44.2</v>
      </c>
      <c r="AH109">
        <v>2</v>
      </c>
      <c r="AI109">
        <v>35844714</v>
      </c>
      <c r="AJ109">
        <v>114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</row>
    <row r="110" spans="1:44">
      <c r="A110">
        <f>ROW(Source!A165)</f>
        <v>165</v>
      </c>
      <c r="B110">
        <v>35844715</v>
      </c>
      <c r="C110">
        <v>35844690</v>
      </c>
      <c r="D110">
        <v>29140920</v>
      </c>
      <c r="E110">
        <v>1</v>
      </c>
      <c r="F110">
        <v>1</v>
      </c>
      <c r="G110">
        <v>1</v>
      </c>
      <c r="H110">
        <v>3</v>
      </c>
      <c r="I110" t="s">
        <v>541</v>
      </c>
      <c r="J110" t="s">
        <v>542</v>
      </c>
      <c r="K110" t="s">
        <v>543</v>
      </c>
      <c r="L110">
        <v>1339</v>
      </c>
      <c r="N110">
        <v>1007</v>
      </c>
      <c r="O110" t="s">
        <v>391</v>
      </c>
      <c r="P110" t="s">
        <v>391</v>
      </c>
      <c r="Q110">
        <v>1</v>
      </c>
      <c r="X110">
        <v>0.67</v>
      </c>
      <c r="Y110">
        <v>45.83</v>
      </c>
      <c r="Z110">
        <v>0</v>
      </c>
      <c r="AA110">
        <v>0</v>
      </c>
      <c r="AB110">
        <v>0</v>
      </c>
      <c r="AC110">
        <v>0</v>
      </c>
      <c r="AD110">
        <v>1</v>
      </c>
      <c r="AE110">
        <v>0</v>
      </c>
      <c r="AF110" t="s">
        <v>3</v>
      </c>
      <c r="AG110">
        <v>0.67</v>
      </c>
      <c r="AH110">
        <v>2</v>
      </c>
      <c r="AI110">
        <v>35844715</v>
      </c>
      <c r="AJ110">
        <v>115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</row>
    <row r="111" spans="1:44">
      <c r="A111">
        <f>ROW(Source!A165)</f>
        <v>165</v>
      </c>
      <c r="B111">
        <v>35844716</v>
      </c>
      <c r="C111">
        <v>35844690</v>
      </c>
      <c r="D111">
        <v>29150040</v>
      </c>
      <c r="E111">
        <v>1</v>
      </c>
      <c r="F111">
        <v>1</v>
      </c>
      <c r="G111">
        <v>1</v>
      </c>
      <c r="H111">
        <v>3</v>
      </c>
      <c r="I111" t="s">
        <v>388</v>
      </c>
      <c r="J111" t="s">
        <v>389</v>
      </c>
      <c r="K111" t="s">
        <v>390</v>
      </c>
      <c r="L111">
        <v>1339</v>
      </c>
      <c r="N111">
        <v>1007</v>
      </c>
      <c r="O111" t="s">
        <v>391</v>
      </c>
      <c r="P111" t="s">
        <v>391</v>
      </c>
      <c r="Q111">
        <v>1</v>
      </c>
      <c r="X111">
        <v>15</v>
      </c>
      <c r="Y111">
        <v>2.44</v>
      </c>
      <c r="Z111">
        <v>0</v>
      </c>
      <c r="AA111">
        <v>0</v>
      </c>
      <c r="AB111">
        <v>0</v>
      </c>
      <c r="AC111">
        <v>0</v>
      </c>
      <c r="AD111">
        <v>1</v>
      </c>
      <c r="AE111">
        <v>0</v>
      </c>
      <c r="AF111" t="s">
        <v>3</v>
      </c>
      <c r="AG111">
        <v>15</v>
      </c>
      <c r="AH111">
        <v>2</v>
      </c>
      <c r="AI111">
        <v>35844716</v>
      </c>
      <c r="AJ111">
        <v>116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</row>
    <row r="112" spans="1:44">
      <c r="A112">
        <f>ROW(Source!A168)</f>
        <v>168</v>
      </c>
      <c r="B112">
        <v>35903807</v>
      </c>
      <c r="C112">
        <v>35903806</v>
      </c>
      <c r="D112">
        <v>31427698</v>
      </c>
      <c r="E112">
        <v>1</v>
      </c>
      <c r="F112">
        <v>1</v>
      </c>
      <c r="G112">
        <v>1</v>
      </c>
      <c r="H112">
        <v>1</v>
      </c>
      <c r="I112" t="s">
        <v>544</v>
      </c>
      <c r="J112" t="s">
        <v>3</v>
      </c>
      <c r="K112" t="s">
        <v>545</v>
      </c>
      <c r="L112">
        <v>1369</v>
      </c>
      <c r="N112">
        <v>1013</v>
      </c>
      <c r="O112" t="s">
        <v>369</v>
      </c>
      <c r="P112" t="s">
        <v>369</v>
      </c>
      <c r="Q112">
        <v>1</v>
      </c>
      <c r="X112">
        <v>13.71</v>
      </c>
      <c r="Y112">
        <v>0</v>
      </c>
      <c r="Z112">
        <v>0</v>
      </c>
      <c r="AA112">
        <v>0</v>
      </c>
      <c r="AB112">
        <v>306.91000000000003</v>
      </c>
      <c r="AC112">
        <v>0</v>
      </c>
      <c r="AD112">
        <v>1</v>
      </c>
      <c r="AE112">
        <v>1</v>
      </c>
      <c r="AF112" t="s">
        <v>147</v>
      </c>
      <c r="AG112">
        <v>15.766500000000001</v>
      </c>
      <c r="AH112">
        <v>2</v>
      </c>
      <c r="AI112">
        <v>35903807</v>
      </c>
      <c r="AJ112">
        <v>117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</row>
    <row r="113" spans="1:44">
      <c r="A113">
        <f>ROW(Source!A168)</f>
        <v>168</v>
      </c>
      <c r="B113">
        <v>35903808</v>
      </c>
      <c r="C113">
        <v>35903806</v>
      </c>
      <c r="D113">
        <v>35554771</v>
      </c>
      <c r="E113">
        <v>1</v>
      </c>
      <c r="F113">
        <v>1</v>
      </c>
      <c r="G113">
        <v>1</v>
      </c>
      <c r="H113">
        <v>2</v>
      </c>
      <c r="I113" t="s">
        <v>525</v>
      </c>
      <c r="J113" t="s">
        <v>546</v>
      </c>
      <c r="K113" t="s">
        <v>547</v>
      </c>
      <c r="L113">
        <v>1368</v>
      </c>
      <c r="N113">
        <v>1011</v>
      </c>
      <c r="O113" t="s">
        <v>379</v>
      </c>
      <c r="P113" t="s">
        <v>379</v>
      </c>
      <c r="Q113">
        <v>1</v>
      </c>
      <c r="X113">
        <v>1.27</v>
      </c>
      <c r="Y113">
        <v>0</v>
      </c>
      <c r="Z113">
        <v>29.67</v>
      </c>
      <c r="AA113">
        <v>0</v>
      </c>
      <c r="AB113">
        <v>0</v>
      </c>
      <c r="AC113">
        <v>0</v>
      </c>
      <c r="AD113">
        <v>1</v>
      </c>
      <c r="AE113">
        <v>0</v>
      </c>
      <c r="AF113" t="s">
        <v>146</v>
      </c>
      <c r="AG113">
        <v>1.5874999999999999</v>
      </c>
      <c r="AH113">
        <v>2</v>
      </c>
      <c r="AI113">
        <v>35903808</v>
      </c>
      <c r="AJ113">
        <v>118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</row>
    <row r="114" spans="1:44">
      <c r="A114">
        <f>ROW(Source!A168)</f>
        <v>168</v>
      </c>
      <c r="B114">
        <v>35903809</v>
      </c>
      <c r="C114">
        <v>35903806</v>
      </c>
      <c r="D114">
        <v>35555088</v>
      </c>
      <c r="E114">
        <v>1</v>
      </c>
      <c r="F114">
        <v>1</v>
      </c>
      <c r="G114">
        <v>1</v>
      </c>
      <c r="H114">
        <v>2</v>
      </c>
      <c r="I114" t="s">
        <v>394</v>
      </c>
      <c r="J114" t="s">
        <v>464</v>
      </c>
      <c r="K114" t="s">
        <v>396</v>
      </c>
      <c r="L114">
        <v>1368</v>
      </c>
      <c r="N114">
        <v>1011</v>
      </c>
      <c r="O114" t="s">
        <v>379</v>
      </c>
      <c r="P114" t="s">
        <v>379</v>
      </c>
      <c r="Q114">
        <v>1</v>
      </c>
      <c r="X114">
        <v>0.02</v>
      </c>
      <c r="Y114">
        <v>0</v>
      </c>
      <c r="Z114">
        <v>87.17</v>
      </c>
      <c r="AA114">
        <v>11.6</v>
      </c>
      <c r="AB114">
        <v>0</v>
      </c>
      <c r="AC114">
        <v>0</v>
      </c>
      <c r="AD114">
        <v>1</v>
      </c>
      <c r="AE114">
        <v>0</v>
      </c>
      <c r="AF114" t="s">
        <v>146</v>
      </c>
      <c r="AG114">
        <v>2.5000000000000001E-2</v>
      </c>
      <c r="AH114">
        <v>2</v>
      </c>
      <c r="AI114">
        <v>35903809</v>
      </c>
      <c r="AJ114">
        <v>119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</row>
    <row r="115" spans="1:44">
      <c r="A115">
        <f>ROW(Source!A168)</f>
        <v>168</v>
      </c>
      <c r="B115">
        <v>35903810</v>
      </c>
      <c r="C115">
        <v>35903806</v>
      </c>
      <c r="D115">
        <v>35560195</v>
      </c>
      <c r="E115">
        <v>1</v>
      </c>
      <c r="F115">
        <v>1</v>
      </c>
      <c r="G115">
        <v>1</v>
      </c>
      <c r="H115">
        <v>3</v>
      </c>
      <c r="I115" t="s">
        <v>616</v>
      </c>
      <c r="J115" t="s">
        <v>617</v>
      </c>
      <c r="K115" t="s">
        <v>618</v>
      </c>
      <c r="L115">
        <v>1371</v>
      </c>
      <c r="N115">
        <v>1013</v>
      </c>
      <c r="O115" t="s">
        <v>619</v>
      </c>
      <c r="P115" t="s">
        <v>619</v>
      </c>
      <c r="Q115">
        <v>1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1</v>
      </c>
      <c r="AD115">
        <v>0</v>
      </c>
      <c r="AE115">
        <v>0</v>
      </c>
      <c r="AF115" t="s">
        <v>3</v>
      </c>
      <c r="AG115">
        <v>0</v>
      </c>
      <c r="AH115">
        <v>3</v>
      </c>
      <c r="AI115">
        <v>-1</v>
      </c>
      <c r="AJ115" t="s">
        <v>3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</row>
    <row r="116" spans="1:44">
      <c r="A116">
        <f>ROW(Source!A168)</f>
        <v>168</v>
      </c>
      <c r="B116">
        <v>35903811</v>
      </c>
      <c r="C116">
        <v>35903806</v>
      </c>
      <c r="D116">
        <v>35552706</v>
      </c>
      <c r="E116">
        <v>1</v>
      </c>
      <c r="F116">
        <v>1</v>
      </c>
      <c r="G116">
        <v>1</v>
      </c>
      <c r="H116">
        <v>3</v>
      </c>
      <c r="I116" t="s">
        <v>548</v>
      </c>
      <c r="J116" t="s">
        <v>549</v>
      </c>
      <c r="K116" t="s">
        <v>550</v>
      </c>
      <c r="L116">
        <v>1348</v>
      </c>
      <c r="N116">
        <v>1009</v>
      </c>
      <c r="O116" t="s">
        <v>27</v>
      </c>
      <c r="P116" t="s">
        <v>27</v>
      </c>
      <c r="Q116">
        <v>1000</v>
      </c>
      <c r="X116">
        <v>3.1700000000000001E-3</v>
      </c>
      <c r="Y116">
        <v>14528.73</v>
      </c>
      <c r="Z116">
        <v>0</v>
      </c>
      <c r="AA116">
        <v>0</v>
      </c>
      <c r="AB116">
        <v>0</v>
      </c>
      <c r="AC116">
        <v>0</v>
      </c>
      <c r="AD116">
        <v>1</v>
      </c>
      <c r="AE116">
        <v>0</v>
      </c>
      <c r="AF116" t="s">
        <v>3</v>
      </c>
      <c r="AG116">
        <v>3.1700000000000001E-3</v>
      </c>
      <c r="AH116">
        <v>2</v>
      </c>
      <c r="AI116">
        <v>35903811</v>
      </c>
      <c r="AJ116">
        <v>120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</row>
    <row r="117" spans="1:44">
      <c r="A117">
        <f>ROW(Source!A168)</f>
        <v>168</v>
      </c>
      <c r="B117">
        <v>35903812</v>
      </c>
      <c r="C117">
        <v>35903806</v>
      </c>
      <c r="D117">
        <v>35552838</v>
      </c>
      <c r="E117">
        <v>1</v>
      </c>
      <c r="F117">
        <v>1</v>
      </c>
      <c r="G117">
        <v>1</v>
      </c>
      <c r="H117">
        <v>3</v>
      </c>
      <c r="I117" t="s">
        <v>551</v>
      </c>
      <c r="J117" t="s">
        <v>552</v>
      </c>
      <c r="K117" t="s">
        <v>553</v>
      </c>
      <c r="L117">
        <v>1356</v>
      </c>
      <c r="N117">
        <v>1010</v>
      </c>
      <c r="O117" t="s">
        <v>554</v>
      </c>
      <c r="P117" t="s">
        <v>554</v>
      </c>
      <c r="Q117">
        <v>1000</v>
      </c>
      <c r="X117">
        <v>0.16700000000000001</v>
      </c>
      <c r="Y117">
        <v>269</v>
      </c>
      <c r="Z117">
        <v>0</v>
      </c>
      <c r="AA117">
        <v>0</v>
      </c>
      <c r="AB117">
        <v>0</v>
      </c>
      <c r="AC117">
        <v>0</v>
      </c>
      <c r="AD117">
        <v>1</v>
      </c>
      <c r="AE117">
        <v>0</v>
      </c>
      <c r="AF117" t="s">
        <v>3</v>
      </c>
      <c r="AG117">
        <v>0.16700000000000001</v>
      </c>
      <c r="AH117">
        <v>2</v>
      </c>
      <c r="AI117">
        <v>35903812</v>
      </c>
      <c r="AJ117">
        <v>121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</row>
    <row r="118" spans="1:44">
      <c r="A118">
        <f>ROW(Source!A168)</f>
        <v>168</v>
      </c>
      <c r="B118">
        <v>35903813</v>
      </c>
      <c r="C118">
        <v>35903806</v>
      </c>
      <c r="D118">
        <v>35554075</v>
      </c>
      <c r="E118">
        <v>1</v>
      </c>
      <c r="F118">
        <v>1</v>
      </c>
      <c r="G118">
        <v>1</v>
      </c>
      <c r="H118">
        <v>3</v>
      </c>
      <c r="I118" t="s">
        <v>620</v>
      </c>
      <c r="J118" t="s">
        <v>621</v>
      </c>
      <c r="K118" t="s">
        <v>622</v>
      </c>
      <c r="L118">
        <v>1354</v>
      </c>
      <c r="N118">
        <v>1010</v>
      </c>
      <c r="O118" t="s">
        <v>209</v>
      </c>
      <c r="P118" t="s">
        <v>209</v>
      </c>
      <c r="Q118">
        <v>1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1</v>
      </c>
      <c r="AD118">
        <v>0</v>
      </c>
      <c r="AE118">
        <v>0</v>
      </c>
      <c r="AF118" t="s">
        <v>3</v>
      </c>
      <c r="AG118">
        <v>0</v>
      </c>
      <c r="AH118">
        <v>3</v>
      </c>
      <c r="AI118">
        <v>-1</v>
      </c>
      <c r="AJ118" t="s">
        <v>3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</row>
    <row r="119" spans="1:44">
      <c r="A119">
        <f>ROW(Source!A168)</f>
        <v>168</v>
      </c>
      <c r="B119">
        <v>35903814</v>
      </c>
      <c r="C119">
        <v>35903806</v>
      </c>
      <c r="D119">
        <v>35554102</v>
      </c>
      <c r="E119">
        <v>1</v>
      </c>
      <c r="F119">
        <v>1</v>
      </c>
      <c r="G119">
        <v>1</v>
      </c>
      <c r="H119">
        <v>3</v>
      </c>
      <c r="I119" t="s">
        <v>623</v>
      </c>
      <c r="J119" t="s">
        <v>624</v>
      </c>
      <c r="K119" t="s">
        <v>625</v>
      </c>
      <c r="L119">
        <v>1354</v>
      </c>
      <c r="N119">
        <v>1010</v>
      </c>
      <c r="O119" t="s">
        <v>209</v>
      </c>
      <c r="P119" t="s">
        <v>209</v>
      </c>
      <c r="Q119">
        <v>1</v>
      </c>
      <c r="X119">
        <v>167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 t="s">
        <v>3</v>
      </c>
      <c r="AG119">
        <v>167</v>
      </c>
      <c r="AH119">
        <v>3</v>
      </c>
      <c r="AI119">
        <v>-1</v>
      </c>
      <c r="AJ119" t="s">
        <v>3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</row>
    <row r="120" spans="1:44">
      <c r="A120">
        <f>ROW(Source!A168)</f>
        <v>168</v>
      </c>
      <c r="B120">
        <v>35903815</v>
      </c>
      <c r="C120">
        <v>35903806</v>
      </c>
      <c r="D120">
        <v>35553679</v>
      </c>
      <c r="E120">
        <v>1</v>
      </c>
      <c r="F120">
        <v>1</v>
      </c>
      <c r="G120">
        <v>1</v>
      </c>
      <c r="H120">
        <v>3</v>
      </c>
      <c r="I120" t="s">
        <v>626</v>
      </c>
      <c r="J120" t="s">
        <v>627</v>
      </c>
      <c r="K120" t="s">
        <v>628</v>
      </c>
      <c r="L120">
        <v>1354</v>
      </c>
      <c r="N120">
        <v>1010</v>
      </c>
      <c r="O120" t="s">
        <v>209</v>
      </c>
      <c r="P120" t="s">
        <v>209</v>
      </c>
      <c r="Q120">
        <v>1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1</v>
      </c>
      <c r="AD120">
        <v>0</v>
      </c>
      <c r="AE120">
        <v>0</v>
      </c>
      <c r="AF120" t="s">
        <v>3</v>
      </c>
      <c r="AG120">
        <v>0</v>
      </c>
      <c r="AH120">
        <v>3</v>
      </c>
      <c r="AI120">
        <v>-1</v>
      </c>
      <c r="AJ120" t="s">
        <v>3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</row>
    <row r="121" spans="1:44">
      <c r="A121">
        <f>ROW(Source!A168)</f>
        <v>168</v>
      </c>
      <c r="B121">
        <v>35903816</v>
      </c>
      <c r="C121">
        <v>35903806</v>
      </c>
      <c r="D121">
        <v>35554227</v>
      </c>
      <c r="E121">
        <v>1</v>
      </c>
      <c r="F121">
        <v>1</v>
      </c>
      <c r="G121">
        <v>1</v>
      </c>
      <c r="H121">
        <v>3</v>
      </c>
      <c r="I121" t="s">
        <v>388</v>
      </c>
      <c r="J121" t="s">
        <v>555</v>
      </c>
      <c r="K121" t="s">
        <v>390</v>
      </c>
      <c r="L121">
        <v>1339</v>
      </c>
      <c r="N121">
        <v>1007</v>
      </c>
      <c r="O121" t="s">
        <v>391</v>
      </c>
      <c r="P121" t="s">
        <v>391</v>
      </c>
      <c r="Q121">
        <v>1</v>
      </c>
      <c r="X121">
        <v>0.29299999999999998</v>
      </c>
      <c r="Y121">
        <v>2.44</v>
      </c>
      <c r="Z121">
        <v>0</v>
      </c>
      <c r="AA121">
        <v>0</v>
      </c>
      <c r="AB121">
        <v>0</v>
      </c>
      <c r="AC121">
        <v>0</v>
      </c>
      <c r="AD121">
        <v>1</v>
      </c>
      <c r="AE121">
        <v>0</v>
      </c>
      <c r="AF121" t="s">
        <v>3</v>
      </c>
      <c r="AG121">
        <v>0.29299999999999998</v>
      </c>
      <c r="AH121">
        <v>2</v>
      </c>
      <c r="AI121">
        <v>35903816</v>
      </c>
      <c r="AJ121">
        <v>122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</row>
    <row r="122" spans="1:44">
      <c r="A122">
        <f>ROW(Source!A168)</f>
        <v>168</v>
      </c>
      <c r="B122">
        <v>35903817</v>
      </c>
      <c r="C122">
        <v>35903806</v>
      </c>
      <c r="D122">
        <v>35554517</v>
      </c>
      <c r="E122">
        <v>1</v>
      </c>
      <c r="F122">
        <v>1</v>
      </c>
      <c r="G122">
        <v>1</v>
      </c>
      <c r="H122">
        <v>3</v>
      </c>
      <c r="I122" t="s">
        <v>629</v>
      </c>
      <c r="J122" t="s">
        <v>630</v>
      </c>
      <c r="K122" t="s">
        <v>631</v>
      </c>
      <c r="L122">
        <v>1302</v>
      </c>
      <c r="N122">
        <v>1003</v>
      </c>
      <c r="O122" t="s">
        <v>519</v>
      </c>
      <c r="P122" t="s">
        <v>519</v>
      </c>
      <c r="Q122">
        <v>10</v>
      </c>
      <c r="X122">
        <v>10.25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 t="s">
        <v>3</v>
      </c>
      <c r="AG122">
        <v>10.25</v>
      </c>
      <c r="AH122">
        <v>3</v>
      </c>
      <c r="AI122">
        <v>-1</v>
      </c>
      <c r="AJ122" t="s">
        <v>3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</row>
    <row r="123" spans="1:44">
      <c r="A123">
        <f>ROW(Source!A172)</f>
        <v>172</v>
      </c>
      <c r="B123">
        <v>35914228</v>
      </c>
      <c r="C123">
        <v>35914227</v>
      </c>
      <c r="D123">
        <v>18409992</v>
      </c>
      <c r="E123">
        <v>1</v>
      </c>
      <c r="F123">
        <v>1</v>
      </c>
      <c r="G123">
        <v>1</v>
      </c>
      <c r="H123">
        <v>1</v>
      </c>
      <c r="I123" t="s">
        <v>556</v>
      </c>
      <c r="J123" t="s">
        <v>3</v>
      </c>
      <c r="K123" t="s">
        <v>557</v>
      </c>
      <c r="L123">
        <v>1369</v>
      </c>
      <c r="N123">
        <v>1013</v>
      </c>
      <c r="O123" t="s">
        <v>369</v>
      </c>
      <c r="P123" t="s">
        <v>369</v>
      </c>
      <c r="Q123">
        <v>1</v>
      </c>
      <c r="X123">
        <v>55.16</v>
      </c>
      <c r="Y123">
        <v>0</v>
      </c>
      <c r="Z123">
        <v>0</v>
      </c>
      <c r="AA123">
        <v>0</v>
      </c>
      <c r="AB123">
        <v>264.14</v>
      </c>
      <c r="AC123">
        <v>0</v>
      </c>
      <c r="AD123">
        <v>1</v>
      </c>
      <c r="AE123">
        <v>1</v>
      </c>
      <c r="AF123" t="s">
        <v>3</v>
      </c>
      <c r="AG123">
        <v>55.16</v>
      </c>
      <c r="AH123">
        <v>2</v>
      </c>
      <c r="AI123">
        <v>35914228</v>
      </c>
      <c r="AJ123">
        <v>124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</row>
    <row r="124" spans="1:44">
      <c r="A124">
        <f>ROW(Source!A172)</f>
        <v>172</v>
      </c>
      <c r="B124">
        <v>35914229</v>
      </c>
      <c r="C124">
        <v>35914227</v>
      </c>
      <c r="D124">
        <v>29172513</v>
      </c>
      <c r="E124">
        <v>1</v>
      </c>
      <c r="F124">
        <v>1</v>
      </c>
      <c r="G124">
        <v>1</v>
      </c>
      <c r="H124">
        <v>2</v>
      </c>
      <c r="I124" t="s">
        <v>558</v>
      </c>
      <c r="J124" t="s">
        <v>559</v>
      </c>
      <c r="K124" t="s">
        <v>560</v>
      </c>
      <c r="L124">
        <v>1368</v>
      </c>
      <c r="N124">
        <v>1011</v>
      </c>
      <c r="O124" t="s">
        <v>379</v>
      </c>
      <c r="P124" t="s">
        <v>379</v>
      </c>
      <c r="Q124">
        <v>1</v>
      </c>
      <c r="X124">
        <v>0.44</v>
      </c>
      <c r="Y124">
        <v>0</v>
      </c>
      <c r="Z124">
        <v>1.7</v>
      </c>
      <c r="AA124">
        <v>0</v>
      </c>
      <c r="AB124">
        <v>0</v>
      </c>
      <c r="AC124">
        <v>0</v>
      </c>
      <c r="AD124">
        <v>1</v>
      </c>
      <c r="AE124">
        <v>0</v>
      </c>
      <c r="AF124" t="s">
        <v>3</v>
      </c>
      <c r="AG124">
        <v>0.44</v>
      </c>
      <c r="AH124">
        <v>2</v>
      </c>
      <c r="AI124">
        <v>35914229</v>
      </c>
      <c r="AJ124">
        <v>125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</row>
    <row r="125" spans="1:44">
      <c r="A125">
        <f>ROW(Source!A172)</f>
        <v>172</v>
      </c>
      <c r="B125">
        <v>35914230</v>
      </c>
      <c r="C125">
        <v>35914227</v>
      </c>
      <c r="D125">
        <v>29174913</v>
      </c>
      <c r="E125">
        <v>1</v>
      </c>
      <c r="F125">
        <v>1</v>
      </c>
      <c r="G125">
        <v>1</v>
      </c>
      <c r="H125">
        <v>2</v>
      </c>
      <c r="I125" t="s">
        <v>394</v>
      </c>
      <c r="J125" t="s">
        <v>395</v>
      </c>
      <c r="K125" t="s">
        <v>396</v>
      </c>
      <c r="L125">
        <v>1368</v>
      </c>
      <c r="N125">
        <v>1011</v>
      </c>
      <c r="O125" t="s">
        <v>379</v>
      </c>
      <c r="P125" t="s">
        <v>379</v>
      </c>
      <c r="Q125">
        <v>1</v>
      </c>
      <c r="X125">
        <v>0.24</v>
      </c>
      <c r="Y125">
        <v>0</v>
      </c>
      <c r="Z125">
        <v>87.17</v>
      </c>
      <c r="AA125">
        <v>11.6</v>
      </c>
      <c r="AB125">
        <v>0</v>
      </c>
      <c r="AC125">
        <v>0</v>
      </c>
      <c r="AD125">
        <v>1</v>
      </c>
      <c r="AE125">
        <v>0</v>
      </c>
      <c r="AF125" t="s">
        <v>3</v>
      </c>
      <c r="AG125">
        <v>0.24</v>
      </c>
      <c r="AH125">
        <v>2</v>
      </c>
      <c r="AI125">
        <v>35914230</v>
      </c>
      <c r="AJ125">
        <v>126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</row>
    <row r="126" spans="1:44">
      <c r="A126">
        <f>ROW(Source!A172)</f>
        <v>172</v>
      </c>
      <c r="B126">
        <v>35914231</v>
      </c>
      <c r="C126">
        <v>35914227</v>
      </c>
      <c r="D126">
        <v>29113598</v>
      </c>
      <c r="E126">
        <v>1</v>
      </c>
      <c r="F126">
        <v>1</v>
      </c>
      <c r="G126">
        <v>1</v>
      </c>
      <c r="H126">
        <v>3</v>
      </c>
      <c r="I126" t="s">
        <v>498</v>
      </c>
      <c r="J126" t="s">
        <v>499</v>
      </c>
      <c r="K126" t="s">
        <v>500</v>
      </c>
      <c r="L126">
        <v>1348</v>
      </c>
      <c r="N126">
        <v>1009</v>
      </c>
      <c r="O126" t="s">
        <v>27</v>
      </c>
      <c r="P126" t="s">
        <v>27</v>
      </c>
      <c r="Q126">
        <v>1000</v>
      </c>
      <c r="X126">
        <v>9.4999999999999998E-3</v>
      </c>
      <c r="Y126">
        <v>4455.2</v>
      </c>
      <c r="Z126">
        <v>0</v>
      </c>
      <c r="AA126">
        <v>0</v>
      </c>
      <c r="AB126">
        <v>0</v>
      </c>
      <c r="AC126">
        <v>0</v>
      </c>
      <c r="AD126">
        <v>1</v>
      </c>
      <c r="AE126">
        <v>0</v>
      </c>
      <c r="AF126" t="s">
        <v>3</v>
      </c>
      <c r="AG126">
        <v>9.4999999999999998E-3</v>
      </c>
      <c r="AH126">
        <v>2</v>
      </c>
      <c r="AI126">
        <v>35914231</v>
      </c>
      <c r="AJ126">
        <v>127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</row>
    <row r="127" spans="1:44">
      <c r="A127">
        <f>ROW(Source!A172)</f>
        <v>172</v>
      </c>
      <c r="B127">
        <v>35914232</v>
      </c>
      <c r="C127">
        <v>35914227</v>
      </c>
      <c r="D127">
        <v>29113613</v>
      </c>
      <c r="E127">
        <v>1</v>
      </c>
      <c r="F127">
        <v>1</v>
      </c>
      <c r="G127">
        <v>1</v>
      </c>
      <c r="H127">
        <v>3</v>
      </c>
      <c r="I127" t="s">
        <v>561</v>
      </c>
      <c r="J127" t="s">
        <v>562</v>
      </c>
      <c r="K127" t="s">
        <v>563</v>
      </c>
      <c r="L127">
        <v>1348</v>
      </c>
      <c r="N127">
        <v>1009</v>
      </c>
      <c r="O127" t="s">
        <v>27</v>
      </c>
      <c r="P127" t="s">
        <v>27</v>
      </c>
      <c r="Q127">
        <v>1000</v>
      </c>
      <c r="X127">
        <v>5.0000000000000001E-4</v>
      </c>
      <c r="Y127">
        <v>10200</v>
      </c>
      <c r="Z127">
        <v>0</v>
      </c>
      <c r="AA127">
        <v>0</v>
      </c>
      <c r="AB127">
        <v>0</v>
      </c>
      <c r="AC127">
        <v>0</v>
      </c>
      <c r="AD127">
        <v>1</v>
      </c>
      <c r="AE127">
        <v>0</v>
      </c>
      <c r="AF127" t="s">
        <v>3</v>
      </c>
      <c r="AG127">
        <v>5.0000000000000001E-4</v>
      </c>
      <c r="AH127">
        <v>2</v>
      </c>
      <c r="AI127">
        <v>35914232</v>
      </c>
      <c r="AJ127">
        <v>128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</row>
    <row r="128" spans="1:44">
      <c r="A128">
        <f>ROW(Source!A172)</f>
        <v>172</v>
      </c>
      <c r="B128">
        <v>35914233</v>
      </c>
      <c r="C128">
        <v>35914227</v>
      </c>
      <c r="D128">
        <v>29114332</v>
      </c>
      <c r="E128">
        <v>1</v>
      </c>
      <c r="F128">
        <v>1</v>
      </c>
      <c r="G128">
        <v>1</v>
      </c>
      <c r="H128">
        <v>3</v>
      </c>
      <c r="I128" t="s">
        <v>440</v>
      </c>
      <c r="J128" t="s">
        <v>441</v>
      </c>
      <c r="K128" t="s">
        <v>442</v>
      </c>
      <c r="L128">
        <v>1348</v>
      </c>
      <c r="N128">
        <v>1009</v>
      </c>
      <c r="O128" t="s">
        <v>27</v>
      </c>
      <c r="P128" t="s">
        <v>27</v>
      </c>
      <c r="Q128">
        <v>1000</v>
      </c>
      <c r="X128">
        <v>3.0000000000000001E-3</v>
      </c>
      <c r="Y128">
        <v>11978</v>
      </c>
      <c r="Z128">
        <v>0</v>
      </c>
      <c r="AA128">
        <v>0</v>
      </c>
      <c r="AB128">
        <v>0</v>
      </c>
      <c r="AC128">
        <v>0</v>
      </c>
      <c r="AD128">
        <v>1</v>
      </c>
      <c r="AE128">
        <v>0</v>
      </c>
      <c r="AF128" t="s">
        <v>3</v>
      </c>
      <c r="AG128">
        <v>3.0000000000000001E-3</v>
      </c>
      <c r="AH128">
        <v>2</v>
      </c>
      <c r="AI128">
        <v>35914233</v>
      </c>
      <c r="AJ128">
        <v>129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</row>
    <row r="129" spans="1:44">
      <c r="A129">
        <f>ROW(Source!A172)</f>
        <v>172</v>
      </c>
      <c r="B129">
        <v>35914234</v>
      </c>
      <c r="C129">
        <v>35914227</v>
      </c>
      <c r="D129">
        <v>29115646</v>
      </c>
      <c r="E129">
        <v>1</v>
      </c>
      <c r="F129">
        <v>1</v>
      </c>
      <c r="G129">
        <v>1</v>
      </c>
      <c r="H129">
        <v>3</v>
      </c>
      <c r="I129" t="s">
        <v>564</v>
      </c>
      <c r="J129" t="s">
        <v>565</v>
      </c>
      <c r="K129" t="s">
        <v>566</v>
      </c>
      <c r="L129">
        <v>1339</v>
      </c>
      <c r="N129">
        <v>1007</v>
      </c>
      <c r="O129" t="s">
        <v>391</v>
      </c>
      <c r="P129" t="s">
        <v>391</v>
      </c>
      <c r="Q129">
        <v>1</v>
      </c>
      <c r="X129">
        <v>0.09</v>
      </c>
      <c r="Y129">
        <v>1155</v>
      </c>
      <c r="Z129">
        <v>0</v>
      </c>
      <c r="AA129">
        <v>0</v>
      </c>
      <c r="AB129">
        <v>0</v>
      </c>
      <c r="AC129">
        <v>0</v>
      </c>
      <c r="AD129">
        <v>1</v>
      </c>
      <c r="AE129">
        <v>0</v>
      </c>
      <c r="AF129" t="s">
        <v>3</v>
      </c>
      <c r="AG129">
        <v>0.09</v>
      </c>
      <c r="AH129">
        <v>2</v>
      </c>
      <c r="AI129">
        <v>35914234</v>
      </c>
      <c r="AJ129">
        <v>130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</row>
    <row r="130" spans="1:44">
      <c r="A130">
        <f>ROW(Source!A172)</f>
        <v>172</v>
      </c>
      <c r="B130">
        <v>35914235</v>
      </c>
      <c r="C130">
        <v>35914227</v>
      </c>
      <c r="D130">
        <v>29131324</v>
      </c>
      <c r="E130">
        <v>1</v>
      </c>
      <c r="F130">
        <v>1</v>
      </c>
      <c r="G130">
        <v>1</v>
      </c>
      <c r="H130">
        <v>3</v>
      </c>
      <c r="I130" t="s">
        <v>567</v>
      </c>
      <c r="J130" t="s">
        <v>568</v>
      </c>
      <c r="K130" t="s">
        <v>569</v>
      </c>
      <c r="L130">
        <v>1348</v>
      </c>
      <c r="N130">
        <v>1009</v>
      </c>
      <c r="O130" t="s">
        <v>27</v>
      </c>
      <c r="P130" t="s">
        <v>27</v>
      </c>
      <c r="Q130">
        <v>1000</v>
      </c>
      <c r="X130">
        <v>7.0000000000000007E-2</v>
      </c>
      <c r="Y130">
        <v>5649.99</v>
      </c>
      <c r="Z130">
        <v>0</v>
      </c>
      <c r="AA130">
        <v>0</v>
      </c>
      <c r="AB130">
        <v>0</v>
      </c>
      <c r="AC130">
        <v>0</v>
      </c>
      <c r="AD130">
        <v>1</v>
      </c>
      <c r="AE130">
        <v>0</v>
      </c>
      <c r="AF130" t="s">
        <v>3</v>
      </c>
      <c r="AG130">
        <v>7.0000000000000007E-2</v>
      </c>
      <c r="AH130">
        <v>2</v>
      </c>
      <c r="AI130">
        <v>35914235</v>
      </c>
      <c r="AJ130">
        <v>131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</row>
    <row r="131" spans="1:44">
      <c r="A131">
        <f>ROW(Source!A172)</f>
        <v>172</v>
      </c>
      <c r="B131">
        <v>35914236</v>
      </c>
      <c r="C131">
        <v>35914227</v>
      </c>
      <c r="D131">
        <v>29145043</v>
      </c>
      <c r="E131">
        <v>1</v>
      </c>
      <c r="F131">
        <v>1</v>
      </c>
      <c r="G131">
        <v>1</v>
      </c>
      <c r="H131">
        <v>3</v>
      </c>
      <c r="I131" t="s">
        <v>570</v>
      </c>
      <c r="J131" t="s">
        <v>571</v>
      </c>
      <c r="K131" t="s">
        <v>572</v>
      </c>
      <c r="L131">
        <v>1339</v>
      </c>
      <c r="N131">
        <v>1007</v>
      </c>
      <c r="O131" t="s">
        <v>391</v>
      </c>
      <c r="P131" t="s">
        <v>391</v>
      </c>
      <c r="Q131">
        <v>1</v>
      </c>
      <c r="X131">
        <v>1.04</v>
      </c>
      <c r="Y131">
        <v>665</v>
      </c>
      <c r="Z131">
        <v>0</v>
      </c>
      <c r="AA131">
        <v>0</v>
      </c>
      <c r="AB131">
        <v>0</v>
      </c>
      <c r="AC131">
        <v>0</v>
      </c>
      <c r="AD131">
        <v>1</v>
      </c>
      <c r="AE131">
        <v>0</v>
      </c>
      <c r="AF131" t="s">
        <v>3</v>
      </c>
      <c r="AG131">
        <v>1.04</v>
      </c>
      <c r="AH131">
        <v>2</v>
      </c>
      <c r="AI131">
        <v>35914236</v>
      </c>
      <c r="AJ131">
        <v>132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</row>
    <row r="132" spans="1:44">
      <c r="A132">
        <f>ROW(Source!A172)</f>
        <v>172</v>
      </c>
      <c r="B132">
        <v>35914237</v>
      </c>
      <c r="C132">
        <v>35914227</v>
      </c>
      <c r="D132">
        <v>29149243</v>
      </c>
      <c r="E132">
        <v>1</v>
      </c>
      <c r="F132">
        <v>1</v>
      </c>
      <c r="G132">
        <v>1</v>
      </c>
      <c r="H132">
        <v>3</v>
      </c>
      <c r="I132" t="s">
        <v>573</v>
      </c>
      <c r="J132" t="s">
        <v>574</v>
      </c>
      <c r="K132" t="s">
        <v>575</v>
      </c>
      <c r="L132">
        <v>1348</v>
      </c>
      <c r="N132">
        <v>1009</v>
      </c>
      <c r="O132" t="s">
        <v>27</v>
      </c>
      <c r="P132" t="s">
        <v>27</v>
      </c>
      <c r="Q132">
        <v>1000</v>
      </c>
      <c r="X132">
        <v>1.1000000000000001E-3</v>
      </c>
      <c r="Y132">
        <v>734.5</v>
      </c>
      <c r="Z132">
        <v>0</v>
      </c>
      <c r="AA132">
        <v>0</v>
      </c>
      <c r="AB132">
        <v>0</v>
      </c>
      <c r="AC132">
        <v>0</v>
      </c>
      <c r="AD132">
        <v>1</v>
      </c>
      <c r="AE132">
        <v>0</v>
      </c>
      <c r="AF132" t="s">
        <v>3</v>
      </c>
      <c r="AG132">
        <v>1.1000000000000001E-3</v>
      </c>
      <c r="AH132">
        <v>2</v>
      </c>
      <c r="AI132">
        <v>35914237</v>
      </c>
      <c r="AJ132">
        <v>133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</row>
    <row r="133" spans="1:44">
      <c r="A133">
        <f>ROW(Source!A172)</f>
        <v>172</v>
      </c>
      <c r="B133">
        <v>35914238</v>
      </c>
      <c r="C133">
        <v>35914227</v>
      </c>
      <c r="D133">
        <v>29150040</v>
      </c>
      <c r="E133">
        <v>1</v>
      </c>
      <c r="F133">
        <v>1</v>
      </c>
      <c r="G133">
        <v>1</v>
      </c>
      <c r="H133">
        <v>3</v>
      </c>
      <c r="I133" t="s">
        <v>388</v>
      </c>
      <c r="J133" t="s">
        <v>389</v>
      </c>
      <c r="K133" t="s">
        <v>390</v>
      </c>
      <c r="L133">
        <v>1339</v>
      </c>
      <c r="N133">
        <v>1007</v>
      </c>
      <c r="O133" t="s">
        <v>391</v>
      </c>
      <c r="P133" t="s">
        <v>391</v>
      </c>
      <c r="Q133">
        <v>1</v>
      </c>
      <c r="X133">
        <v>3.2000000000000002E-3</v>
      </c>
      <c r="Y133">
        <v>2.44</v>
      </c>
      <c r="Z133">
        <v>0</v>
      </c>
      <c r="AA133">
        <v>0</v>
      </c>
      <c r="AB133">
        <v>0</v>
      </c>
      <c r="AC133">
        <v>0</v>
      </c>
      <c r="AD133">
        <v>1</v>
      </c>
      <c r="AE133">
        <v>0</v>
      </c>
      <c r="AF133" t="s">
        <v>3</v>
      </c>
      <c r="AG133">
        <v>3.2000000000000002E-3</v>
      </c>
      <c r="AH133">
        <v>2</v>
      </c>
      <c r="AI133">
        <v>35914238</v>
      </c>
      <c r="AJ133">
        <v>134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</row>
    <row r="134" spans="1:44">
      <c r="A134">
        <f>ROW(Source!A208)</f>
        <v>208</v>
      </c>
      <c r="B134">
        <v>36150417</v>
      </c>
      <c r="C134">
        <v>35847482</v>
      </c>
      <c r="D134">
        <v>29364679</v>
      </c>
      <c r="E134">
        <v>1</v>
      </c>
      <c r="F134">
        <v>1</v>
      </c>
      <c r="G134">
        <v>1</v>
      </c>
      <c r="H134">
        <v>1</v>
      </c>
      <c r="I134" t="s">
        <v>576</v>
      </c>
      <c r="J134" t="s">
        <v>3</v>
      </c>
      <c r="K134" t="s">
        <v>577</v>
      </c>
      <c r="L134">
        <v>1369</v>
      </c>
      <c r="N134">
        <v>1013</v>
      </c>
      <c r="O134" t="s">
        <v>369</v>
      </c>
      <c r="P134" t="s">
        <v>369</v>
      </c>
      <c r="Q134">
        <v>1</v>
      </c>
      <c r="X134">
        <v>35.130000000000003</v>
      </c>
      <c r="Y134">
        <v>0</v>
      </c>
      <c r="Z134">
        <v>0</v>
      </c>
      <c r="AA134">
        <v>0</v>
      </c>
      <c r="AB134">
        <v>323.88</v>
      </c>
      <c r="AC134">
        <v>0</v>
      </c>
      <c r="AD134">
        <v>1</v>
      </c>
      <c r="AE134">
        <v>1</v>
      </c>
      <c r="AF134" t="s">
        <v>3</v>
      </c>
      <c r="AG134">
        <v>35.130000000000003</v>
      </c>
      <c r="AH134">
        <v>2</v>
      </c>
      <c r="AI134">
        <v>36150417</v>
      </c>
      <c r="AJ134">
        <v>135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</row>
    <row r="135" spans="1:44">
      <c r="A135">
        <f>ROW(Source!A208)</f>
        <v>208</v>
      </c>
      <c r="B135">
        <v>36150418</v>
      </c>
      <c r="C135">
        <v>35847482</v>
      </c>
      <c r="D135">
        <v>121548</v>
      </c>
      <c r="E135">
        <v>1</v>
      </c>
      <c r="F135">
        <v>1</v>
      </c>
      <c r="G135">
        <v>1</v>
      </c>
      <c r="H135">
        <v>1</v>
      </c>
      <c r="I135" t="s">
        <v>212</v>
      </c>
      <c r="J135" t="s">
        <v>3</v>
      </c>
      <c r="K135" t="s">
        <v>374</v>
      </c>
      <c r="L135">
        <v>608254</v>
      </c>
      <c r="N135">
        <v>1013</v>
      </c>
      <c r="O135" t="s">
        <v>375</v>
      </c>
      <c r="P135" t="s">
        <v>375</v>
      </c>
      <c r="Q135">
        <v>1</v>
      </c>
      <c r="X135">
        <v>0.03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1</v>
      </c>
      <c r="AE135">
        <v>2</v>
      </c>
      <c r="AF135" t="s">
        <v>3</v>
      </c>
      <c r="AG135">
        <v>0.03</v>
      </c>
      <c r="AH135">
        <v>2</v>
      </c>
      <c r="AI135">
        <v>36150418</v>
      </c>
      <c r="AJ135">
        <v>136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</row>
    <row r="136" spans="1:44">
      <c r="A136">
        <f>ROW(Source!A208)</f>
        <v>208</v>
      </c>
      <c r="B136">
        <v>36150419</v>
      </c>
      <c r="C136">
        <v>35847482</v>
      </c>
      <c r="D136">
        <v>29172362</v>
      </c>
      <c r="E136">
        <v>1</v>
      </c>
      <c r="F136">
        <v>1</v>
      </c>
      <c r="G136">
        <v>1</v>
      </c>
      <c r="H136">
        <v>2</v>
      </c>
      <c r="I136" t="s">
        <v>578</v>
      </c>
      <c r="J136" t="s">
        <v>579</v>
      </c>
      <c r="K136" t="s">
        <v>580</v>
      </c>
      <c r="L136">
        <v>1368</v>
      </c>
      <c r="N136">
        <v>1011</v>
      </c>
      <c r="O136" t="s">
        <v>379</v>
      </c>
      <c r="P136" t="s">
        <v>379</v>
      </c>
      <c r="Q136">
        <v>1</v>
      </c>
      <c r="X136">
        <v>0.03</v>
      </c>
      <c r="Y136">
        <v>0</v>
      </c>
      <c r="Z136">
        <v>134.65</v>
      </c>
      <c r="AA136">
        <v>13.5</v>
      </c>
      <c r="AB136">
        <v>0</v>
      </c>
      <c r="AC136">
        <v>0</v>
      </c>
      <c r="AD136">
        <v>1</v>
      </c>
      <c r="AE136">
        <v>0</v>
      </c>
      <c r="AF136" t="s">
        <v>3</v>
      </c>
      <c r="AG136">
        <v>0.03</v>
      </c>
      <c r="AH136">
        <v>2</v>
      </c>
      <c r="AI136">
        <v>36150419</v>
      </c>
      <c r="AJ136">
        <v>137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</row>
    <row r="137" spans="1:44">
      <c r="A137">
        <f>ROW(Source!A208)</f>
        <v>208</v>
      </c>
      <c r="B137">
        <v>36150420</v>
      </c>
      <c r="C137">
        <v>35847482</v>
      </c>
      <c r="D137">
        <v>29174500</v>
      </c>
      <c r="E137">
        <v>1</v>
      </c>
      <c r="F137">
        <v>1</v>
      </c>
      <c r="G137">
        <v>1</v>
      </c>
      <c r="H137">
        <v>2</v>
      </c>
      <c r="I137" t="s">
        <v>528</v>
      </c>
      <c r="J137" t="s">
        <v>529</v>
      </c>
      <c r="K137" t="s">
        <v>530</v>
      </c>
      <c r="L137">
        <v>1368</v>
      </c>
      <c r="N137">
        <v>1011</v>
      </c>
      <c r="O137" t="s">
        <v>379</v>
      </c>
      <c r="P137" t="s">
        <v>379</v>
      </c>
      <c r="Q137">
        <v>1</v>
      </c>
      <c r="X137">
        <v>4.0999999999999996</v>
      </c>
      <c r="Y137">
        <v>0</v>
      </c>
      <c r="Z137">
        <v>1.95</v>
      </c>
      <c r="AA137">
        <v>0</v>
      </c>
      <c r="AB137">
        <v>0</v>
      </c>
      <c r="AC137">
        <v>0</v>
      </c>
      <c r="AD137">
        <v>1</v>
      </c>
      <c r="AE137">
        <v>0</v>
      </c>
      <c r="AF137" t="s">
        <v>3</v>
      </c>
      <c r="AG137">
        <v>4.0999999999999996</v>
      </c>
      <c r="AH137">
        <v>2</v>
      </c>
      <c r="AI137">
        <v>36150420</v>
      </c>
      <c r="AJ137">
        <v>138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</row>
    <row r="138" spans="1:44">
      <c r="A138">
        <f>ROW(Source!A208)</f>
        <v>208</v>
      </c>
      <c r="B138">
        <v>36150421</v>
      </c>
      <c r="C138">
        <v>35847482</v>
      </c>
      <c r="D138">
        <v>29174913</v>
      </c>
      <c r="E138">
        <v>1</v>
      </c>
      <c r="F138">
        <v>1</v>
      </c>
      <c r="G138">
        <v>1</v>
      </c>
      <c r="H138">
        <v>2</v>
      </c>
      <c r="I138" t="s">
        <v>394</v>
      </c>
      <c r="J138" t="s">
        <v>395</v>
      </c>
      <c r="K138" t="s">
        <v>396</v>
      </c>
      <c r="L138">
        <v>1368</v>
      </c>
      <c r="N138">
        <v>1011</v>
      </c>
      <c r="O138" t="s">
        <v>379</v>
      </c>
      <c r="P138" t="s">
        <v>379</v>
      </c>
      <c r="Q138">
        <v>1</v>
      </c>
      <c r="X138">
        <v>0.02</v>
      </c>
      <c r="Y138">
        <v>0</v>
      </c>
      <c r="Z138">
        <v>87.17</v>
      </c>
      <c r="AA138">
        <v>11.6</v>
      </c>
      <c r="AB138">
        <v>0</v>
      </c>
      <c r="AC138">
        <v>0</v>
      </c>
      <c r="AD138">
        <v>1</v>
      </c>
      <c r="AE138">
        <v>0</v>
      </c>
      <c r="AF138" t="s">
        <v>3</v>
      </c>
      <c r="AG138">
        <v>0.02</v>
      </c>
      <c r="AH138">
        <v>2</v>
      </c>
      <c r="AI138">
        <v>36150421</v>
      </c>
      <c r="AJ138">
        <v>139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</row>
    <row r="139" spans="1:44">
      <c r="A139">
        <f>ROW(Source!A208)</f>
        <v>208</v>
      </c>
      <c r="B139">
        <v>36150422</v>
      </c>
      <c r="C139">
        <v>35847482</v>
      </c>
      <c r="D139">
        <v>29114684</v>
      </c>
      <c r="E139">
        <v>1</v>
      </c>
      <c r="F139">
        <v>1</v>
      </c>
      <c r="G139">
        <v>1</v>
      </c>
      <c r="H139">
        <v>3</v>
      </c>
      <c r="I139" t="s">
        <v>581</v>
      </c>
      <c r="J139" t="s">
        <v>582</v>
      </c>
      <c r="K139" t="s">
        <v>583</v>
      </c>
      <c r="L139">
        <v>1348</v>
      </c>
      <c r="N139">
        <v>1009</v>
      </c>
      <c r="O139" t="s">
        <v>27</v>
      </c>
      <c r="P139" t="s">
        <v>27</v>
      </c>
      <c r="Q139">
        <v>1000</v>
      </c>
      <c r="X139">
        <v>1.6000000000000001E-4</v>
      </c>
      <c r="Y139">
        <v>29800</v>
      </c>
      <c r="Z139">
        <v>0</v>
      </c>
      <c r="AA139">
        <v>0</v>
      </c>
      <c r="AB139">
        <v>0</v>
      </c>
      <c r="AC139">
        <v>0</v>
      </c>
      <c r="AD139">
        <v>1</v>
      </c>
      <c r="AE139">
        <v>0</v>
      </c>
      <c r="AF139" t="s">
        <v>3</v>
      </c>
      <c r="AG139">
        <v>1.6000000000000001E-4</v>
      </c>
      <c r="AH139">
        <v>2</v>
      </c>
      <c r="AI139">
        <v>36150422</v>
      </c>
      <c r="AJ139">
        <v>140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</row>
    <row r="140" spans="1:44">
      <c r="A140">
        <f>ROW(Source!A208)</f>
        <v>208</v>
      </c>
      <c r="B140">
        <v>36150423</v>
      </c>
      <c r="C140">
        <v>35847482</v>
      </c>
      <c r="D140">
        <v>29114688</v>
      </c>
      <c r="E140">
        <v>1</v>
      </c>
      <c r="F140">
        <v>1</v>
      </c>
      <c r="G140">
        <v>1</v>
      </c>
      <c r="H140">
        <v>3</v>
      </c>
      <c r="I140" t="s">
        <v>584</v>
      </c>
      <c r="J140" t="s">
        <v>585</v>
      </c>
      <c r="K140" t="s">
        <v>586</v>
      </c>
      <c r="L140">
        <v>1348</v>
      </c>
      <c r="N140">
        <v>1009</v>
      </c>
      <c r="O140" t="s">
        <v>27</v>
      </c>
      <c r="P140" t="s">
        <v>27</v>
      </c>
      <c r="Q140">
        <v>1000</v>
      </c>
      <c r="X140">
        <v>2.9999999999999997E-4</v>
      </c>
      <c r="Y140">
        <v>12430</v>
      </c>
      <c r="Z140">
        <v>0</v>
      </c>
      <c r="AA140">
        <v>0</v>
      </c>
      <c r="AB140">
        <v>0</v>
      </c>
      <c r="AC140">
        <v>0</v>
      </c>
      <c r="AD140">
        <v>1</v>
      </c>
      <c r="AE140">
        <v>0</v>
      </c>
      <c r="AF140" t="s">
        <v>3</v>
      </c>
      <c r="AG140">
        <v>2.9999999999999997E-4</v>
      </c>
      <c r="AH140">
        <v>2</v>
      </c>
      <c r="AI140">
        <v>36150423</v>
      </c>
      <c r="AJ140">
        <v>141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</row>
    <row r="141" spans="1:44">
      <c r="A141">
        <f>ROW(Source!A208)</f>
        <v>208</v>
      </c>
      <c r="B141">
        <v>36150424</v>
      </c>
      <c r="C141">
        <v>35847482</v>
      </c>
      <c r="D141">
        <v>29114470</v>
      </c>
      <c r="E141">
        <v>1</v>
      </c>
      <c r="F141">
        <v>1</v>
      </c>
      <c r="G141">
        <v>1</v>
      </c>
      <c r="H141">
        <v>3</v>
      </c>
      <c r="I141" t="s">
        <v>587</v>
      </c>
      <c r="J141" t="s">
        <v>588</v>
      </c>
      <c r="K141" t="s">
        <v>589</v>
      </c>
      <c r="L141">
        <v>1355</v>
      </c>
      <c r="N141">
        <v>1010</v>
      </c>
      <c r="O141" t="s">
        <v>53</v>
      </c>
      <c r="P141" t="s">
        <v>53</v>
      </c>
      <c r="Q141">
        <v>100</v>
      </c>
      <c r="X141">
        <v>1.02</v>
      </c>
      <c r="Y141">
        <v>86.24</v>
      </c>
      <c r="Z141">
        <v>0</v>
      </c>
      <c r="AA141">
        <v>0</v>
      </c>
      <c r="AB141">
        <v>0</v>
      </c>
      <c r="AC141">
        <v>0</v>
      </c>
      <c r="AD141">
        <v>1</v>
      </c>
      <c r="AE141">
        <v>0</v>
      </c>
      <c r="AF141" t="s">
        <v>3</v>
      </c>
      <c r="AG141">
        <v>1.02</v>
      </c>
      <c r="AH141">
        <v>2</v>
      </c>
      <c r="AI141">
        <v>36150424</v>
      </c>
      <c r="AJ141">
        <v>142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</row>
    <row r="142" spans="1:44">
      <c r="A142">
        <f>ROW(Source!A208)</f>
        <v>208</v>
      </c>
      <c r="B142">
        <v>36150425</v>
      </c>
      <c r="C142">
        <v>35847482</v>
      </c>
      <c r="D142">
        <v>29171808</v>
      </c>
      <c r="E142">
        <v>1</v>
      </c>
      <c r="F142">
        <v>1</v>
      </c>
      <c r="G142">
        <v>1</v>
      </c>
      <c r="H142">
        <v>3</v>
      </c>
      <c r="I142" t="s">
        <v>590</v>
      </c>
      <c r="J142" t="s">
        <v>591</v>
      </c>
      <c r="K142" t="s">
        <v>592</v>
      </c>
      <c r="L142">
        <v>1374</v>
      </c>
      <c r="N142">
        <v>1013</v>
      </c>
      <c r="O142" t="s">
        <v>593</v>
      </c>
      <c r="P142" t="s">
        <v>593</v>
      </c>
      <c r="Q142">
        <v>1</v>
      </c>
      <c r="X142">
        <v>6.97</v>
      </c>
      <c r="Y142">
        <v>1</v>
      </c>
      <c r="Z142">
        <v>0</v>
      </c>
      <c r="AA142">
        <v>0</v>
      </c>
      <c r="AB142">
        <v>0</v>
      </c>
      <c r="AC142">
        <v>0</v>
      </c>
      <c r="AD142">
        <v>1</v>
      </c>
      <c r="AE142">
        <v>0</v>
      </c>
      <c r="AF142" t="s">
        <v>3</v>
      </c>
      <c r="AG142">
        <v>6.97</v>
      </c>
      <c r="AH142">
        <v>2</v>
      </c>
      <c r="AI142">
        <v>36150425</v>
      </c>
      <c r="AJ142">
        <v>143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</row>
    <row r="143" spans="1:44">
      <c r="A143">
        <f>ROW(Source!A209)</f>
        <v>209</v>
      </c>
      <c r="B143">
        <v>36150426</v>
      </c>
      <c r="C143">
        <v>35847492</v>
      </c>
      <c r="D143">
        <v>29364679</v>
      </c>
      <c r="E143">
        <v>1</v>
      </c>
      <c r="F143">
        <v>1</v>
      </c>
      <c r="G143">
        <v>1</v>
      </c>
      <c r="H143">
        <v>1</v>
      </c>
      <c r="I143" t="s">
        <v>576</v>
      </c>
      <c r="J143" t="s">
        <v>3</v>
      </c>
      <c r="K143" t="s">
        <v>577</v>
      </c>
      <c r="L143">
        <v>1369</v>
      </c>
      <c r="N143">
        <v>1013</v>
      </c>
      <c r="O143" t="s">
        <v>369</v>
      </c>
      <c r="P143" t="s">
        <v>369</v>
      </c>
      <c r="Q143">
        <v>1</v>
      </c>
      <c r="X143">
        <v>34.56</v>
      </c>
      <c r="Y143">
        <v>0</v>
      </c>
      <c r="Z143">
        <v>0</v>
      </c>
      <c r="AA143">
        <v>0</v>
      </c>
      <c r="AB143">
        <v>323.88</v>
      </c>
      <c r="AC143">
        <v>0</v>
      </c>
      <c r="AD143">
        <v>1</v>
      </c>
      <c r="AE143">
        <v>1</v>
      </c>
      <c r="AF143" t="s">
        <v>3</v>
      </c>
      <c r="AG143">
        <v>34.56</v>
      </c>
      <c r="AH143">
        <v>2</v>
      </c>
      <c r="AI143">
        <v>36150426</v>
      </c>
      <c r="AJ143">
        <v>144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</row>
    <row r="144" spans="1:44">
      <c r="A144">
        <f>ROW(Source!A209)</f>
        <v>209</v>
      </c>
      <c r="B144">
        <v>36150427</v>
      </c>
      <c r="C144">
        <v>35847492</v>
      </c>
      <c r="D144">
        <v>121548</v>
      </c>
      <c r="E144">
        <v>1</v>
      </c>
      <c r="F144">
        <v>1</v>
      </c>
      <c r="G144">
        <v>1</v>
      </c>
      <c r="H144">
        <v>1</v>
      </c>
      <c r="I144" t="s">
        <v>212</v>
      </c>
      <c r="J144" t="s">
        <v>3</v>
      </c>
      <c r="K144" t="s">
        <v>374</v>
      </c>
      <c r="L144">
        <v>608254</v>
      </c>
      <c r="N144">
        <v>1013</v>
      </c>
      <c r="O144" t="s">
        <v>375</v>
      </c>
      <c r="P144" t="s">
        <v>375</v>
      </c>
      <c r="Q144">
        <v>1</v>
      </c>
      <c r="X144">
        <v>0.03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1</v>
      </c>
      <c r="AE144">
        <v>2</v>
      </c>
      <c r="AF144" t="s">
        <v>3</v>
      </c>
      <c r="AG144">
        <v>0.03</v>
      </c>
      <c r="AH144">
        <v>2</v>
      </c>
      <c r="AI144">
        <v>36150427</v>
      </c>
      <c r="AJ144">
        <v>145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</row>
    <row r="145" spans="1:44">
      <c r="A145">
        <f>ROW(Source!A209)</f>
        <v>209</v>
      </c>
      <c r="B145">
        <v>36150428</v>
      </c>
      <c r="C145">
        <v>35847492</v>
      </c>
      <c r="D145">
        <v>29172362</v>
      </c>
      <c r="E145">
        <v>1</v>
      </c>
      <c r="F145">
        <v>1</v>
      </c>
      <c r="G145">
        <v>1</v>
      </c>
      <c r="H145">
        <v>2</v>
      </c>
      <c r="I145" t="s">
        <v>578</v>
      </c>
      <c r="J145" t="s">
        <v>579</v>
      </c>
      <c r="K145" t="s">
        <v>580</v>
      </c>
      <c r="L145">
        <v>1368</v>
      </c>
      <c r="N145">
        <v>1011</v>
      </c>
      <c r="O145" t="s">
        <v>379</v>
      </c>
      <c r="P145" t="s">
        <v>379</v>
      </c>
      <c r="Q145">
        <v>1</v>
      </c>
      <c r="X145">
        <v>0.03</v>
      </c>
      <c r="Y145">
        <v>0</v>
      </c>
      <c r="Z145">
        <v>134.65</v>
      </c>
      <c r="AA145">
        <v>13.5</v>
      </c>
      <c r="AB145">
        <v>0</v>
      </c>
      <c r="AC145">
        <v>0</v>
      </c>
      <c r="AD145">
        <v>1</v>
      </c>
      <c r="AE145">
        <v>0</v>
      </c>
      <c r="AF145" t="s">
        <v>3</v>
      </c>
      <c r="AG145">
        <v>0.03</v>
      </c>
      <c r="AH145">
        <v>2</v>
      </c>
      <c r="AI145">
        <v>36150428</v>
      </c>
      <c r="AJ145">
        <v>146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</row>
    <row r="146" spans="1:44">
      <c r="A146">
        <f>ROW(Source!A209)</f>
        <v>209</v>
      </c>
      <c r="B146">
        <v>36150429</v>
      </c>
      <c r="C146">
        <v>35847492</v>
      </c>
      <c r="D146">
        <v>29174500</v>
      </c>
      <c r="E146">
        <v>1</v>
      </c>
      <c r="F146">
        <v>1</v>
      </c>
      <c r="G146">
        <v>1</v>
      </c>
      <c r="H146">
        <v>2</v>
      </c>
      <c r="I146" t="s">
        <v>528</v>
      </c>
      <c r="J146" t="s">
        <v>529</v>
      </c>
      <c r="K146" t="s">
        <v>530</v>
      </c>
      <c r="L146">
        <v>1368</v>
      </c>
      <c r="N146">
        <v>1011</v>
      </c>
      <c r="O146" t="s">
        <v>379</v>
      </c>
      <c r="P146" t="s">
        <v>379</v>
      </c>
      <c r="Q146">
        <v>1</v>
      </c>
      <c r="X146">
        <v>4.0999999999999996</v>
      </c>
      <c r="Y146">
        <v>0</v>
      </c>
      <c r="Z146">
        <v>1.95</v>
      </c>
      <c r="AA146">
        <v>0</v>
      </c>
      <c r="AB146">
        <v>0</v>
      </c>
      <c r="AC146">
        <v>0</v>
      </c>
      <c r="AD146">
        <v>1</v>
      </c>
      <c r="AE146">
        <v>0</v>
      </c>
      <c r="AF146" t="s">
        <v>3</v>
      </c>
      <c r="AG146">
        <v>4.0999999999999996</v>
      </c>
      <c r="AH146">
        <v>2</v>
      </c>
      <c r="AI146">
        <v>36150429</v>
      </c>
      <c r="AJ146">
        <v>147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</row>
    <row r="147" spans="1:44">
      <c r="A147">
        <f>ROW(Source!A209)</f>
        <v>209</v>
      </c>
      <c r="B147">
        <v>36150430</v>
      </c>
      <c r="C147">
        <v>35847492</v>
      </c>
      <c r="D147">
        <v>29174913</v>
      </c>
      <c r="E147">
        <v>1</v>
      </c>
      <c r="F147">
        <v>1</v>
      </c>
      <c r="G147">
        <v>1</v>
      </c>
      <c r="H147">
        <v>2</v>
      </c>
      <c r="I147" t="s">
        <v>394</v>
      </c>
      <c r="J147" t="s">
        <v>395</v>
      </c>
      <c r="K147" t="s">
        <v>396</v>
      </c>
      <c r="L147">
        <v>1368</v>
      </c>
      <c r="N147">
        <v>1011</v>
      </c>
      <c r="O147" t="s">
        <v>379</v>
      </c>
      <c r="P147" t="s">
        <v>379</v>
      </c>
      <c r="Q147">
        <v>1</v>
      </c>
      <c r="X147">
        <v>0.02</v>
      </c>
      <c r="Y147">
        <v>0</v>
      </c>
      <c r="Z147">
        <v>87.17</v>
      </c>
      <c r="AA147">
        <v>11.6</v>
      </c>
      <c r="AB147">
        <v>0</v>
      </c>
      <c r="AC147">
        <v>0</v>
      </c>
      <c r="AD147">
        <v>1</v>
      </c>
      <c r="AE147">
        <v>0</v>
      </c>
      <c r="AF147" t="s">
        <v>3</v>
      </c>
      <c r="AG147">
        <v>0.02</v>
      </c>
      <c r="AH147">
        <v>2</v>
      </c>
      <c r="AI147">
        <v>36150430</v>
      </c>
      <c r="AJ147">
        <v>148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</row>
    <row r="148" spans="1:44">
      <c r="A148">
        <f>ROW(Source!A209)</f>
        <v>209</v>
      </c>
      <c r="B148">
        <v>36150431</v>
      </c>
      <c r="C148">
        <v>35847492</v>
      </c>
      <c r="D148">
        <v>29114684</v>
      </c>
      <c r="E148">
        <v>1</v>
      </c>
      <c r="F148">
        <v>1</v>
      </c>
      <c r="G148">
        <v>1</v>
      </c>
      <c r="H148">
        <v>3</v>
      </c>
      <c r="I148" t="s">
        <v>581</v>
      </c>
      <c r="J148" t="s">
        <v>582</v>
      </c>
      <c r="K148" t="s">
        <v>583</v>
      </c>
      <c r="L148">
        <v>1348</v>
      </c>
      <c r="N148">
        <v>1009</v>
      </c>
      <c r="O148" t="s">
        <v>27</v>
      </c>
      <c r="P148" t="s">
        <v>27</v>
      </c>
      <c r="Q148">
        <v>1000</v>
      </c>
      <c r="X148">
        <v>1.6000000000000001E-4</v>
      </c>
      <c r="Y148">
        <v>29800</v>
      </c>
      <c r="Z148">
        <v>0</v>
      </c>
      <c r="AA148">
        <v>0</v>
      </c>
      <c r="AB148">
        <v>0</v>
      </c>
      <c r="AC148">
        <v>0</v>
      </c>
      <c r="AD148">
        <v>1</v>
      </c>
      <c r="AE148">
        <v>0</v>
      </c>
      <c r="AF148" t="s">
        <v>3</v>
      </c>
      <c r="AG148">
        <v>1.6000000000000001E-4</v>
      </c>
      <c r="AH148">
        <v>2</v>
      </c>
      <c r="AI148">
        <v>36150431</v>
      </c>
      <c r="AJ148">
        <v>149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</row>
    <row r="149" spans="1:44">
      <c r="A149">
        <f>ROW(Source!A209)</f>
        <v>209</v>
      </c>
      <c r="B149">
        <v>36150432</v>
      </c>
      <c r="C149">
        <v>35847492</v>
      </c>
      <c r="D149">
        <v>29114688</v>
      </c>
      <c r="E149">
        <v>1</v>
      </c>
      <c r="F149">
        <v>1</v>
      </c>
      <c r="G149">
        <v>1</v>
      </c>
      <c r="H149">
        <v>3</v>
      </c>
      <c r="I149" t="s">
        <v>584</v>
      </c>
      <c r="J149" t="s">
        <v>585</v>
      </c>
      <c r="K149" t="s">
        <v>586</v>
      </c>
      <c r="L149">
        <v>1348</v>
      </c>
      <c r="N149">
        <v>1009</v>
      </c>
      <c r="O149" t="s">
        <v>27</v>
      </c>
      <c r="P149" t="s">
        <v>27</v>
      </c>
      <c r="Q149">
        <v>1000</v>
      </c>
      <c r="X149">
        <v>2.9999999999999997E-4</v>
      </c>
      <c r="Y149">
        <v>12430</v>
      </c>
      <c r="Z149">
        <v>0</v>
      </c>
      <c r="AA149">
        <v>0</v>
      </c>
      <c r="AB149">
        <v>0</v>
      </c>
      <c r="AC149">
        <v>0</v>
      </c>
      <c r="AD149">
        <v>1</v>
      </c>
      <c r="AE149">
        <v>0</v>
      </c>
      <c r="AF149" t="s">
        <v>3</v>
      </c>
      <c r="AG149">
        <v>2.9999999999999997E-4</v>
      </c>
      <c r="AH149">
        <v>2</v>
      </c>
      <c r="AI149">
        <v>36150432</v>
      </c>
      <c r="AJ149">
        <v>150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</row>
    <row r="150" spans="1:44">
      <c r="A150">
        <f>ROW(Source!A209)</f>
        <v>209</v>
      </c>
      <c r="B150">
        <v>36150433</v>
      </c>
      <c r="C150">
        <v>35847492</v>
      </c>
      <c r="D150">
        <v>29110838</v>
      </c>
      <c r="E150">
        <v>1</v>
      </c>
      <c r="F150">
        <v>1</v>
      </c>
      <c r="G150">
        <v>1</v>
      </c>
      <c r="H150">
        <v>3</v>
      </c>
      <c r="I150" t="s">
        <v>594</v>
      </c>
      <c r="J150" t="s">
        <v>595</v>
      </c>
      <c r="K150" t="s">
        <v>596</v>
      </c>
      <c r="L150">
        <v>1346</v>
      </c>
      <c r="N150">
        <v>1009</v>
      </c>
      <c r="O150" t="s">
        <v>153</v>
      </c>
      <c r="P150" t="s">
        <v>153</v>
      </c>
      <c r="Q150">
        <v>1</v>
      </c>
      <c r="X150">
        <v>0.11</v>
      </c>
      <c r="Y150">
        <v>30.5</v>
      </c>
      <c r="Z150">
        <v>0</v>
      </c>
      <c r="AA150">
        <v>0</v>
      </c>
      <c r="AB150">
        <v>0</v>
      </c>
      <c r="AC150">
        <v>0</v>
      </c>
      <c r="AD150">
        <v>1</v>
      </c>
      <c r="AE150">
        <v>0</v>
      </c>
      <c r="AF150" t="s">
        <v>3</v>
      </c>
      <c r="AG150">
        <v>0.11</v>
      </c>
      <c r="AH150">
        <v>2</v>
      </c>
      <c r="AI150">
        <v>36150433</v>
      </c>
      <c r="AJ150">
        <v>151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</row>
    <row r="151" spans="1:44">
      <c r="A151">
        <f>ROW(Source!A209)</f>
        <v>209</v>
      </c>
      <c r="B151">
        <v>36150434</v>
      </c>
      <c r="C151">
        <v>35847492</v>
      </c>
      <c r="D151">
        <v>29114470</v>
      </c>
      <c r="E151">
        <v>1</v>
      </c>
      <c r="F151">
        <v>1</v>
      </c>
      <c r="G151">
        <v>1</v>
      </c>
      <c r="H151">
        <v>3</v>
      </c>
      <c r="I151" t="s">
        <v>587</v>
      </c>
      <c r="J151" t="s">
        <v>588</v>
      </c>
      <c r="K151" t="s">
        <v>589</v>
      </c>
      <c r="L151">
        <v>1355</v>
      </c>
      <c r="N151">
        <v>1010</v>
      </c>
      <c r="O151" t="s">
        <v>53</v>
      </c>
      <c r="P151" t="s">
        <v>53</v>
      </c>
      <c r="Q151">
        <v>100</v>
      </c>
      <c r="X151">
        <v>1.02</v>
      </c>
      <c r="Y151">
        <v>86.24</v>
      </c>
      <c r="Z151">
        <v>0</v>
      </c>
      <c r="AA151">
        <v>0</v>
      </c>
      <c r="AB151">
        <v>0</v>
      </c>
      <c r="AC151">
        <v>0</v>
      </c>
      <c r="AD151">
        <v>1</v>
      </c>
      <c r="AE151">
        <v>0</v>
      </c>
      <c r="AF151" t="s">
        <v>3</v>
      </c>
      <c r="AG151">
        <v>1.02</v>
      </c>
      <c r="AH151">
        <v>2</v>
      </c>
      <c r="AI151">
        <v>36150434</v>
      </c>
      <c r="AJ151">
        <v>152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</row>
    <row r="152" spans="1:44">
      <c r="A152">
        <f>ROW(Source!A209)</f>
        <v>209</v>
      </c>
      <c r="B152">
        <v>36150435</v>
      </c>
      <c r="C152">
        <v>35847492</v>
      </c>
      <c r="D152">
        <v>29171808</v>
      </c>
      <c r="E152">
        <v>1</v>
      </c>
      <c r="F152">
        <v>1</v>
      </c>
      <c r="G152">
        <v>1</v>
      </c>
      <c r="H152">
        <v>3</v>
      </c>
      <c r="I152" t="s">
        <v>590</v>
      </c>
      <c r="J152" t="s">
        <v>591</v>
      </c>
      <c r="K152" t="s">
        <v>592</v>
      </c>
      <c r="L152">
        <v>1374</v>
      </c>
      <c r="N152">
        <v>1013</v>
      </c>
      <c r="O152" t="s">
        <v>593</v>
      </c>
      <c r="P152" t="s">
        <v>593</v>
      </c>
      <c r="Q152">
        <v>1</v>
      </c>
      <c r="X152">
        <v>6.86</v>
      </c>
      <c r="Y152">
        <v>1</v>
      </c>
      <c r="Z152">
        <v>0</v>
      </c>
      <c r="AA152">
        <v>0</v>
      </c>
      <c r="AB152">
        <v>0</v>
      </c>
      <c r="AC152">
        <v>0</v>
      </c>
      <c r="AD152">
        <v>1</v>
      </c>
      <c r="AE152">
        <v>0</v>
      </c>
      <c r="AF152" t="s">
        <v>3</v>
      </c>
      <c r="AG152">
        <v>6.86</v>
      </c>
      <c r="AH152">
        <v>2</v>
      </c>
      <c r="AI152">
        <v>36150435</v>
      </c>
      <c r="AJ152">
        <v>153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</row>
    <row r="153" spans="1:44">
      <c r="A153">
        <f>ROW(Source!A211)</f>
        <v>211</v>
      </c>
      <c r="B153">
        <v>36150409</v>
      </c>
      <c r="C153">
        <v>35847517</v>
      </c>
      <c r="D153">
        <v>18410280</v>
      </c>
      <c r="E153">
        <v>1</v>
      </c>
      <c r="F153">
        <v>1</v>
      </c>
      <c r="G153">
        <v>1</v>
      </c>
      <c r="H153">
        <v>1</v>
      </c>
      <c r="I153" t="s">
        <v>597</v>
      </c>
      <c r="J153" t="s">
        <v>3</v>
      </c>
      <c r="K153" t="s">
        <v>598</v>
      </c>
      <c r="L153">
        <v>1369</v>
      </c>
      <c r="N153">
        <v>1013</v>
      </c>
      <c r="O153" t="s">
        <v>369</v>
      </c>
      <c r="P153" t="s">
        <v>369</v>
      </c>
      <c r="Q153">
        <v>1</v>
      </c>
      <c r="X153">
        <v>16.29</v>
      </c>
      <c r="Y153">
        <v>0</v>
      </c>
      <c r="Z153">
        <v>0</v>
      </c>
      <c r="AA153">
        <v>0</v>
      </c>
      <c r="AB153">
        <v>310.5</v>
      </c>
      <c r="AC153">
        <v>0</v>
      </c>
      <c r="AD153">
        <v>1</v>
      </c>
      <c r="AE153">
        <v>1</v>
      </c>
      <c r="AF153" t="s">
        <v>3</v>
      </c>
      <c r="AG153">
        <v>16.29</v>
      </c>
      <c r="AH153">
        <v>2</v>
      </c>
      <c r="AI153">
        <v>36150409</v>
      </c>
      <c r="AJ153">
        <v>154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</row>
    <row r="154" spans="1:44">
      <c r="A154">
        <f>ROW(Source!A211)</f>
        <v>211</v>
      </c>
      <c r="B154">
        <v>36150410</v>
      </c>
      <c r="C154">
        <v>35847517</v>
      </c>
      <c r="D154">
        <v>121548</v>
      </c>
      <c r="E154">
        <v>1</v>
      </c>
      <c r="F154">
        <v>1</v>
      </c>
      <c r="G154">
        <v>1</v>
      </c>
      <c r="H154">
        <v>1</v>
      </c>
      <c r="I154" t="s">
        <v>212</v>
      </c>
      <c r="J154" t="s">
        <v>3</v>
      </c>
      <c r="K154" t="s">
        <v>374</v>
      </c>
      <c r="L154">
        <v>608254</v>
      </c>
      <c r="N154">
        <v>1013</v>
      </c>
      <c r="O154" t="s">
        <v>375</v>
      </c>
      <c r="P154" t="s">
        <v>375</v>
      </c>
      <c r="Q154">
        <v>1</v>
      </c>
      <c r="X154">
        <v>0.01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1</v>
      </c>
      <c r="AE154">
        <v>2</v>
      </c>
      <c r="AF154" t="s">
        <v>3</v>
      </c>
      <c r="AG154">
        <v>0.01</v>
      </c>
      <c r="AH154">
        <v>2</v>
      </c>
      <c r="AI154">
        <v>36150410</v>
      </c>
      <c r="AJ154">
        <v>155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</row>
    <row r="155" spans="1:44">
      <c r="A155">
        <f>ROW(Source!A211)</f>
        <v>211</v>
      </c>
      <c r="B155">
        <v>36150411</v>
      </c>
      <c r="C155">
        <v>35847517</v>
      </c>
      <c r="D155">
        <v>29172556</v>
      </c>
      <c r="E155">
        <v>1</v>
      </c>
      <c r="F155">
        <v>1</v>
      </c>
      <c r="G155">
        <v>1</v>
      </c>
      <c r="H155">
        <v>2</v>
      </c>
      <c r="I155" t="s">
        <v>376</v>
      </c>
      <c r="J155" t="s">
        <v>377</v>
      </c>
      <c r="K155" t="s">
        <v>378</v>
      </c>
      <c r="L155">
        <v>1368</v>
      </c>
      <c r="N155">
        <v>1011</v>
      </c>
      <c r="O155" t="s">
        <v>379</v>
      </c>
      <c r="P155" t="s">
        <v>379</v>
      </c>
      <c r="Q155">
        <v>1</v>
      </c>
      <c r="X155">
        <v>0.01</v>
      </c>
      <c r="Y155">
        <v>0</v>
      </c>
      <c r="Z155">
        <v>31.26</v>
      </c>
      <c r="AA155">
        <v>13.5</v>
      </c>
      <c r="AB155">
        <v>0</v>
      </c>
      <c r="AC155">
        <v>0</v>
      </c>
      <c r="AD155">
        <v>1</v>
      </c>
      <c r="AE155">
        <v>0</v>
      </c>
      <c r="AF155" t="s">
        <v>3</v>
      </c>
      <c r="AG155">
        <v>0.01</v>
      </c>
      <c r="AH155">
        <v>2</v>
      </c>
      <c r="AI155">
        <v>36150411</v>
      </c>
      <c r="AJ155">
        <v>156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</row>
    <row r="156" spans="1:44">
      <c r="A156">
        <f>ROW(Source!A211)</f>
        <v>211</v>
      </c>
      <c r="B156">
        <v>36150412</v>
      </c>
      <c r="C156">
        <v>35847517</v>
      </c>
      <c r="D156">
        <v>29173472</v>
      </c>
      <c r="E156">
        <v>1</v>
      </c>
      <c r="F156">
        <v>1</v>
      </c>
      <c r="G156">
        <v>1</v>
      </c>
      <c r="H156">
        <v>2</v>
      </c>
      <c r="I156" t="s">
        <v>449</v>
      </c>
      <c r="J156" t="s">
        <v>450</v>
      </c>
      <c r="K156" t="s">
        <v>451</v>
      </c>
      <c r="L156">
        <v>1368</v>
      </c>
      <c r="N156">
        <v>1011</v>
      </c>
      <c r="O156" t="s">
        <v>379</v>
      </c>
      <c r="P156" t="s">
        <v>379</v>
      </c>
      <c r="Q156">
        <v>1</v>
      </c>
      <c r="X156">
        <v>6.08</v>
      </c>
      <c r="Y156">
        <v>0</v>
      </c>
      <c r="Z156">
        <v>3</v>
      </c>
      <c r="AA156">
        <v>0</v>
      </c>
      <c r="AB156">
        <v>0</v>
      </c>
      <c r="AC156">
        <v>0</v>
      </c>
      <c r="AD156">
        <v>1</v>
      </c>
      <c r="AE156">
        <v>0</v>
      </c>
      <c r="AF156" t="s">
        <v>3</v>
      </c>
      <c r="AG156">
        <v>6.08</v>
      </c>
      <c r="AH156">
        <v>2</v>
      </c>
      <c r="AI156">
        <v>36150412</v>
      </c>
      <c r="AJ156">
        <v>157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</row>
    <row r="157" spans="1:44">
      <c r="A157">
        <f>ROW(Source!A211)</f>
        <v>211</v>
      </c>
      <c r="B157">
        <v>36150413</v>
      </c>
      <c r="C157">
        <v>35847517</v>
      </c>
      <c r="D157">
        <v>29174580</v>
      </c>
      <c r="E157">
        <v>1</v>
      </c>
      <c r="F157">
        <v>1</v>
      </c>
      <c r="G157">
        <v>1</v>
      </c>
      <c r="H157">
        <v>2</v>
      </c>
      <c r="I157" t="s">
        <v>599</v>
      </c>
      <c r="J157" t="s">
        <v>600</v>
      </c>
      <c r="K157" t="s">
        <v>601</v>
      </c>
      <c r="L157">
        <v>1368</v>
      </c>
      <c r="N157">
        <v>1011</v>
      </c>
      <c r="O157" t="s">
        <v>379</v>
      </c>
      <c r="P157" t="s">
        <v>379</v>
      </c>
      <c r="Q157">
        <v>1</v>
      </c>
      <c r="X157">
        <v>6.08</v>
      </c>
      <c r="Y157">
        <v>0</v>
      </c>
      <c r="Z157">
        <v>2.08</v>
      </c>
      <c r="AA157">
        <v>0</v>
      </c>
      <c r="AB157">
        <v>0</v>
      </c>
      <c r="AC157">
        <v>0</v>
      </c>
      <c r="AD157">
        <v>1</v>
      </c>
      <c r="AE157">
        <v>0</v>
      </c>
      <c r="AF157" t="s">
        <v>3</v>
      </c>
      <c r="AG157">
        <v>6.08</v>
      </c>
      <c r="AH157">
        <v>2</v>
      </c>
      <c r="AI157">
        <v>36150413</v>
      </c>
      <c r="AJ157">
        <v>158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</row>
    <row r="158" spans="1:44">
      <c r="A158">
        <f>ROW(Source!A211)</f>
        <v>211</v>
      </c>
      <c r="B158">
        <v>36150414</v>
      </c>
      <c r="C158">
        <v>35847517</v>
      </c>
      <c r="D158">
        <v>29114688</v>
      </c>
      <c r="E158">
        <v>1</v>
      </c>
      <c r="F158">
        <v>1</v>
      </c>
      <c r="G158">
        <v>1</v>
      </c>
      <c r="H158">
        <v>3</v>
      </c>
      <c r="I158" t="s">
        <v>584</v>
      </c>
      <c r="J158" t="s">
        <v>585</v>
      </c>
      <c r="K158" t="s">
        <v>586</v>
      </c>
      <c r="L158">
        <v>1348</v>
      </c>
      <c r="N158">
        <v>1009</v>
      </c>
      <c r="O158" t="s">
        <v>27</v>
      </c>
      <c r="P158" t="s">
        <v>27</v>
      </c>
      <c r="Q158">
        <v>1000</v>
      </c>
      <c r="X158">
        <v>1E-3</v>
      </c>
      <c r="Y158">
        <v>12430</v>
      </c>
      <c r="Z158">
        <v>0</v>
      </c>
      <c r="AA158">
        <v>0</v>
      </c>
      <c r="AB158">
        <v>0</v>
      </c>
      <c r="AC158">
        <v>0</v>
      </c>
      <c r="AD158">
        <v>1</v>
      </c>
      <c r="AE158">
        <v>0</v>
      </c>
      <c r="AF158" t="s">
        <v>3</v>
      </c>
      <c r="AG158">
        <v>1E-3</v>
      </c>
      <c r="AH158">
        <v>2</v>
      </c>
      <c r="AI158">
        <v>36150414</v>
      </c>
      <c r="AJ158">
        <v>159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</row>
    <row r="159" spans="1:44">
      <c r="A159">
        <f>ROW(Source!A211)</f>
        <v>211</v>
      </c>
      <c r="B159">
        <v>36150415</v>
      </c>
      <c r="C159">
        <v>35847517</v>
      </c>
      <c r="D159">
        <v>29114472</v>
      </c>
      <c r="E159">
        <v>1</v>
      </c>
      <c r="F159">
        <v>1</v>
      </c>
      <c r="G159">
        <v>1</v>
      </c>
      <c r="H159">
        <v>3</v>
      </c>
      <c r="I159" t="s">
        <v>602</v>
      </c>
      <c r="J159" t="s">
        <v>603</v>
      </c>
      <c r="K159" t="s">
        <v>604</v>
      </c>
      <c r="L159">
        <v>1358</v>
      </c>
      <c r="N159">
        <v>1010</v>
      </c>
      <c r="O159" t="s">
        <v>537</v>
      </c>
      <c r="P159" t="s">
        <v>537</v>
      </c>
      <c r="Q159">
        <v>10</v>
      </c>
      <c r="X159">
        <v>20</v>
      </c>
      <c r="Y159">
        <v>1.79</v>
      </c>
      <c r="Z159">
        <v>0</v>
      </c>
      <c r="AA159">
        <v>0</v>
      </c>
      <c r="AB159">
        <v>0</v>
      </c>
      <c r="AC159">
        <v>0</v>
      </c>
      <c r="AD159">
        <v>1</v>
      </c>
      <c r="AE159">
        <v>0</v>
      </c>
      <c r="AF159" t="s">
        <v>3</v>
      </c>
      <c r="AG159">
        <v>20</v>
      </c>
      <c r="AH159">
        <v>2</v>
      </c>
      <c r="AI159">
        <v>36150415</v>
      </c>
      <c r="AJ159">
        <v>160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</row>
    <row r="160" spans="1:44">
      <c r="A160">
        <f>ROW(Source!A211)</f>
        <v>211</v>
      </c>
      <c r="B160">
        <v>36150416</v>
      </c>
      <c r="C160">
        <v>35847517</v>
      </c>
      <c r="D160">
        <v>29171808</v>
      </c>
      <c r="E160">
        <v>1</v>
      </c>
      <c r="F160">
        <v>1</v>
      </c>
      <c r="G160">
        <v>1</v>
      </c>
      <c r="H160">
        <v>3</v>
      </c>
      <c r="I160" t="s">
        <v>590</v>
      </c>
      <c r="J160" t="s">
        <v>591</v>
      </c>
      <c r="K160" t="s">
        <v>592</v>
      </c>
      <c r="L160">
        <v>1374</v>
      </c>
      <c r="N160">
        <v>1013</v>
      </c>
      <c r="O160" t="s">
        <v>593</v>
      </c>
      <c r="P160" t="s">
        <v>593</v>
      </c>
      <c r="Q160">
        <v>1</v>
      </c>
      <c r="X160">
        <v>3.1</v>
      </c>
      <c r="Y160">
        <v>1</v>
      </c>
      <c r="Z160">
        <v>0</v>
      </c>
      <c r="AA160">
        <v>0</v>
      </c>
      <c r="AB160">
        <v>0</v>
      </c>
      <c r="AC160">
        <v>0</v>
      </c>
      <c r="AD160">
        <v>1</v>
      </c>
      <c r="AE160">
        <v>0</v>
      </c>
      <c r="AF160" t="s">
        <v>3</v>
      </c>
      <c r="AG160">
        <v>3.1</v>
      </c>
      <c r="AH160">
        <v>2</v>
      </c>
      <c r="AI160">
        <v>36150416</v>
      </c>
      <c r="AJ160">
        <v>161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</row>
    <row r="161" spans="1:44">
      <c r="A161">
        <f>ROW(Source!A212)</f>
        <v>212</v>
      </c>
      <c r="B161">
        <v>35847527</v>
      </c>
      <c r="C161">
        <v>35847526</v>
      </c>
      <c r="D161">
        <v>29361034</v>
      </c>
      <c r="E161">
        <v>1</v>
      </c>
      <c r="F161">
        <v>1</v>
      </c>
      <c r="G161">
        <v>1</v>
      </c>
      <c r="H161">
        <v>1</v>
      </c>
      <c r="I161" t="s">
        <v>605</v>
      </c>
      <c r="J161" t="s">
        <v>3</v>
      </c>
      <c r="K161" t="s">
        <v>606</v>
      </c>
      <c r="L161">
        <v>1369</v>
      </c>
      <c r="N161">
        <v>1013</v>
      </c>
      <c r="O161" t="s">
        <v>369</v>
      </c>
      <c r="P161" t="s">
        <v>369</v>
      </c>
      <c r="Q161">
        <v>1</v>
      </c>
      <c r="X161">
        <v>2.82</v>
      </c>
      <c r="Y161">
        <v>0</v>
      </c>
      <c r="Z161">
        <v>0</v>
      </c>
      <c r="AA161">
        <v>0</v>
      </c>
      <c r="AB161">
        <v>306.91000000000003</v>
      </c>
      <c r="AC161">
        <v>0</v>
      </c>
      <c r="AD161">
        <v>1</v>
      </c>
      <c r="AE161">
        <v>1</v>
      </c>
      <c r="AF161" t="s">
        <v>147</v>
      </c>
      <c r="AG161">
        <v>3.2429999999999994</v>
      </c>
      <c r="AH161">
        <v>2</v>
      </c>
      <c r="AI161">
        <v>35847527</v>
      </c>
      <c r="AJ161">
        <v>162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</row>
    <row r="162" spans="1:44">
      <c r="A162">
        <f>ROW(Source!A212)</f>
        <v>212</v>
      </c>
      <c r="B162">
        <v>35847528</v>
      </c>
      <c r="C162">
        <v>35847526</v>
      </c>
      <c r="D162">
        <v>121548</v>
      </c>
      <c r="E162">
        <v>1</v>
      </c>
      <c r="F162">
        <v>1</v>
      </c>
      <c r="G162">
        <v>1</v>
      </c>
      <c r="H162">
        <v>1</v>
      </c>
      <c r="I162" t="s">
        <v>212</v>
      </c>
      <c r="J162" t="s">
        <v>3</v>
      </c>
      <c r="K162" t="s">
        <v>374</v>
      </c>
      <c r="L162">
        <v>608254</v>
      </c>
      <c r="N162">
        <v>1013</v>
      </c>
      <c r="O162" t="s">
        <v>375</v>
      </c>
      <c r="P162" t="s">
        <v>375</v>
      </c>
      <c r="Q162">
        <v>1</v>
      </c>
      <c r="X162">
        <v>0.01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1</v>
      </c>
      <c r="AE162">
        <v>2</v>
      </c>
      <c r="AF162" t="s">
        <v>3</v>
      </c>
      <c r="AG162">
        <v>0.01</v>
      </c>
      <c r="AH162">
        <v>2</v>
      </c>
      <c r="AI162">
        <v>35847528</v>
      </c>
      <c r="AJ162">
        <v>163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</row>
    <row r="163" spans="1:44">
      <c r="A163">
        <f>ROW(Source!A212)</f>
        <v>212</v>
      </c>
      <c r="B163">
        <v>35847529</v>
      </c>
      <c r="C163">
        <v>35847526</v>
      </c>
      <c r="D163">
        <v>29172362</v>
      </c>
      <c r="E163">
        <v>1</v>
      </c>
      <c r="F163">
        <v>1</v>
      </c>
      <c r="G163">
        <v>1</v>
      </c>
      <c r="H163">
        <v>2</v>
      </c>
      <c r="I163" t="s">
        <v>578</v>
      </c>
      <c r="J163" t="s">
        <v>579</v>
      </c>
      <c r="K163" t="s">
        <v>580</v>
      </c>
      <c r="L163">
        <v>1368</v>
      </c>
      <c r="N163">
        <v>1011</v>
      </c>
      <c r="O163" t="s">
        <v>379</v>
      </c>
      <c r="P163" t="s">
        <v>379</v>
      </c>
      <c r="Q163">
        <v>1</v>
      </c>
      <c r="X163">
        <v>0.01</v>
      </c>
      <c r="Y163">
        <v>0</v>
      </c>
      <c r="Z163">
        <v>134.65</v>
      </c>
      <c r="AA163">
        <v>13.5</v>
      </c>
      <c r="AB163">
        <v>0</v>
      </c>
      <c r="AC163">
        <v>0</v>
      </c>
      <c r="AD163">
        <v>1</v>
      </c>
      <c r="AE163">
        <v>0</v>
      </c>
      <c r="AF163" t="s">
        <v>3</v>
      </c>
      <c r="AG163">
        <v>0.01</v>
      </c>
      <c r="AH163">
        <v>2</v>
      </c>
      <c r="AI163">
        <v>35847529</v>
      </c>
      <c r="AJ163">
        <v>164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</row>
    <row r="164" spans="1:44">
      <c r="A164">
        <f>ROW(Source!A212)</f>
        <v>212</v>
      </c>
      <c r="B164">
        <v>35847530</v>
      </c>
      <c r="C164">
        <v>35847526</v>
      </c>
      <c r="D164">
        <v>29174913</v>
      </c>
      <c r="E164">
        <v>1</v>
      </c>
      <c r="F164">
        <v>1</v>
      </c>
      <c r="G164">
        <v>1</v>
      </c>
      <c r="H164">
        <v>2</v>
      </c>
      <c r="I164" t="s">
        <v>394</v>
      </c>
      <c r="J164" t="s">
        <v>395</v>
      </c>
      <c r="K164" t="s">
        <v>396</v>
      </c>
      <c r="L164">
        <v>1368</v>
      </c>
      <c r="N164">
        <v>1011</v>
      </c>
      <c r="O164" t="s">
        <v>379</v>
      </c>
      <c r="P164" t="s">
        <v>379</v>
      </c>
      <c r="Q164">
        <v>1</v>
      </c>
      <c r="X164">
        <v>0.01</v>
      </c>
      <c r="Y164">
        <v>0</v>
      </c>
      <c r="Z164">
        <v>87.17</v>
      </c>
      <c r="AA164">
        <v>11.6</v>
      </c>
      <c r="AB164">
        <v>0</v>
      </c>
      <c r="AC164">
        <v>0</v>
      </c>
      <c r="AD164">
        <v>1</v>
      </c>
      <c r="AE164">
        <v>0</v>
      </c>
      <c r="AF164" t="s">
        <v>3</v>
      </c>
      <c r="AG164">
        <v>0.01</v>
      </c>
      <c r="AH164">
        <v>2</v>
      </c>
      <c r="AI164">
        <v>35847530</v>
      </c>
      <c r="AJ164">
        <v>165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</row>
    <row r="165" spans="1:44">
      <c r="A165">
        <f>ROW(Source!A212)</f>
        <v>212</v>
      </c>
      <c r="B165">
        <v>35847531</v>
      </c>
      <c r="C165">
        <v>35847526</v>
      </c>
      <c r="D165">
        <v>29110426</v>
      </c>
      <c r="E165">
        <v>1</v>
      </c>
      <c r="F165">
        <v>1</v>
      </c>
      <c r="G165">
        <v>1</v>
      </c>
      <c r="H165">
        <v>3</v>
      </c>
      <c r="I165" t="s">
        <v>607</v>
      </c>
      <c r="J165" t="s">
        <v>608</v>
      </c>
      <c r="K165" t="s">
        <v>609</v>
      </c>
      <c r="L165">
        <v>1346</v>
      </c>
      <c r="N165">
        <v>1009</v>
      </c>
      <c r="O165" t="s">
        <v>153</v>
      </c>
      <c r="P165" t="s">
        <v>153</v>
      </c>
      <c r="Q165">
        <v>1</v>
      </c>
      <c r="X165">
        <v>0.05</v>
      </c>
      <c r="Y165">
        <v>28.67</v>
      </c>
      <c r="Z165">
        <v>0</v>
      </c>
      <c r="AA165">
        <v>0</v>
      </c>
      <c r="AB165">
        <v>0</v>
      </c>
      <c r="AC165">
        <v>0</v>
      </c>
      <c r="AD165">
        <v>1</v>
      </c>
      <c r="AE165">
        <v>0</v>
      </c>
      <c r="AF165" t="s">
        <v>3</v>
      </c>
      <c r="AG165">
        <v>0.05</v>
      </c>
      <c r="AH165">
        <v>2</v>
      </c>
      <c r="AI165">
        <v>35847531</v>
      </c>
      <c r="AJ165">
        <v>166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</row>
    <row r="166" spans="1:44">
      <c r="A166">
        <f>ROW(Source!A212)</f>
        <v>212</v>
      </c>
      <c r="B166">
        <v>35847532</v>
      </c>
      <c r="C166">
        <v>35847526</v>
      </c>
      <c r="D166">
        <v>29110793</v>
      </c>
      <c r="E166">
        <v>1</v>
      </c>
      <c r="F166">
        <v>1</v>
      </c>
      <c r="G166">
        <v>1</v>
      </c>
      <c r="H166">
        <v>3</v>
      </c>
      <c r="I166" t="s">
        <v>610</v>
      </c>
      <c r="J166" t="s">
        <v>611</v>
      </c>
      <c r="K166" t="s">
        <v>612</v>
      </c>
      <c r="L166">
        <v>1308</v>
      </c>
      <c r="N166">
        <v>1003</v>
      </c>
      <c r="O166" t="s">
        <v>238</v>
      </c>
      <c r="P166" t="s">
        <v>238</v>
      </c>
      <c r="Q166">
        <v>100</v>
      </c>
      <c r="X166">
        <v>0.05</v>
      </c>
      <c r="Y166">
        <v>120.36</v>
      </c>
      <c r="Z166">
        <v>0</v>
      </c>
      <c r="AA166">
        <v>0</v>
      </c>
      <c r="AB166">
        <v>0</v>
      </c>
      <c r="AC166">
        <v>0</v>
      </c>
      <c r="AD166">
        <v>1</v>
      </c>
      <c r="AE166">
        <v>0</v>
      </c>
      <c r="AF166" t="s">
        <v>3</v>
      </c>
      <c r="AG166">
        <v>0.05</v>
      </c>
      <c r="AH166">
        <v>2</v>
      </c>
      <c r="AI166">
        <v>35847532</v>
      </c>
      <c r="AJ166">
        <v>167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</row>
    <row r="167" spans="1:44">
      <c r="A167">
        <f>ROW(Source!A212)</f>
        <v>212</v>
      </c>
      <c r="B167">
        <v>35847533</v>
      </c>
      <c r="C167">
        <v>35847526</v>
      </c>
      <c r="D167">
        <v>29110838</v>
      </c>
      <c r="E167">
        <v>1</v>
      </c>
      <c r="F167">
        <v>1</v>
      </c>
      <c r="G167">
        <v>1</v>
      </c>
      <c r="H167">
        <v>3</v>
      </c>
      <c r="I167" t="s">
        <v>594</v>
      </c>
      <c r="J167" t="s">
        <v>595</v>
      </c>
      <c r="K167" t="s">
        <v>596</v>
      </c>
      <c r="L167">
        <v>1346</v>
      </c>
      <c r="N167">
        <v>1009</v>
      </c>
      <c r="O167" t="s">
        <v>153</v>
      </c>
      <c r="P167" t="s">
        <v>153</v>
      </c>
      <c r="Q167">
        <v>1</v>
      </c>
      <c r="X167">
        <v>0.16</v>
      </c>
      <c r="Y167">
        <v>30.5</v>
      </c>
      <c r="Z167">
        <v>0</v>
      </c>
      <c r="AA167">
        <v>0</v>
      </c>
      <c r="AB167">
        <v>0</v>
      </c>
      <c r="AC167">
        <v>0</v>
      </c>
      <c r="AD167">
        <v>1</v>
      </c>
      <c r="AE167">
        <v>0</v>
      </c>
      <c r="AF167" t="s">
        <v>3</v>
      </c>
      <c r="AG167">
        <v>0.16</v>
      </c>
      <c r="AH167">
        <v>2</v>
      </c>
      <c r="AI167">
        <v>35847533</v>
      </c>
      <c r="AJ167">
        <v>168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</row>
    <row r="168" spans="1:44">
      <c r="A168">
        <f>ROW(Source!A212)</f>
        <v>212</v>
      </c>
      <c r="B168">
        <v>35847534</v>
      </c>
      <c r="C168">
        <v>35847526</v>
      </c>
      <c r="D168">
        <v>29171808</v>
      </c>
      <c r="E168">
        <v>1</v>
      </c>
      <c r="F168">
        <v>1</v>
      </c>
      <c r="G168">
        <v>1</v>
      </c>
      <c r="H168">
        <v>3</v>
      </c>
      <c r="I168" t="s">
        <v>590</v>
      </c>
      <c r="J168" t="s">
        <v>591</v>
      </c>
      <c r="K168" t="s">
        <v>592</v>
      </c>
      <c r="L168">
        <v>1374</v>
      </c>
      <c r="N168">
        <v>1013</v>
      </c>
      <c r="O168" t="s">
        <v>593</v>
      </c>
      <c r="P168" t="s">
        <v>593</v>
      </c>
      <c r="Q168">
        <v>1</v>
      </c>
      <c r="X168">
        <v>0.53</v>
      </c>
      <c r="Y168">
        <v>1</v>
      </c>
      <c r="Z168">
        <v>0</v>
      </c>
      <c r="AA168">
        <v>0</v>
      </c>
      <c r="AB168">
        <v>0</v>
      </c>
      <c r="AC168">
        <v>0</v>
      </c>
      <c r="AD168">
        <v>1</v>
      </c>
      <c r="AE168">
        <v>0</v>
      </c>
      <c r="AF168" t="s">
        <v>3</v>
      </c>
      <c r="AG168">
        <v>0.53</v>
      </c>
      <c r="AH168">
        <v>2</v>
      </c>
      <c r="AI168">
        <v>35847534</v>
      </c>
      <c r="AJ168">
        <v>169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Смета 12 гр. ТЕР МО</vt:lpstr>
      <vt:lpstr>Source</vt:lpstr>
      <vt:lpstr>SourceObSm</vt:lpstr>
      <vt:lpstr>SmtRes</vt:lpstr>
      <vt:lpstr>EtalonRes</vt:lpstr>
      <vt:lpstr>'Смета 12 гр. ТЕР МО'!Заголовки_для_печати</vt:lpstr>
      <vt:lpstr>'Смета 12 гр. ТЕР МО'!Область_печати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Олеся</cp:lastModifiedBy>
  <dcterms:created xsi:type="dcterms:W3CDTF">2021-04-28T11:15:04Z</dcterms:created>
  <dcterms:modified xsi:type="dcterms:W3CDTF">2021-05-26T11:49:49Z</dcterms:modified>
</cp:coreProperties>
</file>