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Воздух 2021" sheetId="2" r:id="rId1"/>
    <sheet name="Приложение 2021" sheetId="1" r:id="rId2"/>
  </sheets>
  <definedNames>
    <definedName name="_GoBack" localSheetId="0">'Воздух 2021'!$A$21</definedName>
  </definedNames>
  <calcPr calcId="145621"/>
</workbook>
</file>

<file path=xl/calcChain.xml><?xml version="1.0" encoding="utf-8"?>
<calcChain xmlns="http://schemas.openxmlformats.org/spreadsheetml/2006/main">
  <c r="G78" i="1" l="1"/>
  <c r="F53" i="2"/>
  <c r="F52" i="2" s="1"/>
  <c r="F56" i="2" s="1"/>
  <c r="N50" i="2"/>
  <c r="N48" i="2"/>
  <c r="N47" i="2"/>
  <c r="N46" i="2"/>
  <c r="N45" i="2"/>
  <c r="N44" i="2"/>
  <c r="N43" i="2"/>
  <c r="N42" i="2"/>
  <c r="N41" i="2"/>
  <c r="N39" i="2"/>
  <c r="N37" i="2"/>
  <c r="N35" i="2"/>
  <c r="N34" i="2"/>
  <c r="N32" i="2"/>
  <c r="N31" i="2"/>
  <c r="N30" i="2"/>
  <c r="N29" i="2"/>
  <c r="N28" i="2"/>
  <c r="N26" i="2"/>
  <c r="N25" i="2"/>
  <c r="N24" i="2"/>
  <c r="N23" i="2"/>
  <c r="N22" i="2"/>
  <c r="N20" i="2"/>
  <c r="N19" i="2"/>
  <c r="N18" i="2"/>
  <c r="N17" i="2"/>
  <c r="N15" i="2"/>
  <c r="N14" i="2"/>
  <c r="N13" i="2"/>
  <c r="N12" i="2"/>
  <c r="N11" i="2"/>
  <c r="N10" i="2"/>
  <c r="N8" i="2"/>
  <c r="N7" i="2"/>
  <c r="N6" i="2"/>
  <c r="N5" i="2"/>
  <c r="N4" i="2"/>
  <c r="H77" i="1"/>
  <c r="H79" i="1" s="1"/>
  <c r="H80" i="1" s="1"/>
  <c r="I71" i="1"/>
  <c r="I70" i="1"/>
  <c r="H69" i="1"/>
  <c r="F69" i="1"/>
  <c r="G69" i="1" s="1"/>
  <c r="E69" i="1"/>
  <c r="H68" i="1"/>
  <c r="F68" i="1"/>
  <c r="G68" i="1" s="1"/>
  <c r="E68" i="1"/>
  <c r="H67" i="1"/>
  <c r="F67" i="1"/>
  <c r="G67" i="1" s="1"/>
  <c r="E67" i="1"/>
  <c r="H66" i="1"/>
  <c r="F66" i="1"/>
  <c r="G66" i="1" s="1"/>
  <c r="E66" i="1"/>
  <c r="H65" i="1"/>
  <c r="H70" i="1" s="1"/>
  <c r="F65" i="1"/>
  <c r="G65" i="1" s="1"/>
  <c r="E65" i="1"/>
  <c r="F57" i="1"/>
  <c r="G57" i="1" s="1"/>
  <c r="E57" i="1"/>
  <c r="H57" i="1" s="1"/>
  <c r="F56" i="1"/>
  <c r="G56" i="1" s="1"/>
  <c r="E56" i="1"/>
  <c r="H56" i="1" s="1"/>
  <c r="F55" i="1"/>
  <c r="G55" i="1" s="1"/>
  <c r="E55" i="1"/>
  <c r="H55" i="1" s="1"/>
  <c r="F54" i="1"/>
  <c r="G54" i="1" s="1"/>
  <c r="E54" i="1"/>
  <c r="H54" i="1" s="1"/>
  <c r="F53" i="1"/>
  <c r="G53" i="1" s="1"/>
  <c r="E53" i="1"/>
  <c r="H53" i="1" s="1"/>
  <c r="F52" i="1"/>
  <c r="G52" i="1" s="1"/>
  <c r="E52" i="1"/>
  <c r="H52" i="1" s="1"/>
  <c r="F51" i="1"/>
  <c r="G51" i="1" s="1"/>
  <c r="E51" i="1"/>
  <c r="H51" i="1" s="1"/>
  <c r="F50" i="1"/>
  <c r="G50" i="1" s="1"/>
  <c r="E50" i="1"/>
  <c r="H50" i="1" s="1"/>
  <c r="F49" i="1"/>
  <c r="G49" i="1" s="1"/>
  <c r="E49" i="1"/>
  <c r="H49" i="1" s="1"/>
  <c r="F48" i="1"/>
  <c r="G48" i="1" s="1"/>
  <c r="E48" i="1"/>
  <c r="H48" i="1" s="1"/>
  <c r="F47" i="1"/>
  <c r="G47" i="1" s="1"/>
  <c r="E47" i="1"/>
  <c r="H47" i="1" s="1"/>
  <c r="F46" i="1"/>
  <c r="G46" i="1" s="1"/>
  <c r="E46" i="1"/>
  <c r="H46" i="1" s="1"/>
  <c r="F45" i="1"/>
  <c r="G45" i="1" s="1"/>
  <c r="E45" i="1"/>
  <c r="H45" i="1" s="1"/>
  <c r="F44" i="1"/>
  <c r="G44" i="1" s="1"/>
  <c r="E44" i="1"/>
  <c r="H44" i="1" s="1"/>
  <c r="F43" i="1"/>
  <c r="G43" i="1" s="1"/>
  <c r="E43" i="1"/>
  <c r="H43" i="1" s="1"/>
  <c r="F42" i="1"/>
  <c r="G42" i="1" s="1"/>
  <c r="E42" i="1"/>
  <c r="H42" i="1" s="1"/>
  <c r="F41" i="1"/>
  <c r="G41" i="1" s="1"/>
  <c r="E41" i="1"/>
  <c r="H41" i="1" s="1"/>
  <c r="F40" i="1"/>
  <c r="G40" i="1" s="1"/>
  <c r="G39" i="1" s="1"/>
  <c r="E40" i="1"/>
  <c r="H40" i="1" s="1"/>
  <c r="I39" i="1"/>
  <c r="I58" i="1" s="1"/>
  <c r="H38" i="1"/>
  <c r="F38" i="1"/>
  <c r="G38" i="1" s="1"/>
  <c r="E38" i="1"/>
  <c r="H37" i="1"/>
  <c r="F37" i="1"/>
  <c r="G37" i="1" s="1"/>
  <c r="E37" i="1"/>
  <c r="H36" i="1"/>
  <c r="F36" i="1"/>
  <c r="G36" i="1" s="1"/>
  <c r="E36" i="1"/>
  <c r="H35" i="1"/>
  <c r="F35" i="1"/>
  <c r="G35" i="1" s="1"/>
  <c r="E35" i="1"/>
  <c r="H34" i="1"/>
  <c r="F34" i="1"/>
  <c r="G34" i="1" s="1"/>
  <c r="E34" i="1"/>
  <c r="H33" i="1"/>
  <c r="F33" i="1"/>
  <c r="G33" i="1" s="1"/>
  <c r="E33" i="1"/>
  <c r="H32" i="1"/>
  <c r="F32" i="1"/>
  <c r="G32" i="1" s="1"/>
  <c r="E32" i="1"/>
  <c r="H31" i="1"/>
  <c r="F31" i="1"/>
  <c r="G31" i="1" s="1"/>
  <c r="E31" i="1"/>
  <c r="H30" i="1"/>
  <c r="F30" i="1"/>
  <c r="G30" i="1" s="1"/>
  <c r="E30" i="1"/>
  <c r="H29" i="1"/>
  <c r="F29" i="1"/>
  <c r="G29" i="1" s="1"/>
  <c r="E29" i="1"/>
  <c r="H28" i="1"/>
  <c r="F28" i="1"/>
  <c r="G28" i="1" s="1"/>
  <c r="E28" i="1"/>
  <c r="H27" i="1"/>
  <c r="H26" i="1" s="1"/>
  <c r="F27" i="1"/>
  <c r="G27" i="1" s="1"/>
  <c r="G26" i="1" s="1"/>
  <c r="E27" i="1"/>
  <c r="I26" i="1"/>
  <c r="H25" i="1"/>
  <c r="F25" i="1"/>
  <c r="G25" i="1" s="1"/>
  <c r="E25" i="1"/>
  <c r="F24" i="1"/>
  <c r="G24" i="1" s="1"/>
  <c r="E24" i="1"/>
  <c r="H24" i="1" s="1"/>
  <c r="F23" i="1"/>
  <c r="G23" i="1" s="1"/>
  <c r="E23" i="1"/>
  <c r="H23" i="1" s="1"/>
  <c r="F22" i="1"/>
  <c r="G22" i="1" s="1"/>
  <c r="E22" i="1"/>
  <c r="H22" i="1" s="1"/>
  <c r="F21" i="1"/>
  <c r="G21" i="1" s="1"/>
  <c r="E21" i="1"/>
  <c r="H21" i="1" s="1"/>
  <c r="F20" i="1"/>
  <c r="G20" i="1" s="1"/>
  <c r="E20" i="1"/>
  <c r="H20" i="1" s="1"/>
  <c r="F19" i="1"/>
  <c r="G19" i="1" s="1"/>
  <c r="E19" i="1"/>
  <c r="H19" i="1" s="1"/>
  <c r="F18" i="1"/>
  <c r="G18" i="1" s="1"/>
  <c r="E18" i="1"/>
  <c r="H18" i="1" s="1"/>
  <c r="F17" i="1"/>
  <c r="G17" i="1" s="1"/>
  <c r="E17" i="1"/>
  <c r="H17" i="1" s="1"/>
  <c r="F16" i="1"/>
  <c r="G16" i="1" s="1"/>
  <c r="E16" i="1"/>
  <c r="H16" i="1" s="1"/>
  <c r="F15" i="1"/>
  <c r="G15" i="1" s="1"/>
  <c r="E15" i="1"/>
  <c r="H15" i="1" s="1"/>
  <c r="F14" i="1"/>
  <c r="G14" i="1" s="1"/>
  <c r="E14" i="1"/>
  <c r="H14" i="1" s="1"/>
  <c r="F13" i="1"/>
  <c r="G13" i="1" s="1"/>
  <c r="E13" i="1"/>
  <c r="H13" i="1" s="1"/>
  <c r="F12" i="1"/>
  <c r="G12" i="1" s="1"/>
  <c r="E12" i="1"/>
  <c r="H12" i="1" s="1"/>
  <c r="F11" i="1"/>
  <c r="G11" i="1" s="1"/>
  <c r="E11" i="1"/>
  <c r="H11" i="1" s="1"/>
  <c r="F10" i="1"/>
  <c r="G10" i="1" s="1"/>
  <c r="E10" i="1"/>
  <c r="H10" i="1" s="1"/>
  <c r="F9" i="1"/>
  <c r="G9" i="1" s="1"/>
  <c r="E9" i="1"/>
  <c r="H9" i="1" s="1"/>
  <c r="I8" i="1"/>
  <c r="F7" i="1"/>
  <c r="G7" i="1" s="1"/>
  <c r="E7" i="1"/>
  <c r="H7" i="1" s="1"/>
  <c r="F6" i="1"/>
  <c r="G6" i="1" s="1"/>
  <c r="E6" i="1"/>
  <c r="H6" i="1" s="1"/>
  <c r="H5" i="1" s="1"/>
  <c r="I5" i="1"/>
  <c r="N51" i="2" l="1"/>
  <c r="N53" i="2" s="1"/>
  <c r="N52" i="2" s="1"/>
  <c r="G5" i="1"/>
  <c r="H8" i="1"/>
  <c r="G70" i="1"/>
  <c r="G71" i="1" s="1"/>
  <c r="G8" i="1"/>
  <c r="I75" i="1"/>
  <c r="I59" i="1"/>
  <c r="I72" i="1" s="1"/>
  <c r="H71" i="1"/>
  <c r="H39" i="1"/>
  <c r="N55" i="2" l="1"/>
  <c r="G58" i="1"/>
  <c r="G59" i="1" s="1"/>
  <c r="G72" i="1" s="1"/>
  <c r="G82" i="1" s="1"/>
  <c r="G83" i="1" s="1"/>
  <c r="G84" i="1" s="1"/>
  <c r="H58" i="1"/>
  <c r="G77" i="1" l="1"/>
  <c r="G79" i="1" s="1"/>
  <c r="F79" i="1" s="1"/>
  <c r="H75" i="1"/>
  <c r="H59" i="1"/>
  <c r="H72" i="1" s="1"/>
  <c r="H73" i="1" s="1"/>
</calcChain>
</file>

<file path=xl/comments1.xml><?xml version="1.0" encoding="utf-8"?>
<comments xmlns="http://schemas.openxmlformats.org/spreadsheetml/2006/main">
  <authors>
    <author>Admin</author>
  </authors>
  <commentList>
    <comment ref="D5" authorId="0">
      <text>
        <r>
          <rPr>
            <b/>
            <sz val="8"/>
            <color indexed="81"/>
            <rFont val="Tahoma"/>
            <charset val="1"/>
          </rPr>
          <t>Admin:</t>
        </r>
        <r>
          <rPr>
            <sz val="8"/>
            <color indexed="81"/>
            <rFont val="Tahoma"/>
            <charset val="1"/>
          </rPr>
          <t xml:space="preserve">
было 8 обр/в квартал= 4 выпуска (разрешение заканчивается 21.03.2016); 
оставили </t>
        </r>
        <r>
          <rPr>
            <b/>
            <sz val="8"/>
            <color indexed="81"/>
            <rFont val="Tahoma"/>
            <family val="2"/>
            <charset val="204"/>
          </rPr>
          <t>только а/мойку</t>
        </r>
        <r>
          <rPr>
            <sz val="8"/>
            <color indexed="81"/>
            <rFont val="Tahoma"/>
            <charset val="1"/>
          </rPr>
          <t xml:space="preserve"> = 2 образца=1выпуск</t>
        </r>
      </text>
    </comment>
    <comment ref="E65" authorId="0">
      <text>
        <r>
          <rPr>
            <b/>
            <sz val="8"/>
            <color indexed="81"/>
            <rFont val="Tahoma"/>
            <charset val="1"/>
          </rPr>
          <t>Admin:</t>
        </r>
        <r>
          <rPr>
            <sz val="8"/>
            <color indexed="81"/>
            <rFont val="Tahoma"/>
            <charset val="1"/>
          </rPr>
          <t xml:space="preserve">
3240+17060=20300/2=10150(смета ЦГМС-Р)</t>
        </r>
      </text>
    </comment>
  </commentList>
</comments>
</file>

<file path=xl/sharedStrings.xml><?xml version="1.0" encoding="utf-8"?>
<sst xmlns="http://schemas.openxmlformats.org/spreadsheetml/2006/main" count="346" uniqueCount="174">
  <si>
    <t>Проведение измерений и анализов сточной и поверхностной воды</t>
  </si>
  <si>
    <t>№ п/п</t>
  </si>
  <si>
    <t>Перечень контролируемых показателей</t>
  </si>
  <si>
    <t xml:space="preserve">Количество за период </t>
  </si>
  <si>
    <t>Стоимость единицы, руб.</t>
  </si>
  <si>
    <t>Сумма в год, руб.</t>
  </si>
  <si>
    <t>Территории транспортного цеха</t>
  </si>
  <si>
    <t>2 обр/в квартал</t>
  </si>
  <si>
    <t>Взвешенные вещества</t>
  </si>
  <si>
    <t>Нефтепродукты</t>
  </si>
  <si>
    <t>Очистные сооружения предприятия</t>
  </si>
  <si>
    <t xml:space="preserve"> 16 обр/в месяц</t>
  </si>
  <si>
    <t>Температура</t>
  </si>
  <si>
    <t>Реакция среды</t>
  </si>
  <si>
    <t>Запах</t>
  </si>
  <si>
    <t>Цвет</t>
  </si>
  <si>
    <t>Осадок</t>
  </si>
  <si>
    <t>БПК</t>
  </si>
  <si>
    <t>Сухой остаток</t>
  </si>
  <si>
    <t>Хлориды</t>
  </si>
  <si>
    <t>Сульфаты</t>
  </si>
  <si>
    <t>Аммоний-ион</t>
  </si>
  <si>
    <t>Нитрит-ион</t>
  </si>
  <si>
    <t>Нитрат-ион</t>
  </si>
  <si>
    <t>Фосфаты (по фосфору)</t>
  </si>
  <si>
    <t>Железо общее</t>
  </si>
  <si>
    <t>АПАВ</t>
  </si>
  <si>
    <t>р. Москва</t>
  </si>
  <si>
    <t xml:space="preserve"> 24 обр/в месяц</t>
  </si>
  <si>
    <t>Очистные сооружения Воскресенского района</t>
  </si>
  <si>
    <t xml:space="preserve"> 126 обр/в квартал</t>
  </si>
  <si>
    <t>Хром</t>
  </si>
  <si>
    <t>Медь</t>
  </si>
  <si>
    <t>ИТОГО</t>
  </si>
  <si>
    <t>ИТОГО с НДС</t>
  </si>
  <si>
    <t xml:space="preserve">Проведение морфометрических исследований части реки Москва </t>
  </si>
  <si>
    <t>Наименование контролируемого параметра</t>
  </si>
  <si>
    <t>р. Москва (морфометрические исследования)</t>
  </si>
  <si>
    <t>6 обр./межень;6 обр./паводок</t>
  </si>
  <si>
    <t>Максимальная глубина, м</t>
  </si>
  <si>
    <t>Минимальная глубина, м</t>
  </si>
  <si>
    <t>Средняя глубина, м</t>
  </si>
  <si>
    <t>Скорость течения, м/с</t>
  </si>
  <si>
    <t>Расход воды, м3/с</t>
  </si>
  <si>
    <t>за квартал</t>
  </si>
  <si>
    <t>ВСЕГО с НДС</t>
  </si>
  <si>
    <t>без ндс кха морфометрия</t>
  </si>
  <si>
    <t>без ндс воздух</t>
  </si>
  <si>
    <t>без ндс всего</t>
  </si>
  <si>
    <t>с ндс воздух</t>
  </si>
  <si>
    <t>с ндс кха морфометрия</t>
  </si>
  <si>
    <t>с ндс всего</t>
  </si>
  <si>
    <t>№   п/п</t>
  </si>
  <si>
    <t>Наименование производства</t>
  </si>
  <si>
    <t>Выбрасываемое вещество</t>
  </si>
  <si>
    <t>Периодичность контроля</t>
  </si>
  <si>
    <t>Сумма,</t>
  </si>
  <si>
    <t>Сумма, руб.</t>
  </si>
  <si>
    <t>руб.</t>
  </si>
  <si>
    <r>
      <t>мг/м</t>
    </r>
    <r>
      <rPr>
        <vertAlign val="superscript"/>
        <sz val="12"/>
        <color theme="1"/>
        <rFont val="Times New Roman"/>
        <family val="1"/>
        <charset val="204"/>
      </rPr>
      <t>3</t>
    </r>
  </si>
  <si>
    <t>г/сек</t>
  </si>
  <si>
    <t>т/год</t>
  </si>
  <si>
    <t>Основная площадка г. Воскресенск, ул. Некрасова,17</t>
  </si>
  <si>
    <t>ремонтно-строительный цех( циклон ЦН-15)</t>
  </si>
  <si>
    <t>Пыль древесная</t>
  </si>
  <si>
    <t>1 раз в год</t>
  </si>
  <si>
    <t>0,0478083</t>
  </si>
  <si>
    <t>379,43095</t>
  </si>
  <si>
    <t>0,0042855</t>
  </si>
  <si>
    <t>Воскресенский отдел ФБУ «ЦЛАТИ по ЦФО»</t>
  </si>
  <si>
    <t>коэффициент</t>
  </si>
  <si>
    <t>открытая стоянка автотранспорта</t>
  </si>
  <si>
    <t>Азота диоксид; (Азот(IV) оксид)</t>
  </si>
  <si>
    <t>0,0739135</t>
  </si>
  <si>
    <t>94,15732</t>
  </si>
  <si>
    <t>0,2441017</t>
  </si>
  <si>
    <t>Азот (II) оксид; Азота оксид</t>
  </si>
  <si>
    <t>0,0120109</t>
  </si>
  <si>
    <t>15,30051</t>
  </si>
  <si>
    <t>0,0396665</t>
  </si>
  <si>
    <t>Углерод; Сажа</t>
  </si>
  <si>
    <t>0,0132733</t>
  </si>
  <si>
    <t>16,90866</t>
  </si>
  <si>
    <t>0,0418636</t>
  </si>
  <si>
    <t>Углерод оксид</t>
  </si>
  <si>
    <t>0,6186591</t>
  </si>
  <si>
    <t>788,10076</t>
  </si>
  <si>
    <t>0,6997488</t>
  </si>
  <si>
    <t>Очистные сооружения г. Воскресенск, ул. Гиганта, 20</t>
  </si>
  <si>
    <t>песколовки</t>
  </si>
  <si>
    <t>Дигидросульфид; Сероводород</t>
  </si>
  <si>
    <t>0,002761649</t>
  </si>
  <si>
    <t>0,0002180</t>
  </si>
  <si>
    <t>0,0039238</t>
  </si>
  <si>
    <t>преаэратор</t>
  </si>
  <si>
    <t>0,0041313</t>
  </si>
  <si>
    <t>0,5347758</t>
  </si>
  <si>
    <t>Формальдегид</t>
  </si>
  <si>
    <t>0,000287109</t>
  </si>
  <si>
    <t>0,0009990</t>
  </si>
  <si>
    <t>0,0010420</t>
  </si>
  <si>
    <t>первичные отстойники</t>
  </si>
  <si>
    <t>0,0018423</t>
  </si>
  <si>
    <t>0,0331671</t>
  </si>
  <si>
    <t>аэротенки</t>
  </si>
  <si>
    <t>0,0034908</t>
  </si>
  <si>
    <t>0,5767349</t>
  </si>
  <si>
    <t>иловые площадки</t>
  </si>
  <si>
    <t>0,0001975</t>
  </si>
  <si>
    <t>0,0602647</t>
  </si>
  <si>
    <t>Очистные сооружения с. Конобеево</t>
  </si>
  <si>
    <t>0,004164797</t>
  </si>
  <si>
    <t>0,0027830</t>
  </si>
  <si>
    <t>0,646094</t>
  </si>
  <si>
    <t>вторичный отстойник</t>
  </si>
  <si>
    <t>0,0004100</t>
  </si>
  <si>
    <t>0,0167460</t>
  </si>
  <si>
    <t>песковые площадки</t>
  </si>
  <si>
    <t>0,0010550</t>
  </si>
  <si>
    <t>0,4792850</t>
  </si>
  <si>
    <t>контактный резервуар</t>
  </si>
  <si>
    <t>Хлор</t>
  </si>
  <si>
    <t>0,004808670</t>
  </si>
  <si>
    <t>0,0050000</t>
  </si>
  <si>
    <t>0,00375</t>
  </si>
  <si>
    <t>-</t>
  </si>
  <si>
    <r>
      <t xml:space="preserve">Очистные сооружения </t>
    </r>
    <r>
      <rPr>
        <b/>
        <sz val="10"/>
        <color theme="1"/>
        <rFont val="Times New Roman"/>
        <family val="1"/>
        <charset val="204"/>
      </rPr>
      <t>с. Барановское</t>
    </r>
  </si>
  <si>
    <t>0,002923838</t>
  </si>
  <si>
    <t>0,0028010</t>
  </si>
  <si>
    <t>0,6484430</t>
  </si>
  <si>
    <t>0,4762850</t>
  </si>
  <si>
    <t>хлораторная</t>
  </si>
  <si>
    <t>0,002779634</t>
  </si>
  <si>
    <t>0,0030000</t>
  </si>
  <si>
    <t>0,0022500</t>
  </si>
  <si>
    <t>Очистные сооружения  п. им. Цюрупа</t>
  </si>
  <si>
    <t>0,004772067</t>
  </si>
  <si>
    <t>0,006528634</t>
  </si>
  <si>
    <t>0,0037500</t>
  </si>
  <si>
    <r>
      <t xml:space="preserve">Очистные сооружения  </t>
    </r>
    <r>
      <rPr>
        <b/>
        <sz val="10"/>
        <color theme="1"/>
        <rFont val="Times New Roman"/>
        <family val="1"/>
        <charset val="204"/>
      </rPr>
      <t>д. Косяково</t>
    </r>
  </si>
  <si>
    <t>0,002193607</t>
  </si>
  <si>
    <t>0,0023980</t>
  </si>
  <si>
    <t>0,5587880</t>
  </si>
  <si>
    <t>0,003958117</t>
  </si>
  <si>
    <t>0,0029000</t>
  </si>
  <si>
    <t>0,0043500</t>
  </si>
  <si>
    <r>
      <t>Очистные сооружения</t>
    </r>
    <r>
      <rPr>
        <b/>
        <sz val="10"/>
        <color theme="1"/>
        <rFont val="Times New Roman"/>
        <family val="1"/>
        <charset val="204"/>
      </rPr>
      <t>д. Степанщино</t>
    </r>
  </si>
  <si>
    <t>0,000925847</t>
  </si>
  <si>
    <t>0,0012000</t>
  </si>
  <si>
    <t>0,5462530</t>
  </si>
  <si>
    <t>Очистные сооружения д. Невское</t>
  </si>
  <si>
    <t>0,001413807</t>
  </si>
  <si>
    <t>0,0015390</t>
  </si>
  <si>
    <t>0,4370030</t>
  </si>
  <si>
    <t>Станция ГОСВ д. Чемодурово</t>
  </si>
  <si>
    <t>решетки, песколовки гидроциклоны</t>
  </si>
  <si>
    <t>Аммиак</t>
  </si>
  <si>
    <t>31,51515</t>
  </si>
  <si>
    <t>0,0520000</t>
  </si>
  <si>
    <t>0,0780000</t>
  </si>
  <si>
    <t>1,27273</t>
  </si>
  <si>
    <t>0,0021000</t>
  </si>
  <si>
    <t>0,0031500</t>
  </si>
  <si>
    <t>блок глубокой биологической очистки</t>
  </si>
  <si>
    <t>резервуары, смеситель, фильтр</t>
  </si>
  <si>
    <t>смеситель, гидроцикл. уплотн., илоуплотн.</t>
  </si>
  <si>
    <t>Универсальная автомойка</t>
  </si>
  <si>
    <t>Открытая площадка автотранспорта</t>
  </si>
  <si>
    <t>21,26968</t>
  </si>
  <si>
    <t>0,0166967</t>
  </si>
  <si>
    <t>0,1732170</t>
  </si>
  <si>
    <t>Итого, руб. без НДС</t>
  </si>
  <si>
    <t>Итого, руб.  НДС</t>
  </si>
  <si>
    <t>Итого, руб.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</si>
</sst>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0&quot;р.&quot;"/>
    <numFmt numFmtId="165" formatCode="#,##0.00;[Red]#,##0.00"/>
    <numFmt numFmtId="166" formatCode="0.000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b/>
      <sz val="8"/>
      <color indexed="81"/>
      <name val="Tahoma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" fontId="2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2" borderId="0" xfId="0" applyFill="1"/>
    <xf numFmtId="4" fontId="2" fillId="0" borderId="1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2" fillId="2" borderId="2" xfId="0" applyNumberFormat="1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left" vertical="top"/>
    </xf>
    <xf numFmtId="3" fontId="0" fillId="0" borderId="4" xfId="0" applyNumberFormat="1" applyBorder="1" applyAlignment="1">
      <alignment horizontal="center" vertical="top" wrapText="1"/>
    </xf>
    <xf numFmtId="3" fontId="0" fillId="0" borderId="4" xfId="1" applyNumberFormat="1" applyFont="1" applyBorder="1" applyAlignment="1">
      <alignment horizontal="center" vertical="top" wrapText="1"/>
    </xf>
    <xf numFmtId="3" fontId="0" fillId="0" borderId="0" xfId="1" applyNumberFormat="1" applyFont="1" applyBorder="1" applyAlignment="1">
      <alignment horizontal="center" vertical="top" wrapText="1"/>
    </xf>
    <xf numFmtId="0" fontId="0" fillId="0" borderId="6" xfId="0" applyBorder="1"/>
    <xf numFmtId="0" fontId="0" fillId="0" borderId="6" xfId="0" applyBorder="1" applyAlignment="1">
      <alignment horizontal="center" vertical="top" wrapText="1"/>
    </xf>
    <xf numFmtId="0" fontId="0" fillId="0" borderId="4" xfId="0" applyBorder="1" applyAlignment="1">
      <alignment horizontal="left" vertical="top"/>
    </xf>
    <xf numFmtId="3" fontId="2" fillId="0" borderId="2" xfId="0" applyNumberFormat="1" applyFont="1" applyBorder="1" applyAlignment="1">
      <alignment vertical="top" wrapText="1"/>
    </xf>
    <xf numFmtId="0" fontId="0" fillId="0" borderId="0" xfId="0" applyAlignment="1">
      <alignment horizontal="center" vertical="top" wrapText="1"/>
    </xf>
    <xf numFmtId="3" fontId="0" fillId="0" borderId="4" xfId="0" applyNumberFormat="1" applyFill="1" applyBorder="1" applyAlignment="1">
      <alignment horizontal="center" vertical="top" wrapText="1"/>
    </xf>
    <xf numFmtId="3" fontId="0" fillId="0" borderId="0" xfId="0" applyNumberFormat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center" vertical="top" wrapText="1"/>
    </xf>
    <xf numFmtId="0" fontId="0" fillId="0" borderId="0" xfId="0" applyBorder="1"/>
    <xf numFmtId="0" fontId="0" fillId="0" borderId="7" xfId="0" applyBorder="1" applyAlignment="1">
      <alignment horizontal="center" vertical="top" wrapText="1"/>
    </xf>
    <xf numFmtId="3" fontId="2" fillId="0" borderId="3" xfId="0" applyNumberFormat="1" applyFont="1" applyBorder="1" applyAlignment="1">
      <alignment vertical="top" wrapText="1"/>
    </xf>
    <xf numFmtId="3" fontId="0" fillId="0" borderId="6" xfId="0" applyNumberFormat="1" applyFill="1" applyBorder="1" applyAlignment="1">
      <alignment horizontal="center" vertical="top" wrapText="1"/>
    </xf>
    <xf numFmtId="3" fontId="0" fillId="0" borderId="6" xfId="0" applyNumberFormat="1" applyBorder="1" applyAlignment="1">
      <alignment horizontal="center" vertical="top" wrapText="1"/>
    </xf>
    <xf numFmtId="0" fontId="0" fillId="0" borderId="7" xfId="0" applyBorder="1" applyAlignment="1">
      <alignment horizontal="left" vertical="top"/>
    </xf>
    <xf numFmtId="0" fontId="2" fillId="0" borderId="3" xfId="0" applyFont="1" applyBorder="1" applyAlignment="1">
      <alignment vertical="top"/>
    </xf>
    <xf numFmtId="3" fontId="2" fillId="0" borderId="2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vertical="top"/>
    </xf>
    <xf numFmtId="3" fontId="2" fillId="0" borderId="8" xfId="0" applyNumberFormat="1" applyFont="1" applyBorder="1" applyAlignment="1">
      <alignment horizontal="center" vertical="top"/>
    </xf>
    <xf numFmtId="3" fontId="2" fillId="2" borderId="8" xfId="0" applyNumberFormat="1" applyFont="1" applyFill="1" applyBorder="1" applyAlignment="1">
      <alignment horizontal="center" vertical="top"/>
    </xf>
    <xf numFmtId="2" fontId="0" fillId="0" borderId="0" xfId="0" applyNumberFormat="1"/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0" fillId="0" borderId="9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3" fontId="0" fillId="0" borderId="1" xfId="0" applyNumberForma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right" vertical="top" wrapText="1"/>
    </xf>
    <xf numFmtId="164" fontId="0" fillId="0" borderId="0" xfId="0" applyNumberFormat="1" applyBorder="1" applyAlignment="1">
      <alignment horizontal="center" vertical="top" wrapText="1"/>
    </xf>
    <xf numFmtId="164" fontId="0" fillId="0" borderId="0" xfId="0" applyNumberForma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/>
    </xf>
    <xf numFmtId="0" fontId="0" fillId="0" borderId="7" xfId="0" applyFont="1" applyBorder="1" applyAlignment="1">
      <alignment horizontal="left" vertical="top"/>
    </xf>
    <xf numFmtId="3" fontId="0" fillId="0" borderId="7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4" fontId="0" fillId="0" borderId="0" xfId="0" applyNumberFormat="1" applyBorder="1" applyAlignment="1">
      <alignment horizontal="center" vertical="top" wrapText="1"/>
    </xf>
    <xf numFmtId="4" fontId="0" fillId="2" borderId="0" xfId="0" applyNumberForma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164" fontId="3" fillId="0" borderId="0" xfId="0" applyNumberFormat="1" applyFont="1" applyBorder="1" applyAlignment="1">
      <alignment horizontal="center" vertical="top" wrapText="1"/>
    </xf>
    <xf numFmtId="4" fontId="0" fillId="0" borderId="10" xfId="0" applyNumberFormat="1" applyBorder="1" applyAlignment="1">
      <alignment horizontal="center" vertical="top" wrapText="1"/>
    </xf>
    <xf numFmtId="165" fontId="0" fillId="0" borderId="0" xfId="0" applyNumberFormat="1" applyBorder="1" applyAlignment="1">
      <alignment horizontal="center" vertical="top" wrapText="1"/>
    </xf>
    <xf numFmtId="165" fontId="3" fillId="2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Fill="1" applyBorder="1"/>
    <xf numFmtId="164" fontId="2" fillId="0" borderId="0" xfId="0" applyNumberFormat="1" applyFont="1" applyBorder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0" fillId="0" borderId="0" xfId="0" applyFill="1"/>
    <xf numFmtId="0" fontId="10" fillId="0" borderId="11" xfId="0" applyFont="1" applyBorder="1" applyAlignment="1">
      <alignment horizontal="center"/>
    </xf>
    <xf numFmtId="0" fontId="16" fillId="0" borderId="16" xfId="0" applyFont="1" applyBorder="1" applyAlignment="1">
      <alignment horizontal="right" vertical="top" wrapText="1"/>
    </xf>
    <xf numFmtId="0" fontId="10" fillId="0" borderId="15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6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 vertical="top" wrapText="1"/>
    </xf>
    <xf numFmtId="0" fontId="10" fillId="0" borderId="1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1" fontId="12" fillId="0" borderId="11" xfId="0" applyNumberFormat="1" applyFont="1" applyBorder="1" applyAlignment="1">
      <alignment horizontal="center" vertical="center"/>
    </xf>
    <xf numFmtId="0" fontId="2" fillId="2" borderId="0" xfId="0" applyFont="1" applyFill="1"/>
    <xf numFmtId="0" fontId="10" fillId="0" borderId="20" xfId="0" applyFont="1" applyBorder="1" applyAlignment="1">
      <alignment horizontal="center"/>
    </xf>
    <xf numFmtId="0" fontId="10" fillId="0" borderId="11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vertical="top" wrapText="1"/>
    </xf>
    <xf numFmtId="0" fontId="10" fillId="0" borderId="16" xfId="0" applyFont="1" applyBorder="1" applyAlignment="1">
      <alignment horizontal="center"/>
    </xf>
    <xf numFmtId="0" fontId="10" fillId="0" borderId="16" xfId="0" applyFont="1" applyBorder="1" applyAlignment="1">
      <alignment vertical="top" wrapText="1"/>
    </xf>
    <xf numFmtId="0" fontId="17" fillId="0" borderId="17" xfId="0" applyFont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right" vertical="top" wrapText="1"/>
    </xf>
    <xf numFmtId="0" fontId="13" fillId="0" borderId="16" xfId="0" applyFont="1" applyBorder="1" applyAlignment="1">
      <alignment horizontal="center" vertical="top" wrapText="1"/>
    </xf>
    <xf numFmtId="0" fontId="12" fillId="2" borderId="15" xfId="0" applyFont="1" applyFill="1" applyBorder="1" applyAlignment="1">
      <alignment horizontal="center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18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9" fillId="0" borderId="17" xfId="0" applyFont="1" applyBorder="1" applyAlignment="1">
      <alignment vertical="top" wrapText="1"/>
    </xf>
    <xf numFmtId="0" fontId="19" fillId="0" borderId="18" xfId="0" applyFont="1" applyBorder="1" applyAlignment="1">
      <alignment vertical="top" wrapText="1"/>
    </xf>
    <xf numFmtId="0" fontId="19" fillId="0" borderId="19" xfId="0" applyFont="1" applyBorder="1" applyAlignment="1">
      <alignment vertical="top" wrapText="1"/>
    </xf>
    <xf numFmtId="0" fontId="19" fillId="0" borderId="17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5" xfId="0" applyFont="1" applyBorder="1" applyAlignment="1">
      <alignment vertical="center" wrapText="1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2" fontId="19" fillId="0" borderId="11" xfId="0" applyNumberFormat="1" applyFont="1" applyBorder="1" applyAlignment="1">
      <alignment horizontal="center" vertical="center"/>
    </xf>
    <xf numFmtId="0" fontId="0" fillId="0" borderId="18" xfId="0" applyBorder="1"/>
    <xf numFmtId="2" fontId="19" fillId="0" borderId="0" xfId="0" applyNumberFormat="1" applyFont="1"/>
    <xf numFmtId="0" fontId="20" fillId="0" borderId="0" xfId="0" applyFont="1"/>
    <xf numFmtId="3" fontId="12" fillId="0" borderId="0" xfId="0" applyNumberFormat="1" applyFont="1"/>
    <xf numFmtId="2" fontId="19" fillId="0" borderId="20" xfId="0" applyNumberFormat="1" applyFont="1" applyBorder="1" applyAlignment="1">
      <alignment horizontal="center" vertical="center"/>
    </xf>
    <xf numFmtId="166" fontId="0" fillId="0" borderId="0" xfId="0" applyNumberFormat="1"/>
    <xf numFmtId="0" fontId="10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top" wrapText="1"/>
    </xf>
    <xf numFmtId="2" fontId="12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1" fillId="0" borderId="0" xfId="0" applyFont="1"/>
    <xf numFmtId="165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2" fontId="12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4" fontId="2" fillId="0" borderId="0" xfId="0" applyNumberFormat="1" applyFont="1" applyBorder="1" applyAlignment="1">
      <alignment horizontal="center" vertical="top" wrapText="1"/>
    </xf>
    <xf numFmtId="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Border="1"/>
    <xf numFmtId="3" fontId="2" fillId="2" borderId="3" xfId="0" applyNumberFormat="1" applyFont="1" applyFill="1" applyBorder="1" applyAlignment="1">
      <alignment horizontal="center" vertical="top" wrapText="1"/>
    </xf>
    <xf numFmtId="2" fontId="0" fillId="0" borderId="0" xfId="0" applyNumberFormat="1" applyBorder="1"/>
    <xf numFmtId="164" fontId="0" fillId="0" borderId="0" xfId="0" applyNumberFormat="1" applyBorder="1"/>
    <xf numFmtId="4" fontId="2" fillId="3" borderId="0" xfId="0" applyNumberFormat="1" applyFont="1" applyFill="1" applyBorder="1" applyAlignment="1"/>
    <xf numFmtId="0" fontId="0" fillId="3" borderId="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righ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opLeftCell="A22" zoomScale="130" zoomScaleNormal="130" workbookViewId="0">
      <selection activeCell="S15" sqref="S15"/>
    </sheetView>
  </sheetViews>
  <sheetFormatPr defaultRowHeight="15" x14ac:dyDescent="0.25"/>
  <cols>
    <col min="1" max="1" width="4.7109375" style="151" customWidth="1"/>
    <col min="2" max="2" width="10.140625" hidden="1" customWidth="1"/>
    <col min="3" max="3" width="17.5703125" customWidth="1"/>
    <col min="4" max="4" width="13.5703125" customWidth="1"/>
    <col min="6" max="6" width="9.28515625" style="152" hidden="1" customWidth="1"/>
    <col min="7" max="13" width="0" hidden="1" customWidth="1"/>
    <col min="14" max="14" width="10.42578125" style="157" bestFit="1" customWidth="1"/>
    <col min="15" max="15" width="10.42578125" bestFit="1" customWidth="1"/>
    <col min="16" max="16" width="9.28515625" bestFit="1" customWidth="1"/>
  </cols>
  <sheetData>
    <row r="1" spans="1:17" ht="39" thickBot="1" x14ac:dyDescent="0.3">
      <c r="A1" s="77" t="s">
        <v>52</v>
      </c>
      <c r="B1" s="78"/>
      <c r="C1" s="79" t="s">
        <v>53</v>
      </c>
      <c r="D1" s="79" t="s">
        <v>54</v>
      </c>
      <c r="E1" s="80" t="s">
        <v>55</v>
      </c>
      <c r="F1" s="81" t="s">
        <v>56</v>
      </c>
      <c r="G1" s="82"/>
      <c r="H1" s="83"/>
      <c r="I1" s="84"/>
      <c r="J1" s="82"/>
      <c r="K1" s="83"/>
      <c r="L1" s="84"/>
      <c r="M1" s="78"/>
      <c r="N1" s="79" t="s">
        <v>57</v>
      </c>
    </row>
    <row r="2" spans="1:17" ht="15" customHeight="1" thickBot="1" x14ac:dyDescent="0.3">
      <c r="A2" s="85"/>
      <c r="B2" s="78"/>
      <c r="C2" s="86"/>
      <c r="D2" s="86"/>
      <c r="E2" s="87"/>
      <c r="F2" s="88" t="s">
        <v>58</v>
      </c>
      <c r="G2" s="89" t="s">
        <v>59</v>
      </c>
      <c r="H2" s="89" t="s">
        <v>60</v>
      </c>
      <c r="I2" s="89" t="s">
        <v>61</v>
      </c>
      <c r="J2" s="89" t="s">
        <v>59</v>
      </c>
      <c r="K2" s="89" t="s">
        <v>60</v>
      </c>
      <c r="L2" s="89" t="s">
        <v>61</v>
      </c>
      <c r="M2" s="78"/>
      <c r="N2" s="86"/>
    </row>
    <row r="3" spans="1:17" ht="15" customHeight="1" thickBot="1" x14ac:dyDescent="0.3">
      <c r="A3" s="90" t="s">
        <v>62</v>
      </c>
      <c r="B3" s="91"/>
      <c r="C3" s="91"/>
      <c r="D3" s="91"/>
      <c r="E3" s="92"/>
      <c r="F3" s="93"/>
      <c r="G3" s="94"/>
      <c r="H3" s="94"/>
      <c r="I3" s="94"/>
      <c r="J3" s="94"/>
      <c r="K3" s="94"/>
      <c r="L3" s="94"/>
      <c r="M3" s="94"/>
      <c r="N3" s="95"/>
      <c r="O3" s="96"/>
    </row>
    <row r="4" spans="1:17" ht="36.75" thickBot="1" x14ac:dyDescent="0.3">
      <c r="A4" s="97">
        <v>1</v>
      </c>
      <c r="B4" s="98">
        <v>1</v>
      </c>
      <c r="C4" s="99" t="s">
        <v>63</v>
      </c>
      <c r="D4" s="100" t="s">
        <v>64</v>
      </c>
      <c r="E4" s="101" t="s">
        <v>65</v>
      </c>
      <c r="F4" s="93">
        <v>776</v>
      </c>
      <c r="G4" s="102" t="s">
        <v>66</v>
      </c>
      <c r="H4" s="102" t="s">
        <v>67</v>
      </c>
      <c r="I4" s="103" t="s">
        <v>68</v>
      </c>
      <c r="J4" s="94">
        <v>776</v>
      </c>
      <c r="K4" s="94"/>
      <c r="L4" s="94"/>
      <c r="M4" s="104" t="s">
        <v>69</v>
      </c>
      <c r="N4" s="105">
        <f>ROUND(734*P4,0)</f>
        <v>793</v>
      </c>
      <c r="P4" s="106">
        <v>1.08</v>
      </c>
      <c r="Q4" t="s">
        <v>70</v>
      </c>
    </row>
    <row r="5" spans="1:17" ht="22.5" customHeight="1" thickBot="1" x14ac:dyDescent="0.3">
      <c r="A5" s="107">
        <v>2</v>
      </c>
      <c r="B5" s="98">
        <v>6001</v>
      </c>
      <c r="C5" s="108" t="s">
        <v>71</v>
      </c>
      <c r="D5" s="100" t="s">
        <v>72</v>
      </c>
      <c r="E5" s="101" t="s">
        <v>65</v>
      </c>
      <c r="F5" s="93">
        <v>948</v>
      </c>
      <c r="G5" s="102" t="s">
        <v>73</v>
      </c>
      <c r="H5" s="102" t="s">
        <v>74</v>
      </c>
      <c r="I5" s="103" t="s">
        <v>75</v>
      </c>
      <c r="J5" s="94">
        <v>948</v>
      </c>
      <c r="K5" s="94"/>
      <c r="L5" s="94"/>
      <c r="M5" s="109"/>
      <c r="N5" s="105">
        <f>ROUND(897*P4,0)</f>
        <v>969</v>
      </c>
    </row>
    <row r="6" spans="1:17" ht="22.5" customHeight="1" thickBot="1" x14ac:dyDescent="0.3">
      <c r="A6" s="110">
        <v>3</v>
      </c>
      <c r="B6" s="98"/>
      <c r="C6" s="111"/>
      <c r="D6" s="100" t="s">
        <v>76</v>
      </c>
      <c r="E6" s="101" t="s">
        <v>65</v>
      </c>
      <c r="F6" s="93">
        <v>948</v>
      </c>
      <c r="G6" s="102" t="s">
        <v>77</v>
      </c>
      <c r="H6" s="102" t="s">
        <v>78</v>
      </c>
      <c r="I6" s="103" t="s">
        <v>79</v>
      </c>
      <c r="J6" s="94">
        <v>948</v>
      </c>
      <c r="K6" s="94"/>
      <c r="L6" s="94"/>
      <c r="M6" s="109"/>
      <c r="N6" s="105">
        <f>ROUND(897*P4,0)</f>
        <v>969</v>
      </c>
    </row>
    <row r="7" spans="1:17" ht="14.25" customHeight="1" thickBot="1" x14ac:dyDescent="0.3">
      <c r="A7" s="107">
        <v>4</v>
      </c>
      <c r="B7" s="98"/>
      <c r="C7" s="111"/>
      <c r="D7" s="100" t="s">
        <v>80</v>
      </c>
      <c r="E7" s="101" t="s">
        <v>65</v>
      </c>
      <c r="F7" s="93">
        <v>776</v>
      </c>
      <c r="G7" s="102" t="s">
        <v>81</v>
      </c>
      <c r="H7" s="102" t="s">
        <v>82</v>
      </c>
      <c r="I7" s="103" t="s">
        <v>83</v>
      </c>
      <c r="J7" s="94">
        <v>776</v>
      </c>
      <c r="K7" s="94"/>
      <c r="L7" s="94"/>
      <c r="M7" s="109"/>
      <c r="N7" s="105">
        <f>ROUND(734*P4,0)</f>
        <v>793</v>
      </c>
    </row>
    <row r="8" spans="1:17" ht="15" customHeight="1" thickBot="1" x14ac:dyDescent="0.3">
      <c r="A8" s="112">
        <v>5</v>
      </c>
      <c r="B8" s="98"/>
      <c r="C8" s="113"/>
      <c r="D8" s="100" t="s">
        <v>84</v>
      </c>
      <c r="E8" s="101" t="s">
        <v>65</v>
      </c>
      <c r="F8" s="93">
        <v>431</v>
      </c>
      <c r="G8" s="102" t="s">
        <v>85</v>
      </c>
      <c r="H8" s="102" t="s">
        <v>86</v>
      </c>
      <c r="I8" s="103" t="s">
        <v>87</v>
      </c>
      <c r="J8" s="94">
        <v>431</v>
      </c>
      <c r="K8" s="94"/>
      <c r="L8" s="94"/>
      <c r="M8" s="109"/>
      <c r="N8" s="105">
        <f>ROUND(407*P4,0)</f>
        <v>440</v>
      </c>
    </row>
    <row r="9" spans="1:17" ht="14.25" customHeight="1" thickBot="1" x14ac:dyDescent="0.3">
      <c r="A9" s="114" t="s">
        <v>88</v>
      </c>
      <c r="B9" s="115"/>
      <c r="C9" s="115"/>
      <c r="D9" s="115"/>
      <c r="E9" s="116"/>
      <c r="F9" s="93"/>
      <c r="G9" s="94"/>
      <c r="H9" s="94"/>
      <c r="I9" s="103"/>
      <c r="J9" s="94"/>
      <c r="K9" s="94"/>
      <c r="L9" s="94"/>
      <c r="M9" s="109"/>
      <c r="N9" s="105"/>
    </row>
    <row r="10" spans="1:17" ht="22.5" customHeight="1" thickBot="1" x14ac:dyDescent="0.3">
      <c r="A10" s="107">
        <v>6</v>
      </c>
      <c r="B10" s="98">
        <v>6004</v>
      </c>
      <c r="C10" s="103" t="s">
        <v>89</v>
      </c>
      <c r="D10" s="100" t="s">
        <v>90</v>
      </c>
      <c r="E10" s="101" t="s">
        <v>65</v>
      </c>
      <c r="F10" s="93">
        <v>948</v>
      </c>
      <c r="G10" s="103" t="s">
        <v>91</v>
      </c>
      <c r="H10" s="103" t="s">
        <v>92</v>
      </c>
      <c r="I10" s="103" t="s">
        <v>93</v>
      </c>
      <c r="J10" s="94">
        <v>948</v>
      </c>
      <c r="K10" s="94"/>
      <c r="L10" s="94"/>
      <c r="M10" s="109"/>
      <c r="N10" s="105">
        <f>ROUND(897*P4,0)</f>
        <v>969</v>
      </c>
    </row>
    <row r="11" spans="1:17" ht="22.5" customHeight="1" thickBot="1" x14ac:dyDescent="0.3">
      <c r="A11" s="110">
        <v>7</v>
      </c>
      <c r="B11" s="98">
        <v>6005</v>
      </c>
      <c r="C11" s="103" t="s">
        <v>94</v>
      </c>
      <c r="D11" s="100" t="s">
        <v>90</v>
      </c>
      <c r="E11" s="101" t="s">
        <v>65</v>
      </c>
      <c r="F11" s="93">
        <v>948</v>
      </c>
      <c r="G11" s="102" t="s">
        <v>91</v>
      </c>
      <c r="H11" s="102" t="s">
        <v>95</v>
      </c>
      <c r="I11" s="103" t="s">
        <v>96</v>
      </c>
      <c r="J11" s="94"/>
      <c r="K11" s="94"/>
      <c r="L11" s="94"/>
      <c r="M11" s="109"/>
      <c r="N11" s="105">
        <f>ROUND(897*P4,0)</f>
        <v>969</v>
      </c>
    </row>
    <row r="12" spans="1:17" ht="21" customHeight="1" thickBot="1" x14ac:dyDescent="0.3">
      <c r="A12" s="107">
        <v>8</v>
      </c>
      <c r="B12" s="98"/>
      <c r="C12" s="103"/>
      <c r="D12" s="100" t="s">
        <v>97</v>
      </c>
      <c r="E12" s="101" t="s">
        <v>65</v>
      </c>
      <c r="F12" s="93">
        <v>948</v>
      </c>
      <c r="G12" s="102" t="s">
        <v>98</v>
      </c>
      <c r="H12" s="102" t="s">
        <v>99</v>
      </c>
      <c r="I12" s="103" t="s">
        <v>100</v>
      </c>
      <c r="J12" s="94">
        <v>948</v>
      </c>
      <c r="K12" s="94"/>
      <c r="L12" s="94"/>
      <c r="M12" s="109"/>
      <c r="N12" s="105">
        <f>ROUND(897*P4,0)</f>
        <v>969</v>
      </c>
    </row>
    <row r="13" spans="1:17" ht="22.5" customHeight="1" thickBot="1" x14ac:dyDescent="0.3">
      <c r="A13" s="110">
        <v>9</v>
      </c>
      <c r="B13" s="98">
        <v>6006</v>
      </c>
      <c r="C13" s="103" t="s">
        <v>101</v>
      </c>
      <c r="D13" s="100" t="s">
        <v>90</v>
      </c>
      <c r="E13" s="101" t="s">
        <v>65</v>
      </c>
      <c r="F13" s="93">
        <v>948</v>
      </c>
      <c r="G13" s="103" t="s">
        <v>91</v>
      </c>
      <c r="H13" s="103" t="s">
        <v>102</v>
      </c>
      <c r="I13" s="103" t="s">
        <v>103</v>
      </c>
      <c r="J13" s="94"/>
      <c r="K13" s="94"/>
      <c r="L13" s="94"/>
      <c r="M13" s="109"/>
      <c r="N13" s="105">
        <f>ROUND(897*P4,0)</f>
        <v>969</v>
      </c>
    </row>
    <row r="14" spans="1:17" ht="21" customHeight="1" thickBot="1" x14ac:dyDescent="0.3">
      <c r="A14" s="107">
        <v>10</v>
      </c>
      <c r="B14" s="98">
        <v>6007</v>
      </c>
      <c r="C14" s="103" t="s">
        <v>104</v>
      </c>
      <c r="D14" s="100" t="s">
        <v>90</v>
      </c>
      <c r="E14" s="101" t="s">
        <v>65</v>
      </c>
      <c r="F14" s="93">
        <v>948</v>
      </c>
      <c r="G14" s="103" t="s">
        <v>91</v>
      </c>
      <c r="H14" s="103" t="s">
        <v>105</v>
      </c>
      <c r="I14" s="103" t="s">
        <v>106</v>
      </c>
      <c r="J14" s="94"/>
      <c r="K14" s="94"/>
      <c r="L14" s="94"/>
      <c r="M14" s="109"/>
      <c r="N14" s="105">
        <f>ROUND(897*P4,0)</f>
        <v>969</v>
      </c>
    </row>
    <row r="15" spans="1:17" ht="21.75" customHeight="1" thickBot="1" x14ac:dyDescent="0.3">
      <c r="A15" s="110">
        <v>11</v>
      </c>
      <c r="B15" s="98">
        <v>6010</v>
      </c>
      <c r="C15" s="103" t="s">
        <v>107</v>
      </c>
      <c r="D15" s="100" t="s">
        <v>90</v>
      </c>
      <c r="E15" s="101" t="s">
        <v>65</v>
      </c>
      <c r="F15" s="93">
        <v>948</v>
      </c>
      <c r="G15" s="103" t="s">
        <v>91</v>
      </c>
      <c r="H15" s="103" t="s">
        <v>108</v>
      </c>
      <c r="I15" s="103" t="s">
        <v>109</v>
      </c>
      <c r="J15" s="94"/>
      <c r="K15" s="94"/>
      <c r="L15" s="94"/>
      <c r="M15" s="109"/>
      <c r="N15" s="105">
        <f>ROUND(897*P4,0)</f>
        <v>969</v>
      </c>
    </row>
    <row r="16" spans="1:17" ht="16.5" customHeight="1" thickBot="1" x14ac:dyDescent="0.3">
      <c r="A16" s="117" t="s">
        <v>110</v>
      </c>
      <c r="B16" s="118"/>
      <c r="C16" s="118"/>
      <c r="D16" s="118"/>
      <c r="E16" s="119"/>
      <c r="F16" s="93"/>
      <c r="G16" s="94"/>
      <c r="H16" s="94"/>
      <c r="I16" s="103"/>
      <c r="J16" s="94"/>
      <c r="K16" s="94"/>
      <c r="L16" s="94"/>
      <c r="M16" s="109"/>
      <c r="N16" s="105"/>
    </row>
    <row r="17" spans="1:14" ht="24.75" thickBot="1" x14ac:dyDescent="0.3">
      <c r="A17" s="107">
        <v>12</v>
      </c>
      <c r="B17" s="120">
        <v>6014</v>
      </c>
      <c r="C17" s="103" t="s">
        <v>104</v>
      </c>
      <c r="D17" s="103" t="s">
        <v>90</v>
      </c>
      <c r="E17" s="101" t="s">
        <v>65</v>
      </c>
      <c r="F17" s="93">
        <v>948</v>
      </c>
      <c r="G17" s="102" t="s">
        <v>111</v>
      </c>
      <c r="H17" s="103" t="s">
        <v>112</v>
      </c>
      <c r="I17" s="103" t="s">
        <v>113</v>
      </c>
      <c r="J17" s="94"/>
      <c r="K17" s="94"/>
      <c r="L17" s="94"/>
      <c r="M17" s="121"/>
      <c r="N17" s="105">
        <f>ROUND(897*P4,0)</f>
        <v>969</v>
      </c>
    </row>
    <row r="18" spans="1:14" ht="24.75" thickBot="1" x14ac:dyDescent="0.3">
      <c r="A18" s="107">
        <v>13</v>
      </c>
      <c r="B18" s="120">
        <v>6015</v>
      </c>
      <c r="C18" s="103" t="s">
        <v>114</v>
      </c>
      <c r="D18" s="103" t="s">
        <v>90</v>
      </c>
      <c r="E18" s="101" t="s">
        <v>65</v>
      </c>
      <c r="F18" s="93">
        <v>948</v>
      </c>
      <c r="G18" s="103" t="s">
        <v>111</v>
      </c>
      <c r="H18" s="103" t="s">
        <v>115</v>
      </c>
      <c r="I18" s="103" t="s">
        <v>116</v>
      </c>
      <c r="J18" s="94"/>
      <c r="K18" s="94"/>
      <c r="L18" s="94"/>
      <c r="M18" s="104" t="s">
        <v>69</v>
      </c>
      <c r="N18" s="105">
        <f>ROUND(897*P4,0)</f>
        <v>969</v>
      </c>
    </row>
    <row r="19" spans="1:14" ht="24" customHeight="1" thickBot="1" x14ac:dyDescent="0.3">
      <c r="A19" s="110">
        <v>14</v>
      </c>
      <c r="B19" s="120">
        <v>6016</v>
      </c>
      <c r="C19" s="103" t="s">
        <v>117</v>
      </c>
      <c r="D19" s="103" t="s">
        <v>90</v>
      </c>
      <c r="E19" s="101" t="s">
        <v>65</v>
      </c>
      <c r="F19" s="93">
        <v>948</v>
      </c>
      <c r="G19" s="102" t="s">
        <v>111</v>
      </c>
      <c r="H19" s="103" t="s">
        <v>118</v>
      </c>
      <c r="I19" s="103" t="s">
        <v>119</v>
      </c>
      <c r="J19" s="94"/>
      <c r="K19" s="94"/>
      <c r="L19" s="94"/>
      <c r="M19" s="109"/>
      <c r="N19" s="105">
        <f>ROUND(897*P4,0)</f>
        <v>969</v>
      </c>
    </row>
    <row r="20" spans="1:14" ht="13.5" customHeight="1" thickBot="1" x14ac:dyDescent="0.3">
      <c r="A20" s="107">
        <v>15</v>
      </c>
      <c r="B20" s="120">
        <v>6017</v>
      </c>
      <c r="C20" s="103" t="s">
        <v>120</v>
      </c>
      <c r="D20" s="103" t="s">
        <v>121</v>
      </c>
      <c r="E20" s="101" t="s">
        <v>65</v>
      </c>
      <c r="F20" s="122">
        <v>1000</v>
      </c>
      <c r="G20" s="102" t="s">
        <v>122</v>
      </c>
      <c r="H20" s="103" t="s">
        <v>123</v>
      </c>
      <c r="I20" s="103" t="s">
        <v>124</v>
      </c>
      <c r="J20" s="94" t="s">
        <v>125</v>
      </c>
      <c r="K20" s="94"/>
      <c r="L20" s="94"/>
      <c r="M20" s="109"/>
      <c r="N20" s="105">
        <f>ROUND(946*P4,0)</f>
        <v>1022</v>
      </c>
    </row>
    <row r="21" spans="1:14" ht="16.5" customHeight="1" thickBot="1" x14ac:dyDescent="0.3">
      <c r="A21" s="117" t="s">
        <v>126</v>
      </c>
      <c r="B21" s="118"/>
      <c r="C21" s="118"/>
      <c r="D21" s="118"/>
      <c r="E21" s="119"/>
      <c r="F21" s="93"/>
      <c r="G21" s="94"/>
      <c r="H21" s="94"/>
      <c r="I21" s="103"/>
      <c r="J21" s="94"/>
      <c r="K21" s="94"/>
      <c r="L21" s="94"/>
      <c r="M21" s="109"/>
      <c r="N21" s="105"/>
    </row>
    <row r="22" spans="1:14" ht="25.5" customHeight="1" thickBot="1" x14ac:dyDescent="0.3">
      <c r="A22" s="107">
        <v>16</v>
      </c>
      <c r="B22" s="120">
        <v>6023</v>
      </c>
      <c r="C22" s="103" t="s">
        <v>104</v>
      </c>
      <c r="D22" s="99" t="s">
        <v>90</v>
      </c>
      <c r="E22" s="101" t="s">
        <v>65</v>
      </c>
      <c r="F22" s="93">
        <v>948</v>
      </c>
      <c r="G22" s="102" t="s">
        <v>127</v>
      </c>
      <c r="H22" s="103" t="s">
        <v>128</v>
      </c>
      <c r="I22" s="103" t="s">
        <v>129</v>
      </c>
      <c r="J22" s="94"/>
      <c r="K22" s="94"/>
      <c r="L22" s="94"/>
      <c r="M22" s="109"/>
      <c r="N22" s="105">
        <f>ROUND(897*P4,0)</f>
        <v>969</v>
      </c>
    </row>
    <row r="23" spans="1:14" ht="25.5" customHeight="1" thickBot="1" x14ac:dyDescent="0.3">
      <c r="A23" s="110">
        <v>17</v>
      </c>
      <c r="B23" s="120">
        <v>6024</v>
      </c>
      <c r="C23" s="103" t="s">
        <v>114</v>
      </c>
      <c r="D23" s="99" t="s">
        <v>90</v>
      </c>
      <c r="E23" s="101" t="s">
        <v>65</v>
      </c>
      <c r="F23" s="93">
        <v>948</v>
      </c>
      <c r="G23" s="102" t="s">
        <v>127</v>
      </c>
      <c r="H23" s="103" t="s">
        <v>115</v>
      </c>
      <c r="I23" s="103" t="s">
        <v>116</v>
      </c>
      <c r="J23" s="94"/>
      <c r="K23" s="94"/>
      <c r="L23" s="94"/>
      <c r="M23" s="109"/>
      <c r="N23" s="105">
        <f>ROUND(897*P4,0)</f>
        <v>969</v>
      </c>
    </row>
    <row r="24" spans="1:14" ht="25.5" customHeight="1" thickBot="1" x14ac:dyDescent="0.3">
      <c r="A24" s="107">
        <v>18</v>
      </c>
      <c r="B24" s="120">
        <v>6025</v>
      </c>
      <c r="C24" s="103" t="s">
        <v>117</v>
      </c>
      <c r="D24" s="99" t="s">
        <v>90</v>
      </c>
      <c r="E24" s="101" t="s">
        <v>65</v>
      </c>
      <c r="F24" s="93">
        <v>948</v>
      </c>
      <c r="G24" s="102" t="s">
        <v>127</v>
      </c>
      <c r="H24" s="102" t="s">
        <v>118</v>
      </c>
      <c r="I24" s="103" t="s">
        <v>130</v>
      </c>
      <c r="J24" s="94"/>
      <c r="K24" s="94"/>
      <c r="L24" s="94"/>
      <c r="M24" s="109"/>
      <c r="N24" s="105">
        <f>ROUND(897*P4,0)</f>
        <v>969</v>
      </c>
    </row>
    <row r="25" spans="1:14" ht="15.75" customHeight="1" thickBot="1" x14ac:dyDescent="0.3">
      <c r="A25" s="110">
        <v>19</v>
      </c>
      <c r="B25" s="120">
        <v>6026</v>
      </c>
      <c r="C25" s="103" t="s">
        <v>131</v>
      </c>
      <c r="D25" s="99" t="s">
        <v>121</v>
      </c>
      <c r="E25" s="101" t="s">
        <v>65</v>
      </c>
      <c r="F25" s="122">
        <v>1000</v>
      </c>
      <c r="G25" s="102" t="s">
        <v>132</v>
      </c>
      <c r="H25" s="102" t="s">
        <v>133</v>
      </c>
      <c r="I25" s="103" t="s">
        <v>134</v>
      </c>
      <c r="J25" s="94"/>
      <c r="K25" s="94"/>
      <c r="L25" s="94"/>
      <c r="M25" s="109"/>
      <c r="N25" s="105">
        <f>ROUND(946*P4,0)</f>
        <v>1022</v>
      </c>
    </row>
    <row r="26" spans="1:14" ht="22.5" customHeight="1" thickBot="1" x14ac:dyDescent="0.3">
      <c r="A26" s="107">
        <v>20</v>
      </c>
      <c r="B26" s="120">
        <v>6027</v>
      </c>
      <c r="C26" s="103" t="s">
        <v>107</v>
      </c>
      <c r="D26" s="99" t="s">
        <v>90</v>
      </c>
      <c r="E26" s="101" t="s">
        <v>65</v>
      </c>
      <c r="F26" s="93">
        <v>948</v>
      </c>
      <c r="G26" s="102" t="s">
        <v>127</v>
      </c>
      <c r="H26" s="103" t="s">
        <v>118</v>
      </c>
      <c r="I26" s="103" t="s">
        <v>130</v>
      </c>
      <c r="J26" s="94"/>
      <c r="K26" s="94"/>
      <c r="L26" s="94"/>
      <c r="M26" s="109"/>
      <c r="N26" s="105">
        <f>ROUND(897*P4,0)</f>
        <v>969</v>
      </c>
    </row>
    <row r="27" spans="1:14" ht="16.5" customHeight="1" thickBot="1" x14ac:dyDescent="0.3">
      <c r="A27" s="117" t="s">
        <v>135</v>
      </c>
      <c r="B27" s="118"/>
      <c r="C27" s="118"/>
      <c r="D27" s="118"/>
      <c r="E27" s="119"/>
      <c r="F27" s="93"/>
      <c r="G27" s="94"/>
      <c r="H27" s="94"/>
      <c r="I27" s="103"/>
      <c r="J27" s="94"/>
      <c r="K27" s="94"/>
      <c r="L27" s="94"/>
      <c r="M27" s="109"/>
      <c r="N27" s="105"/>
    </row>
    <row r="28" spans="1:14" ht="22.5" customHeight="1" thickBot="1" x14ac:dyDescent="0.3">
      <c r="A28" s="107">
        <v>21</v>
      </c>
      <c r="B28" s="120">
        <v>6032</v>
      </c>
      <c r="C28" s="103" t="s">
        <v>104</v>
      </c>
      <c r="D28" s="99" t="s">
        <v>90</v>
      </c>
      <c r="E28" s="101" t="s">
        <v>65</v>
      </c>
      <c r="F28" s="93">
        <v>948</v>
      </c>
      <c r="G28" s="103" t="s">
        <v>136</v>
      </c>
      <c r="H28" s="103" t="s">
        <v>128</v>
      </c>
      <c r="I28" s="103" t="s">
        <v>129</v>
      </c>
      <c r="J28" s="94"/>
      <c r="K28" s="94"/>
      <c r="L28" s="94"/>
      <c r="M28" s="109"/>
      <c r="N28" s="105">
        <f>ROUND(897*P4,0)</f>
        <v>969</v>
      </c>
    </row>
    <row r="29" spans="1:14" ht="22.5" customHeight="1" thickBot="1" x14ac:dyDescent="0.3">
      <c r="A29" s="110">
        <v>22</v>
      </c>
      <c r="B29" s="120">
        <v>6033</v>
      </c>
      <c r="C29" s="103" t="s">
        <v>114</v>
      </c>
      <c r="D29" s="99" t="s">
        <v>90</v>
      </c>
      <c r="E29" s="101" t="s">
        <v>65</v>
      </c>
      <c r="F29" s="93">
        <v>948</v>
      </c>
      <c r="G29" s="102" t="s">
        <v>136</v>
      </c>
      <c r="H29" s="103" t="s">
        <v>115</v>
      </c>
      <c r="I29" s="103" t="s">
        <v>116</v>
      </c>
      <c r="J29" s="94"/>
      <c r="K29" s="94"/>
      <c r="L29" s="94"/>
      <c r="M29" s="109"/>
      <c r="N29" s="105">
        <f>ROUND(897*P4,0)</f>
        <v>969</v>
      </c>
    </row>
    <row r="30" spans="1:14" ht="22.5" customHeight="1" thickBot="1" x14ac:dyDescent="0.3">
      <c r="A30" s="107">
        <v>23</v>
      </c>
      <c r="B30" s="120">
        <v>6034</v>
      </c>
      <c r="C30" s="103" t="s">
        <v>117</v>
      </c>
      <c r="D30" s="99" t="s">
        <v>90</v>
      </c>
      <c r="E30" s="101" t="s">
        <v>65</v>
      </c>
      <c r="F30" s="93">
        <v>948</v>
      </c>
      <c r="G30" s="102" t="s">
        <v>136</v>
      </c>
      <c r="H30" s="103" t="s">
        <v>118</v>
      </c>
      <c r="I30" s="103" t="s">
        <v>130</v>
      </c>
      <c r="J30" s="94"/>
      <c r="K30" s="94"/>
      <c r="L30" s="94"/>
      <c r="M30" s="109"/>
      <c r="N30" s="105">
        <f>ROUND(897*P4,0)</f>
        <v>969</v>
      </c>
    </row>
    <row r="31" spans="1:14" ht="12.75" customHeight="1" thickBot="1" x14ac:dyDescent="0.3">
      <c r="A31" s="110">
        <v>24</v>
      </c>
      <c r="B31" s="120">
        <v>6035</v>
      </c>
      <c r="C31" s="103" t="s">
        <v>120</v>
      </c>
      <c r="D31" s="99" t="s">
        <v>121</v>
      </c>
      <c r="E31" s="101" t="s">
        <v>65</v>
      </c>
      <c r="F31" s="122">
        <v>1000</v>
      </c>
      <c r="G31" s="102" t="s">
        <v>137</v>
      </c>
      <c r="H31" s="102" t="s">
        <v>123</v>
      </c>
      <c r="I31" s="103" t="s">
        <v>138</v>
      </c>
      <c r="J31" s="94"/>
      <c r="K31" s="94"/>
      <c r="L31" s="94"/>
      <c r="M31" s="109"/>
      <c r="N31" s="105">
        <f>ROUND(946*P4,0)</f>
        <v>1022</v>
      </c>
    </row>
    <row r="32" spans="1:14" ht="12.75" customHeight="1" thickBot="1" x14ac:dyDescent="0.3">
      <c r="A32" s="107">
        <v>25</v>
      </c>
      <c r="B32" s="120">
        <v>6036</v>
      </c>
      <c r="C32" s="103" t="s">
        <v>131</v>
      </c>
      <c r="D32" s="99" t="s">
        <v>121</v>
      </c>
      <c r="E32" s="101" t="s">
        <v>65</v>
      </c>
      <c r="F32" s="122">
        <v>1000</v>
      </c>
      <c r="G32" s="102" t="s">
        <v>137</v>
      </c>
      <c r="H32" s="102" t="s">
        <v>133</v>
      </c>
      <c r="I32" s="103" t="s">
        <v>134</v>
      </c>
      <c r="J32" s="94"/>
      <c r="K32" s="94"/>
      <c r="L32" s="94"/>
      <c r="M32" s="109"/>
      <c r="N32" s="105">
        <f>ROUND(946*P4,0)</f>
        <v>1022</v>
      </c>
    </row>
    <row r="33" spans="1:14" ht="16.5" thickBot="1" x14ac:dyDescent="0.3">
      <c r="A33" s="110"/>
      <c r="B33" s="123" t="s">
        <v>139</v>
      </c>
      <c r="C33" s="124"/>
      <c r="D33" s="124"/>
      <c r="E33" s="125"/>
      <c r="F33" s="93"/>
      <c r="G33" s="94"/>
      <c r="H33" s="94"/>
      <c r="I33" s="103"/>
      <c r="J33" s="94"/>
      <c r="K33" s="94"/>
      <c r="L33" s="94"/>
      <c r="M33" s="109"/>
      <c r="N33" s="105"/>
    </row>
    <row r="34" spans="1:14" ht="22.5" customHeight="1" thickBot="1" x14ac:dyDescent="0.3">
      <c r="A34" s="107">
        <v>26</v>
      </c>
      <c r="B34" s="120">
        <v>6041</v>
      </c>
      <c r="C34" s="103" t="s">
        <v>104</v>
      </c>
      <c r="D34" s="99" t="s">
        <v>90</v>
      </c>
      <c r="E34" s="101" t="s">
        <v>65</v>
      </c>
      <c r="F34" s="93">
        <v>948</v>
      </c>
      <c r="G34" s="102" t="s">
        <v>140</v>
      </c>
      <c r="H34" s="103" t="s">
        <v>141</v>
      </c>
      <c r="I34" s="103" t="s">
        <v>142</v>
      </c>
      <c r="J34" s="94"/>
      <c r="K34" s="94"/>
      <c r="L34" s="94"/>
      <c r="M34" s="109"/>
      <c r="N34" s="105">
        <f>ROUND(897*P4,0)</f>
        <v>969</v>
      </c>
    </row>
    <row r="35" spans="1:14" ht="12.75" customHeight="1" thickBot="1" x14ac:dyDescent="0.3">
      <c r="A35" s="110">
        <v>27</v>
      </c>
      <c r="B35" s="120">
        <v>6042</v>
      </c>
      <c r="C35" s="103" t="s">
        <v>131</v>
      </c>
      <c r="D35" s="103" t="s">
        <v>121</v>
      </c>
      <c r="E35" s="101" t="s">
        <v>65</v>
      </c>
      <c r="F35" s="122">
        <v>1000</v>
      </c>
      <c r="G35" s="102" t="s">
        <v>143</v>
      </c>
      <c r="H35" s="103" t="s">
        <v>144</v>
      </c>
      <c r="I35" s="103" t="s">
        <v>145</v>
      </c>
      <c r="J35" s="94"/>
      <c r="K35" s="94"/>
      <c r="L35" s="94"/>
      <c r="M35" s="109"/>
      <c r="N35" s="105">
        <f>ROUND(946*P4,0)</f>
        <v>1022</v>
      </c>
    </row>
    <row r="36" spans="1:14" ht="16.5" customHeight="1" thickBot="1" x14ac:dyDescent="0.3">
      <c r="A36" s="117" t="s">
        <v>146</v>
      </c>
      <c r="B36" s="118"/>
      <c r="C36" s="118"/>
      <c r="D36" s="118"/>
      <c r="E36" s="119"/>
      <c r="F36" s="93"/>
      <c r="G36" s="94"/>
      <c r="H36" s="94"/>
      <c r="I36" s="103"/>
      <c r="J36" s="94"/>
      <c r="K36" s="94"/>
      <c r="L36" s="94"/>
      <c r="M36" s="109"/>
      <c r="N36" s="105"/>
    </row>
    <row r="37" spans="1:14" ht="24" customHeight="1" thickBot="1" x14ac:dyDescent="0.3">
      <c r="A37" s="110">
        <v>28</v>
      </c>
      <c r="B37" s="120">
        <v>6047</v>
      </c>
      <c r="C37" s="103" t="s">
        <v>104</v>
      </c>
      <c r="D37" s="103" t="s">
        <v>90</v>
      </c>
      <c r="E37" s="101" t="s">
        <v>65</v>
      </c>
      <c r="F37" s="93">
        <v>948</v>
      </c>
      <c r="G37" s="102" t="s">
        <v>147</v>
      </c>
      <c r="H37" s="103" t="s">
        <v>148</v>
      </c>
      <c r="I37" s="103" t="s">
        <v>149</v>
      </c>
      <c r="J37" s="94"/>
      <c r="K37" s="94"/>
      <c r="L37" s="94"/>
      <c r="M37" s="109"/>
      <c r="N37" s="105">
        <f>ROUND(897*P4,0)</f>
        <v>969</v>
      </c>
    </row>
    <row r="38" spans="1:14" ht="16.5" thickBot="1" x14ac:dyDescent="0.3">
      <c r="A38" s="107"/>
      <c r="B38" s="126" t="s">
        <v>150</v>
      </c>
      <c r="C38" s="127"/>
      <c r="D38" s="127"/>
      <c r="E38" s="128"/>
      <c r="F38" s="93"/>
      <c r="G38" s="94"/>
      <c r="H38" s="94"/>
      <c r="I38" s="103"/>
      <c r="J38" s="94"/>
      <c r="K38" s="94"/>
      <c r="L38" s="94"/>
      <c r="M38" s="109"/>
      <c r="N38" s="105"/>
    </row>
    <row r="39" spans="1:14" ht="24" customHeight="1" thickBot="1" x14ac:dyDescent="0.3">
      <c r="A39" s="110">
        <v>29</v>
      </c>
      <c r="B39" s="120">
        <v>6053</v>
      </c>
      <c r="C39" s="103" t="s">
        <v>104</v>
      </c>
      <c r="D39" s="103" t="s">
        <v>90</v>
      </c>
      <c r="E39" s="101" t="s">
        <v>65</v>
      </c>
      <c r="F39" s="93">
        <v>948</v>
      </c>
      <c r="G39" s="103" t="s">
        <v>151</v>
      </c>
      <c r="H39" s="103" t="s">
        <v>152</v>
      </c>
      <c r="I39" s="103" t="s">
        <v>153</v>
      </c>
      <c r="J39" s="94"/>
      <c r="K39" s="94"/>
      <c r="L39" s="94"/>
      <c r="M39" s="109"/>
      <c r="N39" s="105">
        <f>ROUND(897*P4,0)</f>
        <v>969</v>
      </c>
    </row>
    <row r="40" spans="1:14" ht="16.5" customHeight="1" thickBot="1" x14ac:dyDescent="0.3">
      <c r="A40" s="129" t="s">
        <v>154</v>
      </c>
      <c r="B40" s="130"/>
      <c r="C40" s="130"/>
      <c r="D40" s="130"/>
      <c r="E40" s="131"/>
      <c r="F40" s="93"/>
      <c r="G40" s="94"/>
      <c r="H40" s="94"/>
      <c r="I40" s="103"/>
      <c r="J40" s="94"/>
      <c r="K40" s="94"/>
      <c r="L40" s="94"/>
      <c r="M40" s="109"/>
      <c r="N40" s="105"/>
    </row>
    <row r="41" spans="1:14" ht="16.5" thickBot="1" x14ac:dyDescent="0.3">
      <c r="A41" s="110">
        <v>30</v>
      </c>
      <c r="B41" s="120">
        <v>15</v>
      </c>
      <c r="C41" s="132" t="s">
        <v>155</v>
      </c>
      <c r="D41" s="99" t="s">
        <v>156</v>
      </c>
      <c r="E41" s="101" t="s">
        <v>65</v>
      </c>
      <c r="F41" s="93">
        <v>948</v>
      </c>
      <c r="G41" s="102" t="s">
        <v>157</v>
      </c>
      <c r="H41" s="102" t="s">
        <v>158</v>
      </c>
      <c r="I41" s="103" t="s">
        <v>159</v>
      </c>
      <c r="J41" s="94">
        <v>948</v>
      </c>
      <c r="K41" s="94"/>
      <c r="L41" s="94"/>
      <c r="M41" s="109"/>
      <c r="N41" s="105">
        <f>ROUND(897*P4,0)</f>
        <v>969</v>
      </c>
    </row>
    <row r="42" spans="1:14" ht="24.75" customHeight="1" thickBot="1" x14ac:dyDescent="0.3">
      <c r="A42" s="107">
        <v>31</v>
      </c>
      <c r="B42" s="120"/>
      <c r="C42" s="133"/>
      <c r="D42" s="99" t="s">
        <v>90</v>
      </c>
      <c r="E42" s="101" t="s">
        <v>65</v>
      </c>
      <c r="F42" s="93">
        <v>948</v>
      </c>
      <c r="G42" s="102" t="s">
        <v>160</v>
      </c>
      <c r="H42" s="102" t="s">
        <v>161</v>
      </c>
      <c r="I42" s="103" t="s">
        <v>162</v>
      </c>
      <c r="J42" s="94"/>
      <c r="K42" s="94"/>
      <c r="L42" s="94"/>
      <c r="M42" s="109"/>
      <c r="N42" s="105">
        <f>ROUND(897*P4,0)</f>
        <v>969</v>
      </c>
    </row>
    <row r="43" spans="1:14" ht="16.5" thickBot="1" x14ac:dyDescent="0.3">
      <c r="A43" s="110">
        <v>32</v>
      </c>
      <c r="B43" s="120">
        <v>16</v>
      </c>
      <c r="C43" s="132" t="s">
        <v>163</v>
      </c>
      <c r="D43" s="99" t="s">
        <v>156</v>
      </c>
      <c r="E43" s="101" t="s">
        <v>65</v>
      </c>
      <c r="F43" s="93">
        <v>948</v>
      </c>
      <c r="G43" s="102" t="s">
        <v>157</v>
      </c>
      <c r="H43" s="102" t="s">
        <v>158</v>
      </c>
      <c r="I43" s="103" t="s">
        <v>159</v>
      </c>
      <c r="J43" s="94"/>
      <c r="K43" s="94"/>
      <c r="L43" s="94"/>
      <c r="M43" s="109"/>
      <c r="N43" s="105">
        <f>ROUND(897*P4,0)</f>
        <v>969</v>
      </c>
    </row>
    <row r="44" spans="1:14" ht="22.5" customHeight="1" thickBot="1" x14ac:dyDescent="0.3">
      <c r="A44" s="107">
        <v>33</v>
      </c>
      <c r="B44" s="120"/>
      <c r="C44" s="133"/>
      <c r="D44" s="99" t="s">
        <v>90</v>
      </c>
      <c r="E44" s="101" t="s">
        <v>65</v>
      </c>
      <c r="F44" s="93">
        <v>948</v>
      </c>
      <c r="G44" s="102" t="s">
        <v>160</v>
      </c>
      <c r="H44" s="102" t="s">
        <v>161</v>
      </c>
      <c r="I44" s="103" t="s">
        <v>162</v>
      </c>
      <c r="J44" s="94"/>
      <c r="K44" s="94"/>
      <c r="L44" s="94"/>
      <c r="M44" s="121"/>
      <c r="N44" s="105">
        <f>ROUND(897*P4,0)</f>
        <v>969</v>
      </c>
    </row>
    <row r="45" spans="1:14" ht="16.5" thickBot="1" x14ac:dyDescent="0.3">
      <c r="A45" s="110">
        <v>34</v>
      </c>
      <c r="B45" s="120">
        <v>17</v>
      </c>
      <c r="C45" s="132" t="s">
        <v>164</v>
      </c>
      <c r="D45" s="99" t="s">
        <v>156</v>
      </c>
      <c r="E45" s="101" t="s">
        <v>65</v>
      </c>
      <c r="F45" s="93">
        <v>948</v>
      </c>
      <c r="G45" s="102" t="s">
        <v>157</v>
      </c>
      <c r="H45" s="102" t="s">
        <v>158</v>
      </c>
      <c r="I45" s="103" t="s">
        <v>159</v>
      </c>
      <c r="J45" s="94"/>
      <c r="K45" s="94"/>
      <c r="L45" s="94"/>
      <c r="M45" s="104" t="s">
        <v>69</v>
      </c>
      <c r="N45" s="105">
        <f>ROUND(897*P4,0)</f>
        <v>969</v>
      </c>
    </row>
    <row r="46" spans="1:14" ht="24.75" customHeight="1" thickBot="1" x14ac:dyDescent="0.3">
      <c r="A46" s="107">
        <v>35</v>
      </c>
      <c r="B46" s="120"/>
      <c r="C46" s="133"/>
      <c r="D46" s="99" t="s">
        <v>90</v>
      </c>
      <c r="E46" s="101" t="s">
        <v>65</v>
      </c>
      <c r="F46" s="93">
        <v>948</v>
      </c>
      <c r="G46" s="102" t="s">
        <v>160</v>
      </c>
      <c r="H46" s="102" t="s">
        <v>161</v>
      </c>
      <c r="I46" s="103" t="s">
        <v>162</v>
      </c>
      <c r="J46" s="94"/>
      <c r="K46" s="94"/>
      <c r="L46" s="94"/>
      <c r="M46" s="109"/>
      <c r="N46" s="105">
        <f>ROUND(897*P4,0)</f>
        <v>969</v>
      </c>
    </row>
    <row r="47" spans="1:14" ht="16.5" thickBot="1" x14ac:dyDescent="0.3">
      <c r="A47" s="110">
        <v>36</v>
      </c>
      <c r="B47" s="120">
        <v>18</v>
      </c>
      <c r="C47" s="132" t="s">
        <v>165</v>
      </c>
      <c r="D47" s="99" t="s">
        <v>156</v>
      </c>
      <c r="E47" s="101" t="s">
        <v>65</v>
      </c>
      <c r="F47" s="93">
        <v>948</v>
      </c>
      <c r="G47" s="102" t="s">
        <v>157</v>
      </c>
      <c r="H47" s="102" t="s">
        <v>158</v>
      </c>
      <c r="I47" s="103" t="s">
        <v>159</v>
      </c>
      <c r="J47" s="94"/>
      <c r="K47" s="94"/>
      <c r="L47" s="94"/>
      <c r="M47" s="109"/>
      <c r="N47" s="105">
        <f>ROUND(897*P4,0)</f>
        <v>969</v>
      </c>
    </row>
    <row r="48" spans="1:14" ht="23.25" customHeight="1" thickBot="1" x14ac:dyDescent="0.3">
      <c r="A48" s="107">
        <v>37</v>
      </c>
      <c r="B48" s="120"/>
      <c r="C48" s="133"/>
      <c r="D48" s="99" t="s">
        <v>90</v>
      </c>
      <c r="E48" s="101" t="s">
        <v>65</v>
      </c>
      <c r="F48" s="93">
        <v>948</v>
      </c>
      <c r="G48" s="102" t="s">
        <v>160</v>
      </c>
      <c r="H48" s="102" t="s">
        <v>161</v>
      </c>
      <c r="I48" s="103" t="s">
        <v>162</v>
      </c>
      <c r="J48" s="94"/>
      <c r="K48" s="94"/>
      <c r="L48" s="94"/>
      <c r="M48" s="109"/>
      <c r="N48" s="105">
        <f>ROUND(897*P4,0)</f>
        <v>969</v>
      </c>
    </row>
    <row r="49" spans="1:16" ht="13.5" customHeight="1" thickBot="1" x14ac:dyDescent="0.3">
      <c r="A49" s="129" t="s">
        <v>166</v>
      </c>
      <c r="B49" s="130"/>
      <c r="C49" s="130"/>
      <c r="D49" s="130"/>
      <c r="E49" s="131"/>
      <c r="F49" s="93"/>
      <c r="G49" s="94"/>
      <c r="H49" s="94"/>
      <c r="I49" s="103"/>
      <c r="J49" s="94"/>
      <c r="K49" s="94"/>
      <c r="L49" s="94"/>
      <c r="M49" s="109"/>
      <c r="N49" s="105"/>
    </row>
    <row r="50" spans="1:16" ht="25.5" customHeight="1" thickBot="1" x14ac:dyDescent="0.3">
      <c r="A50" s="112">
        <v>38</v>
      </c>
      <c r="B50" s="120">
        <v>6060</v>
      </c>
      <c r="C50" s="103" t="s">
        <v>167</v>
      </c>
      <c r="D50" s="99" t="s">
        <v>72</v>
      </c>
      <c r="E50" s="134" t="s">
        <v>65</v>
      </c>
      <c r="F50" s="93">
        <v>948</v>
      </c>
      <c r="G50" s="102" t="s">
        <v>168</v>
      </c>
      <c r="H50" s="103" t="s">
        <v>169</v>
      </c>
      <c r="I50" s="103" t="s">
        <v>170</v>
      </c>
      <c r="J50" s="94"/>
      <c r="K50" s="94"/>
      <c r="L50" s="94"/>
      <c r="M50" s="121"/>
      <c r="N50" s="105">
        <f>ROUND(897*P4,0)</f>
        <v>969</v>
      </c>
    </row>
    <row r="51" spans="1:16" ht="15" customHeight="1" thickBot="1" x14ac:dyDescent="0.3">
      <c r="A51" s="135"/>
      <c r="B51" s="136"/>
      <c r="C51" s="130" t="s">
        <v>171</v>
      </c>
      <c r="D51" s="130"/>
      <c r="E51" s="131"/>
      <c r="F51" s="137"/>
      <c r="G51" s="138"/>
      <c r="H51" s="139"/>
      <c r="I51" s="139"/>
      <c r="J51" s="140"/>
      <c r="K51" s="140"/>
      <c r="L51" s="140"/>
      <c r="M51" s="140"/>
      <c r="N51" s="141">
        <f>ROUND(SUM(N4:N50),0)</f>
        <v>36206</v>
      </c>
    </row>
    <row r="52" spans="1:16" ht="15" hidden="1" customHeight="1" thickBot="1" x14ac:dyDescent="0.3">
      <c r="A52" s="135"/>
      <c r="B52" s="142"/>
      <c r="C52" s="130" t="s">
        <v>172</v>
      </c>
      <c r="D52" s="130"/>
      <c r="E52" s="131"/>
      <c r="F52" s="143">
        <f>F53*1.18</f>
        <v>41799.14</v>
      </c>
      <c r="G52" s="144"/>
      <c r="H52" s="144"/>
      <c r="I52" s="144"/>
      <c r="J52" s="144"/>
      <c r="K52" s="144"/>
      <c r="L52" s="144"/>
      <c r="M52" s="144"/>
      <c r="N52" s="141">
        <f>N53-N51</f>
        <v>7241.1999999999971</v>
      </c>
    </row>
    <row r="53" spans="1:16" ht="15.75" thickBot="1" x14ac:dyDescent="0.3">
      <c r="A53" s="135"/>
      <c r="B53" s="142"/>
      <c r="C53" s="130" t="s">
        <v>173</v>
      </c>
      <c r="D53" s="130"/>
      <c r="E53" s="131"/>
      <c r="F53" s="145">
        <f>SUM(F4:F50)</f>
        <v>35423</v>
      </c>
      <c r="G53" s="145"/>
      <c r="H53" s="145"/>
      <c r="I53" s="145"/>
      <c r="J53" s="145"/>
      <c r="K53" s="145"/>
      <c r="L53" s="145"/>
      <c r="M53" s="145"/>
      <c r="N53" s="146">
        <f>ROUND(N51*1.2,2)</f>
        <v>43447.199999999997</v>
      </c>
      <c r="O53" s="147"/>
      <c r="P53" s="39"/>
    </row>
    <row r="54" spans="1:16" ht="9" customHeight="1" x14ac:dyDescent="0.25">
      <c r="A54" s="148"/>
      <c r="B54" s="28"/>
      <c r="C54" s="149"/>
      <c r="D54" s="149"/>
      <c r="E54" s="149"/>
      <c r="F54" s="145"/>
      <c r="G54" s="145"/>
      <c r="H54" s="145"/>
      <c r="I54" s="145"/>
      <c r="J54" s="145"/>
      <c r="K54" s="145"/>
      <c r="L54" s="145"/>
      <c r="M54" s="145"/>
      <c r="N54" s="150"/>
      <c r="O54" s="147"/>
    </row>
    <row r="55" spans="1:16" x14ac:dyDescent="0.25">
      <c r="N55" s="153">
        <f>N53/4</f>
        <v>10861.8</v>
      </c>
      <c r="O55" s="154" t="s">
        <v>44</v>
      </c>
    </row>
    <row r="56" spans="1:16" x14ac:dyDescent="0.25">
      <c r="F56" s="155">
        <f>F52-F53</f>
        <v>6376.1399999999994</v>
      </c>
      <c r="G56" s="156"/>
      <c r="H56" s="156"/>
      <c r="I56" s="156"/>
      <c r="J56" s="156"/>
      <c r="K56" s="156"/>
      <c r="L56" s="156"/>
      <c r="M56" s="156"/>
    </row>
  </sheetData>
  <mergeCells count="29">
    <mergeCell ref="C53:E53"/>
    <mergeCell ref="C45:C46"/>
    <mergeCell ref="M45:M50"/>
    <mergeCell ref="C47:C48"/>
    <mergeCell ref="A49:E49"/>
    <mergeCell ref="C51:E51"/>
    <mergeCell ref="C52:E52"/>
    <mergeCell ref="M18:M44"/>
    <mergeCell ref="A21:E21"/>
    <mergeCell ref="A27:E27"/>
    <mergeCell ref="B33:E33"/>
    <mergeCell ref="A36:E36"/>
    <mergeCell ref="B38:E38"/>
    <mergeCell ref="A40:E40"/>
    <mergeCell ref="C41:C42"/>
    <mergeCell ref="C43:C44"/>
    <mergeCell ref="M1:M2"/>
    <mergeCell ref="N1:N2"/>
    <mergeCell ref="A3:E3"/>
    <mergeCell ref="M4:M17"/>
    <mergeCell ref="C5:C8"/>
    <mergeCell ref="A9:E9"/>
    <mergeCell ref="A16:E16"/>
    <mergeCell ref="A1:A2"/>
    <mergeCell ref="B1:B2"/>
    <mergeCell ref="C1:C2"/>
    <mergeCell ref="D1:D2"/>
    <mergeCell ref="G1:I1"/>
    <mergeCell ref="J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88"/>
  <sheetViews>
    <sheetView tabSelected="1" zoomScaleNormal="100" workbookViewId="0">
      <selection activeCell="B83" sqref="B83:D88"/>
    </sheetView>
  </sheetViews>
  <sheetFormatPr defaultRowHeight="15" x14ac:dyDescent="0.25"/>
  <cols>
    <col min="1" max="1" width="5.42578125" customWidth="1"/>
    <col min="2" max="2" width="7.5703125" style="23" customWidth="1"/>
    <col min="3" max="3" width="45.7109375" style="68" customWidth="1"/>
    <col min="4" max="4" width="29.140625" style="23" customWidth="1"/>
    <col min="5" max="5" width="15" style="76" hidden="1" customWidth="1"/>
    <col min="6" max="7" width="15.28515625" style="76" customWidth="1"/>
    <col min="8" max="9" width="13.28515625" style="76" hidden="1" customWidth="1"/>
    <col min="10" max="10" width="7" customWidth="1"/>
    <col min="11" max="11" width="11.85546875" customWidth="1"/>
    <col min="12" max="12" width="7" customWidth="1"/>
    <col min="13" max="13" width="10.140625" style="3" customWidth="1"/>
    <col min="14" max="14" width="11" customWidth="1"/>
  </cols>
  <sheetData>
    <row r="2" spans="1:15" ht="15" customHeight="1" x14ac:dyDescent="0.25">
      <c r="B2" s="1" t="s">
        <v>0</v>
      </c>
      <c r="C2" s="1"/>
      <c r="D2" s="1"/>
      <c r="E2" s="1"/>
      <c r="F2" s="1"/>
      <c r="G2" s="1"/>
      <c r="H2" s="1"/>
      <c r="I2" s="2">
        <v>1.5172000000000001</v>
      </c>
    </row>
    <row r="4" spans="1:15" ht="30" customHeight="1" x14ac:dyDescent="0.25">
      <c r="B4" s="4" t="s">
        <v>1</v>
      </c>
      <c r="C4" s="4" t="s">
        <v>2</v>
      </c>
      <c r="D4" s="4" t="s">
        <v>3</v>
      </c>
      <c r="E4" s="5" t="s">
        <v>4</v>
      </c>
      <c r="F4" s="6" t="s">
        <v>4</v>
      </c>
      <c r="G4" s="6" t="s">
        <v>5</v>
      </c>
      <c r="H4" s="5" t="s">
        <v>5</v>
      </c>
      <c r="I4" s="7"/>
      <c r="K4" s="8">
        <v>1.08</v>
      </c>
      <c r="M4" s="158"/>
      <c r="N4" s="158"/>
      <c r="O4" s="28"/>
    </row>
    <row r="5" spans="1:15" ht="15" customHeight="1" x14ac:dyDescent="0.25">
      <c r="B5" s="10"/>
      <c r="C5" s="11" t="s">
        <v>6</v>
      </c>
      <c r="D5" s="10" t="s">
        <v>7</v>
      </c>
      <c r="E5" s="11"/>
      <c r="F5" s="11"/>
      <c r="G5" s="12">
        <f>G6+G7</f>
        <v>3928</v>
      </c>
      <c r="H5" s="12">
        <f>H6+H7</f>
        <v>14553.124176113894</v>
      </c>
      <c r="I5" s="13">
        <f>I6+I7</f>
        <v>14554</v>
      </c>
      <c r="M5" s="159"/>
      <c r="N5" s="160"/>
      <c r="O5" s="28"/>
    </row>
    <row r="6" spans="1:15" ht="15" customHeight="1" x14ac:dyDescent="0.25">
      <c r="B6" s="14">
        <v>1</v>
      </c>
      <c r="C6" s="15" t="s">
        <v>8</v>
      </c>
      <c r="D6" s="14"/>
      <c r="E6" s="16">
        <f>345*2/I2</f>
        <v>454.78513050355917</v>
      </c>
      <c r="F6" s="16">
        <f>ROUND(455*K4,0)</f>
        <v>491</v>
      </c>
      <c r="G6" s="16">
        <f>F6*4</f>
        <v>1964</v>
      </c>
      <c r="H6" s="17">
        <f>E6*4*4</f>
        <v>7276.5620880569468</v>
      </c>
      <c r="I6" s="18">
        <v>7277</v>
      </c>
      <c r="M6" s="159"/>
      <c r="N6" s="28"/>
      <c r="O6" s="28"/>
    </row>
    <row r="7" spans="1:15" ht="15" customHeight="1" x14ac:dyDescent="0.25">
      <c r="A7" s="19"/>
      <c r="B7" s="20">
        <v>2</v>
      </c>
      <c r="C7" s="21" t="s">
        <v>9</v>
      </c>
      <c r="D7" s="14"/>
      <c r="E7" s="16">
        <f>345*2/I2</f>
        <v>454.78513050355917</v>
      </c>
      <c r="F7" s="16">
        <f>ROUND(455*K4,0)</f>
        <v>491</v>
      </c>
      <c r="G7" s="16">
        <f>F7*4</f>
        <v>1964</v>
      </c>
      <c r="H7" s="17">
        <f>E7*4*4</f>
        <v>7276.5620880569468</v>
      </c>
      <c r="I7" s="18">
        <v>7277</v>
      </c>
      <c r="M7" s="159"/>
      <c r="N7" s="28"/>
      <c r="O7" s="28"/>
    </row>
    <row r="8" spans="1:15" ht="15" customHeight="1" x14ac:dyDescent="0.25">
      <c r="A8" s="19"/>
      <c r="B8" s="10"/>
      <c r="C8" s="11" t="s">
        <v>10</v>
      </c>
      <c r="D8" s="10" t="s">
        <v>11</v>
      </c>
      <c r="E8" s="22"/>
      <c r="F8" s="22"/>
      <c r="G8" s="12">
        <f>SUM(G9:G25)</f>
        <v>70644</v>
      </c>
      <c r="H8" s="12" t="e">
        <f>SUM(H9:H25)</f>
        <v>#DIV/0!</v>
      </c>
      <c r="I8" s="13">
        <f>SUM(I9:I25)</f>
        <v>65488</v>
      </c>
      <c r="M8" s="159"/>
      <c r="N8" s="161"/>
      <c r="O8" s="28"/>
    </row>
    <row r="9" spans="1:15" ht="15" customHeight="1" x14ac:dyDescent="0.25">
      <c r="A9" s="19"/>
      <c r="B9" s="20">
        <v>1</v>
      </c>
      <c r="C9" s="21" t="s">
        <v>12</v>
      </c>
      <c r="E9" s="24">
        <f>172*2/I2</f>
        <v>226.73345636699182</v>
      </c>
      <c r="F9" s="24">
        <f>ROUND(227*K4,0)</f>
        <v>245</v>
      </c>
      <c r="G9" s="24">
        <f>F9*12</f>
        <v>2940</v>
      </c>
      <c r="H9" s="16">
        <f t="shared" ref="H9:H25" si="0">E9*12</f>
        <v>2720.8014764039017</v>
      </c>
      <c r="I9" s="25">
        <v>2721</v>
      </c>
      <c r="M9" s="159"/>
      <c r="N9" s="28"/>
      <c r="O9" s="28"/>
    </row>
    <row r="10" spans="1:15" x14ac:dyDescent="0.25">
      <c r="A10" s="19"/>
      <c r="B10" s="20">
        <v>2</v>
      </c>
      <c r="C10" s="26" t="s">
        <v>13</v>
      </c>
      <c r="D10" s="14"/>
      <c r="E10" s="24">
        <f>86*2/I2</f>
        <v>113.36672818349591</v>
      </c>
      <c r="F10" s="24">
        <f>ROUND(113*K4,0)</f>
        <v>122</v>
      </c>
      <c r="G10" s="24">
        <f>F10*12</f>
        <v>1464</v>
      </c>
      <c r="H10" s="16">
        <f t="shared" si="0"/>
        <v>1360.4007382019508</v>
      </c>
      <c r="I10" s="25">
        <v>1360</v>
      </c>
      <c r="M10" s="159"/>
      <c r="N10" s="28"/>
      <c r="O10" s="28"/>
    </row>
    <row r="11" spans="1:15" x14ac:dyDescent="0.25">
      <c r="A11" s="19"/>
      <c r="B11" s="20">
        <v>3</v>
      </c>
      <c r="C11" s="26" t="s">
        <v>14</v>
      </c>
      <c r="D11" s="14"/>
      <c r="E11" s="24">
        <f>172*2/I2</f>
        <v>226.73345636699182</v>
      </c>
      <c r="F11" s="24">
        <f>ROUND(227*K4,0)</f>
        <v>245</v>
      </c>
      <c r="G11" s="24">
        <f>F11*12</f>
        <v>2940</v>
      </c>
      <c r="H11" s="16">
        <f t="shared" si="0"/>
        <v>2720.8014764039017</v>
      </c>
      <c r="I11" s="25">
        <v>2721</v>
      </c>
      <c r="J11" s="28"/>
      <c r="K11" s="28"/>
      <c r="L11" s="28"/>
      <c r="M11" s="159"/>
      <c r="N11" s="28"/>
      <c r="O11" s="28"/>
    </row>
    <row r="12" spans="1:15" x14ac:dyDescent="0.25">
      <c r="A12" s="19"/>
      <c r="B12" s="20">
        <v>4</v>
      </c>
      <c r="C12" s="26" t="s">
        <v>15</v>
      </c>
      <c r="D12" s="14"/>
      <c r="E12" s="24">
        <f>259*2/I2</f>
        <v>341.41840232006325</v>
      </c>
      <c r="F12" s="24">
        <f>ROUND(341*K4,0)</f>
        <v>368</v>
      </c>
      <c r="G12" s="24">
        <f t="shared" ref="G12:G25" si="1">F12*12</f>
        <v>4416</v>
      </c>
      <c r="H12" s="16">
        <f t="shared" si="0"/>
        <v>4097.020827840759</v>
      </c>
      <c r="I12" s="25">
        <v>4097</v>
      </c>
      <c r="J12" s="28"/>
      <c r="K12" s="28"/>
      <c r="L12" s="28"/>
      <c r="M12" s="159"/>
      <c r="N12" s="28"/>
      <c r="O12" s="28"/>
    </row>
    <row r="13" spans="1:15" ht="15" customHeight="1" x14ac:dyDescent="0.25">
      <c r="A13" s="19"/>
      <c r="B13" s="20">
        <v>5</v>
      </c>
      <c r="C13" s="26" t="s">
        <v>16</v>
      </c>
      <c r="D13" s="14"/>
      <c r="E13" s="24">
        <f>259*2/I2</f>
        <v>341.41840232006325</v>
      </c>
      <c r="F13" s="24">
        <f>ROUND(341*K4,0)</f>
        <v>368</v>
      </c>
      <c r="G13" s="24">
        <f t="shared" si="1"/>
        <v>4416</v>
      </c>
      <c r="H13" s="16">
        <f t="shared" si="0"/>
        <v>4097.020827840759</v>
      </c>
      <c r="I13" s="25">
        <v>4097</v>
      </c>
      <c r="J13" s="28"/>
      <c r="K13" s="28"/>
      <c r="L13" s="28"/>
      <c r="M13" s="159"/>
      <c r="N13" s="28"/>
      <c r="O13" s="28"/>
    </row>
    <row r="14" spans="1:15" x14ac:dyDescent="0.25">
      <c r="A14" s="19"/>
      <c r="B14" s="20">
        <v>6</v>
      </c>
      <c r="C14" s="26" t="s">
        <v>17</v>
      </c>
      <c r="D14" s="14"/>
      <c r="E14" s="24">
        <f>172*2/I2</f>
        <v>226.73345636699182</v>
      </c>
      <c r="F14" s="24">
        <f>ROUND(227*K4,0)</f>
        <v>245</v>
      </c>
      <c r="G14" s="24">
        <f t="shared" si="1"/>
        <v>2940</v>
      </c>
      <c r="H14" s="16">
        <f t="shared" si="0"/>
        <v>2720.8014764039017</v>
      </c>
      <c r="I14" s="25">
        <v>2721</v>
      </c>
      <c r="J14" s="28"/>
      <c r="K14" s="28"/>
      <c r="L14" s="28"/>
      <c r="M14" s="159"/>
      <c r="N14" s="28"/>
      <c r="O14" s="28"/>
    </row>
    <row r="15" spans="1:15" x14ac:dyDescent="0.25">
      <c r="A15" s="19"/>
      <c r="B15" s="20">
        <v>7</v>
      </c>
      <c r="C15" s="26" t="s">
        <v>8</v>
      </c>
      <c r="D15" s="14"/>
      <c r="E15" s="24">
        <f>345*2/I2</f>
        <v>454.78513050355917</v>
      </c>
      <c r="F15" s="16">
        <f>ROUND(455*K4,0)</f>
        <v>491</v>
      </c>
      <c r="G15" s="24">
        <f t="shared" si="1"/>
        <v>5892</v>
      </c>
      <c r="H15" s="16">
        <f t="shared" si="0"/>
        <v>5457.4215660427099</v>
      </c>
      <c r="I15" s="25">
        <v>5457</v>
      </c>
      <c r="J15" s="28"/>
      <c r="K15" s="28"/>
      <c r="L15" s="28"/>
      <c r="M15" s="159"/>
      <c r="N15" s="28"/>
      <c r="O15" s="28"/>
    </row>
    <row r="16" spans="1:15" x14ac:dyDescent="0.25">
      <c r="A16" s="19"/>
      <c r="B16" s="20">
        <v>8</v>
      </c>
      <c r="C16" s="26" t="s">
        <v>18</v>
      </c>
      <c r="D16" s="14"/>
      <c r="E16" s="24">
        <f>172*2/I2</f>
        <v>226.73345636699182</v>
      </c>
      <c r="F16" s="24">
        <f>ROUND(227*K4,0)</f>
        <v>245</v>
      </c>
      <c r="G16" s="24">
        <f t="shared" si="1"/>
        <v>2940</v>
      </c>
      <c r="H16" s="16">
        <f t="shared" si="0"/>
        <v>2720.8014764039017</v>
      </c>
      <c r="I16" s="25">
        <v>2721</v>
      </c>
      <c r="J16" s="28"/>
      <c r="K16" s="28"/>
      <c r="L16" s="28"/>
      <c r="M16" s="159"/>
      <c r="N16" s="28"/>
      <c r="O16" s="28"/>
    </row>
    <row r="17" spans="1:15" x14ac:dyDescent="0.25">
      <c r="A17" s="19"/>
      <c r="B17" s="20">
        <v>9</v>
      </c>
      <c r="C17" s="26" t="s">
        <v>19</v>
      </c>
      <c r="D17" s="14"/>
      <c r="E17" s="24">
        <f>259*2/I2</f>
        <v>341.41840232006325</v>
      </c>
      <c r="F17" s="24">
        <f>ROUND(341*K4,0)</f>
        <v>368</v>
      </c>
      <c r="G17" s="24">
        <f t="shared" si="1"/>
        <v>4416</v>
      </c>
      <c r="H17" s="16">
        <f t="shared" si="0"/>
        <v>4097.020827840759</v>
      </c>
      <c r="I17" s="25">
        <v>4097</v>
      </c>
      <c r="J17" s="28"/>
      <c r="K17" s="28"/>
      <c r="L17" s="28"/>
      <c r="M17" s="159"/>
      <c r="N17" s="28"/>
      <c r="O17" s="28"/>
    </row>
    <row r="18" spans="1:15" x14ac:dyDescent="0.25">
      <c r="A18" s="19"/>
      <c r="B18" s="20">
        <v>10</v>
      </c>
      <c r="C18" s="26" t="s">
        <v>20</v>
      </c>
      <c r="D18" s="14"/>
      <c r="E18" s="24">
        <f>259*2/I2</f>
        <v>341.41840232006325</v>
      </c>
      <c r="F18" s="24">
        <f>ROUND(341*K4,0)</f>
        <v>368</v>
      </c>
      <c r="G18" s="24">
        <f t="shared" si="1"/>
        <v>4416</v>
      </c>
      <c r="H18" s="16">
        <f t="shared" si="0"/>
        <v>4097.020827840759</v>
      </c>
      <c r="I18" s="25">
        <v>4097</v>
      </c>
      <c r="J18" s="28"/>
      <c r="K18" s="28"/>
      <c r="L18" s="28"/>
      <c r="M18" s="159"/>
      <c r="N18" s="28"/>
      <c r="O18" s="28"/>
    </row>
    <row r="19" spans="1:15" x14ac:dyDescent="0.25">
      <c r="A19" s="19"/>
      <c r="B19" s="20">
        <v>11</v>
      </c>
      <c r="C19" s="26" t="s">
        <v>21</v>
      </c>
      <c r="D19" s="14"/>
      <c r="E19" s="24">
        <f>259*2/I2</f>
        <v>341.41840232006325</v>
      </c>
      <c r="F19" s="24">
        <f>ROUND(341*K4,0)</f>
        <v>368</v>
      </c>
      <c r="G19" s="24">
        <f t="shared" si="1"/>
        <v>4416</v>
      </c>
      <c r="H19" s="16">
        <f t="shared" si="0"/>
        <v>4097.020827840759</v>
      </c>
      <c r="I19" s="25">
        <v>4097</v>
      </c>
      <c r="J19" s="28"/>
      <c r="K19" s="28"/>
      <c r="L19" s="28"/>
      <c r="M19" s="159"/>
      <c r="N19" s="28"/>
      <c r="O19" s="28"/>
    </row>
    <row r="20" spans="1:15" x14ac:dyDescent="0.25">
      <c r="A20" s="19"/>
      <c r="B20" s="20">
        <v>12</v>
      </c>
      <c r="C20" s="26" t="s">
        <v>22</v>
      </c>
      <c r="D20" s="27"/>
      <c r="E20" s="24">
        <f>259*2/I2</f>
        <v>341.41840232006325</v>
      </c>
      <c r="F20" s="24">
        <f>ROUND(341*K4,0)</f>
        <v>368</v>
      </c>
      <c r="G20" s="24">
        <f t="shared" si="1"/>
        <v>4416</v>
      </c>
      <c r="H20" s="16">
        <f t="shared" si="0"/>
        <v>4097.020827840759</v>
      </c>
      <c r="I20" s="25">
        <v>4097</v>
      </c>
      <c r="J20" s="28"/>
      <c r="K20" s="28"/>
      <c r="L20" s="28"/>
      <c r="M20" s="159"/>
      <c r="N20" s="28"/>
      <c r="O20" s="28"/>
    </row>
    <row r="21" spans="1:15" x14ac:dyDescent="0.25">
      <c r="A21" s="19"/>
      <c r="B21" s="20">
        <v>13</v>
      </c>
      <c r="C21" s="26" t="s">
        <v>23</v>
      </c>
      <c r="D21" s="27"/>
      <c r="E21" s="24">
        <f>259*2/I2</f>
        <v>341.41840232006325</v>
      </c>
      <c r="F21" s="24">
        <f>ROUND(341*K4,0)</f>
        <v>368</v>
      </c>
      <c r="G21" s="24">
        <f t="shared" si="1"/>
        <v>4416</v>
      </c>
      <c r="H21" s="16">
        <f t="shared" si="0"/>
        <v>4097.020827840759</v>
      </c>
      <c r="I21" s="25">
        <v>4097</v>
      </c>
      <c r="J21" s="28"/>
      <c r="K21" s="28"/>
      <c r="L21" s="28"/>
      <c r="M21" s="159"/>
      <c r="N21" s="28"/>
      <c r="O21" s="28"/>
    </row>
    <row r="22" spans="1:15" x14ac:dyDescent="0.25">
      <c r="A22" s="19"/>
      <c r="B22" s="20">
        <v>14</v>
      </c>
      <c r="C22" s="26" t="s">
        <v>24</v>
      </c>
      <c r="D22" s="27"/>
      <c r="E22" s="24">
        <f>345*2/I2</f>
        <v>454.78513050355917</v>
      </c>
      <c r="F22" s="16">
        <f>ROUND(455*K4,0)</f>
        <v>491</v>
      </c>
      <c r="G22" s="24">
        <f t="shared" si="1"/>
        <v>5892</v>
      </c>
      <c r="H22" s="16">
        <f t="shared" si="0"/>
        <v>5457.4215660427099</v>
      </c>
      <c r="I22" s="25">
        <v>5457</v>
      </c>
      <c r="J22" s="28"/>
      <c r="K22" s="28"/>
      <c r="L22" s="28"/>
      <c r="M22" s="159"/>
      <c r="N22" s="28"/>
      <c r="O22" s="28"/>
    </row>
    <row r="23" spans="1:15" x14ac:dyDescent="0.25">
      <c r="A23" s="19"/>
      <c r="B23" s="20">
        <v>15</v>
      </c>
      <c r="C23" s="26" t="s">
        <v>9</v>
      </c>
      <c r="D23" s="27"/>
      <c r="E23" s="24">
        <f>345*2/I2</f>
        <v>454.78513050355917</v>
      </c>
      <c r="F23" s="16">
        <f>ROUND(455*K4,0)</f>
        <v>491</v>
      </c>
      <c r="G23" s="24">
        <f t="shared" si="1"/>
        <v>5892</v>
      </c>
      <c r="H23" s="16">
        <f t="shared" si="0"/>
        <v>5457.4215660427099</v>
      </c>
      <c r="I23" s="25">
        <v>5457</v>
      </c>
      <c r="J23" s="28"/>
      <c r="K23" s="28"/>
      <c r="L23" s="28"/>
      <c r="M23" s="159"/>
      <c r="N23" s="28"/>
      <c r="O23" s="28"/>
    </row>
    <row r="24" spans="1:15" x14ac:dyDescent="0.25">
      <c r="A24" s="28"/>
      <c r="B24" s="14">
        <v>16</v>
      </c>
      <c r="C24" s="26" t="s">
        <v>25</v>
      </c>
      <c r="D24" s="27"/>
      <c r="E24" s="24" t="e">
        <f>259*2/I1</f>
        <v>#DIV/0!</v>
      </c>
      <c r="F24" s="24">
        <f>ROUND(341*K4,0)</f>
        <v>368</v>
      </c>
      <c r="G24" s="24">
        <f t="shared" si="1"/>
        <v>4416</v>
      </c>
      <c r="H24" s="16" t="e">
        <f t="shared" si="0"/>
        <v>#DIV/0!</v>
      </c>
      <c r="I24" s="25">
        <v>4097</v>
      </c>
      <c r="J24" s="28"/>
      <c r="K24" s="28"/>
      <c r="L24" s="28"/>
      <c r="M24" s="159"/>
      <c r="N24" s="28"/>
      <c r="O24" s="28"/>
    </row>
    <row r="25" spans="1:15" x14ac:dyDescent="0.25">
      <c r="A25" s="19"/>
      <c r="B25" s="29">
        <v>17</v>
      </c>
      <c r="C25" s="26" t="s">
        <v>26</v>
      </c>
      <c r="D25" s="27"/>
      <c r="E25" s="24">
        <f>259*2/I2</f>
        <v>341.41840232006325</v>
      </c>
      <c r="F25" s="24">
        <f>ROUND(341*K4,0)</f>
        <v>368</v>
      </c>
      <c r="G25" s="24">
        <f t="shared" si="1"/>
        <v>4416</v>
      </c>
      <c r="H25" s="16">
        <f t="shared" si="0"/>
        <v>4097.020827840759</v>
      </c>
      <c r="I25" s="25">
        <v>4097</v>
      </c>
      <c r="J25" s="28"/>
      <c r="K25" s="28"/>
      <c r="L25" s="28"/>
      <c r="M25" s="159"/>
      <c r="N25" s="28"/>
      <c r="O25" s="28"/>
    </row>
    <row r="26" spans="1:15" ht="15" customHeight="1" x14ac:dyDescent="0.25">
      <c r="B26" s="14"/>
      <c r="C26" s="11" t="s">
        <v>27</v>
      </c>
      <c r="D26" s="10" t="s">
        <v>28</v>
      </c>
      <c r="E26" s="30"/>
      <c r="F26" s="30"/>
      <c r="G26" s="12">
        <f>SUM(G27:G38)</f>
        <v>91224</v>
      </c>
      <c r="H26" s="12">
        <f>SUM(H27:H38)</f>
        <v>84566.306353809647</v>
      </c>
      <c r="I26" s="162">
        <f>SUM(I27:I38)</f>
        <v>84568</v>
      </c>
      <c r="J26" s="28"/>
      <c r="K26" s="28"/>
      <c r="L26" s="28"/>
      <c r="M26" s="159"/>
      <c r="N26" s="161"/>
      <c r="O26" s="28"/>
    </row>
    <row r="27" spans="1:15" x14ac:dyDescent="0.25">
      <c r="B27" s="14">
        <v>1</v>
      </c>
      <c r="C27" s="21" t="s">
        <v>12</v>
      </c>
      <c r="D27" s="27"/>
      <c r="E27" s="24">
        <f>172*2/I2</f>
        <v>226.73345636699182</v>
      </c>
      <c r="F27" s="24">
        <f>ROUND(227*K4,0)</f>
        <v>245</v>
      </c>
      <c r="G27" s="31">
        <f t="shared" ref="G27:G38" si="2">F27*2*12</f>
        <v>5880</v>
      </c>
      <c r="H27" s="32">
        <f>E27*2*12</f>
        <v>5441.6029528078034</v>
      </c>
      <c r="I27" s="25">
        <v>5442</v>
      </c>
      <c r="J27" s="28"/>
      <c r="K27" s="28"/>
      <c r="L27" s="28"/>
      <c r="M27" s="159"/>
      <c r="N27" s="28"/>
      <c r="O27" s="28"/>
    </row>
    <row r="28" spans="1:15" x14ac:dyDescent="0.25">
      <c r="B28" s="14">
        <v>2</v>
      </c>
      <c r="C28" s="26" t="s">
        <v>13</v>
      </c>
      <c r="D28" s="27"/>
      <c r="E28" s="24">
        <f>86*2/I2</f>
        <v>113.36672818349591</v>
      </c>
      <c r="F28" s="24">
        <f>ROUND(113*K4,0)</f>
        <v>122</v>
      </c>
      <c r="G28" s="31">
        <f t="shared" si="2"/>
        <v>2928</v>
      </c>
      <c r="H28" s="32">
        <f t="shared" ref="H28:H38" si="3">E28*2*12</f>
        <v>2720.8014764039017</v>
      </c>
      <c r="I28" s="25">
        <v>2721</v>
      </c>
    </row>
    <row r="29" spans="1:15" x14ac:dyDescent="0.25">
      <c r="B29" s="14">
        <v>3</v>
      </c>
      <c r="C29" s="26" t="s">
        <v>17</v>
      </c>
      <c r="D29" s="27"/>
      <c r="E29" s="24">
        <f>172*2/I2</f>
        <v>226.73345636699182</v>
      </c>
      <c r="F29" s="24">
        <f>ROUND(227*K4,0)</f>
        <v>245</v>
      </c>
      <c r="G29" s="31">
        <f t="shared" si="2"/>
        <v>5880</v>
      </c>
      <c r="H29" s="32">
        <f t="shared" si="3"/>
        <v>5441.6029528078034</v>
      </c>
      <c r="I29" s="25">
        <v>5442</v>
      </c>
    </row>
    <row r="30" spans="1:15" x14ac:dyDescent="0.25">
      <c r="B30" s="14">
        <v>4</v>
      </c>
      <c r="C30" s="26" t="s">
        <v>8</v>
      </c>
      <c r="D30" s="27"/>
      <c r="E30" s="24">
        <f>259*2/I2</f>
        <v>341.41840232006325</v>
      </c>
      <c r="F30" s="24">
        <f>ROUND(341*K4,0)</f>
        <v>368</v>
      </c>
      <c r="G30" s="31">
        <f t="shared" si="2"/>
        <v>8832</v>
      </c>
      <c r="H30" s="32">
        <f t="shared" si="3"/>
        <v>8194.041655681518</v>
      </c>
      <c r="I30" s="25">
        <v>8194</v>
      </c>
    </row>
    <row r="31" spans="1:15" x14ac:dyDescent="0.25">
      <c r="B31" s="14">
        <v>5</v>
      </c>
      <c r="C31" s="26" t="s">
        <v>19</v>
      </c>
      <c r="D31" s="27"/>
      <c r="E31" s="24">
        <f>259*2/I2</f>
        <v>341.41840232006325</v>
      </c>
      <c r="F31" s="24">
        <f>ROUND(341*K4,0)</f>
        <v>368</v>
      </c>
      <c r="G31" s="31">
        <f t="shared" si="2"/>
        <v>8832</v>
      </c>
      <c r="H31" s="32">
        <f t="shared" si="3"/>
        <v>8194.041655681518</v>
      </c>
      <c r="I31" s="25">
        <v>8194</v>
      </c>
    </row>
    <row r="32" spans="1:15" x14ac:dyDescent="0.25">
      <c r="B32" s="14">
        <v>6</v>
      </c>
      <c r="C32" s="21" t="s">
        <v>20</v>
      </c>
      <c r="D32" s="14"/>
      <c r="E32" s="24">
        <f>172*2/I2</f>
        <v>226.73345636699182</v>
      </c>
      <c r="F32" s="24">
        <f>ROUND(227*K4,0)</f>
        <v>245</v>
      </c>
      <c r="G32" s="31">
        <f t="shared" si="2"/>
        <v>5880</v>
      </c>
      <c r="H32" s="32">
        <f t="shared" si="3"/>
        <v>5441.6029528078034</v>
      </c>
      <c r="I32" s="25">
        <v>5442</v>
      </c>
    </row>
    <row r="33" spans="2:24" x14ac:dyDescent="0.25">
      <c r="B33" s="14">
        <v>7</v>
      </c>
      <c r="C33" s="21" t="s">
        <v>21</v>
      </c>
      <c r="D33" s="14"/>
      <c r="E33" s="24">
        <f>345*2/I2</f>
        <v>454.78513050355917</v>
      </c>
      <c r="F33" s="16">
        <f>ROUND(455*K4,0)</f>
        <v>491</v>
      </c>
      <c r="G33" s="31">
        <f t="shared" si="2"/>
        <v>11784</v>
      </c>
      <c r="H33" s="32">
        <f t="shared" si="3"/>
        <v>10914.84313208542</v>
      </c>
      <c r="I33" s="25">
        <v>10915</v>
      </c>
    </row>
    <row r="34" spans="2:24" x14ac:dyDescent="0.25">
      <c r="B34" s="14">
        <v>8</v>
      </c>
      <c r="C34" s="21" t="s">
        <v>22</v>
      </c>
      <c r="D34" s="14"/>
      <c r="E34" s="24">
        <f>172*2/I2</f>
        <v>226.73345636699182</v>
      </c>
      <c r="F34" s="24">
        <f>ROUND(227*K4,0)</f>
        <v>245</v>
      </c>
      <c r="G34" s="31">
        <f t="shared" si="2"/>
        <v>5880</v>
      </c>
      <c r="H34" s="32">
        <f t="shared" si="3"/>
        <v>5441.6029528078034</v>
      </c>
      <c r="I34" s="25">
        <v>5442</v>
      </c>
    </row>
    <row r="35" spans="2:24" x14ac:dyDescent="0.25">
      <c r="B35" s="14">
        <v>9</v>
      </c>
      <c r="C35" s="21" t="s">
        <v>23</v>
      </c>
      <c r="D35" s="14"/>
      <c r="E35" s="24">
        <f>259*2/I2</f>
        <v>341.41840232006325</v>
      </c>
      <c r="F35" s="24">
        <f>ROUND(341*K4,0)</f>
        <v>368</v>
      </c>
      <c r="G35" s="31">
        <f t="shared" si="2"/>
        <v>8832</v>
      </c>
      <c r="H35" s="32">
        <f t="shared" si="3"/>
        <v>8194.041655681518</v>
      </c>
      <c r="I35" s="25">
        <v>8194</v>
      </c>
      <c r="K35" s="28"/>
      <c r="L35" s="28"/>
      <c r="M35" s="159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</row>
    <row r="36" spans="2:24" x14ac:dyDescent="0.25">
      <c r="B36" s="14">
        <v>10</v>
      </c>
      <c r="C36" s="21" t="s">
        <v>24</v>
      </c>
      <c r="D36" s="14"/>
      <c r="E36" s="24">
        <f>259*2/I2</f>
        <v>341.41840232006325</v>
      </c>
      <c r="F36" s="24">
        <f>ROUND(341*K4,0)</f>
        <v>368</v>
      </c>
      <c r="G36" s="31">
        <f t="shared" si="2"/>
        <v>8832</v>
      </c>
      <c r="H36" s="32">
        <f t="shared" si="3"/>
        <v>8194.041655681518</v>
      </c>
      <c r="I36" s="25">
        <v>8194</v>
      </c>
      <c r="K36" s="28"/>
      <c r="L36" s="28"/>
      <c r="M36" s="159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</row>
    <row r="37" spans="2:24" x14ac:dyDescent="0.25">
      <c r="B37" s="14">
        <v>11</v>
      </c>
      <c r="C37" s="21" t="s">
        <v>9</v>
      </c>
      <c r="D37" s="14"/>
      <c r="E37" s="24">
        <f>259*2/I2</f>
        <v>341.41840232006325</v>
      </c>
      <c r="F37" s="24">
        <f>ROUND(341*K4,0)</f>
        <v>368</v>
      </c>
      <c r="G37" s="31">
        <f t="shared" si="2"/>
        <v>8832</v>
      </c>
      <c r="H37" s="32">
        <f t="shared" si="3"/>
        <v>8194.041655681518</v>
      </c>
      <c r="I37" s="25">
        <v>8194</v>
      </c>
      <c r="K37" s="28"/>
      <c r="L37" s="28"/>
      <c r="M37" s="159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</row>
    <row r="38" spans="2:24" x14ac:dyDescent="0.25">
      <c r="B38" s="14">
        <v>12</v>
      </c>
      <c r="C38" s="33" t="s">
        <v>25</v>
      </c>
      <c r="D38" s="29"/>
      <c r="E38" s="24">
        <f>259*2/I2</f>
        <v>341.41840232006325</v>
      </c>
      <c r="F38" s="24">
        <f>ROUND(341*K4,0)</f>
        <v>368</v>
      </c>
      <c r="G38" s="31">
        <f t="shared" si="2"/>
        <v>8832</v>
      </c>
      <c r="H38" s="32">
        <f t="shared" si="3"/>
        <v>8194.041655681518</v>
      </c>
      <c r="I38" s="25">
        <v>8194</v>
      </c>
      <c r="K38" s="28"/>
      <c r="L38" s="28"/>
      <c r="M38" s="159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</row>
    <row r="39" spans="2:24" ht="15" customHeight="1" x14ac:dyDescent="0.25">
      <c r="B39" s="10"/>
      <c r="C39" s="34" t="s">
        <v>29</v>
      </c>
      <c r="D39" s="10" t="s">
        <v>30</v>
      </c>
      <c r="E39" s="35"/>
      <c r="F39" s="36"/>
      <c r="G39" s="37">
        <f>SUM(G40:G57)</f>
        <v>182028</v>
      </c>
      <c r="H39" s="37">
        <f>SUM(H40:H57)</f>
        <v>168716.05589243342</v>
      </c>
      <c r="I39" s="38">
        <f>SUM(I40:I57)</f>
        <v>168720</v>
      </c>
      <c r="K39" s="28"/>
      <c r="L39" s="28"/>
      <c r="M39" s="159"/>
      <c r="N39" s="161"/>
      <c r="O39" s="163"/>
      <c r="P39" s="28"/>
      <c r="Q39" s="28"/>
      <c r="R39" s="28"/>
      <c r="S39" s="28"/>
      <c r="T39" s="28"/>
      <c r="U39" s="28"/>
      <c r="V39" s="28"/>
      <c r="W39" s="28"/>
      <c r="X39" s="28"/>
    </row>
    <row r="40" spans="2:24" x14ac:dyDescent="0.25">
      <c r="B40" s="14">
        <v>1</v>
      </c>
      <c r="C40" s="40" t="s">
        <v>12</v>
      </c>
      <c r="D40" s="41"/>
      <c r="E40" s="24">
        <f>172*2/I2</f>
        <v>226.73345636699182</v>
      </c>
      <c r="F40" s="24">
        <f>ROUND(227*K4,0)</f>
        <v>245</v>
      </c>
      <c r="G40" s="24">
        <f>F40*7*4</f>
        <v>6860</v>
      </c>
      <c r="H40" s="16">
        <f>E40*7*4</f>
        <v>6348.5367782757712</v>
      </c>
      <c r="I40" s="25">
        <v>6349</v>
      </c>
      <c r="K40" s="28"/>
      <c r="L40" s="28"/>
      <c r="M40" s="159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</row>
    <row r="41" spans="2:24" x14ac:dyDescent="0.25">
      <c r="B41" s="14">
        <v>2</v>
      </c>
      <c r="C41" s="40" t="s">
        <v>13</v>
      </c>
      <c r="D41" s="41"/>
      <c r="E41" s="24">
        <f>86*2/I2</f>
        <v>113.36672818349591</v>
      </c>
      <c r="F41" s="24">
        <f>ROUND(113*K4,0)</f>
        <v>122</v>
      </c>
      <c r="G41" s="24">
        <f t="shared" ref="G41:G57" si="4">F41*7*4</f>
        <v>3416</v>
      </c>
      <c r="H41" s="16">
        <f t="shared" ref="H41:H56" si="5">E41*7*4</f>
        <v>3174.2683891378856</v>
      </c>
      <c r="I41" s="25">
        <v>3174</v>
      </c>
      <c r="K41" s="28"/>
      <c r="L41" s="28"/>
      <c r="M41" s="159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</row>
    <row r="42" spans="2:24" x14ac:dyDescent="0.25">
      <c r="B42" s="14">
        <v>3</v>
      </c>
      <c r="C42" s="40" t="s">
        <v>14</v>
      </c>
      <c r="D42" s="41"/>
      <c r="E42" s="24">
        <f>172*2/I2</f>
        <v>226.73345636699182</v>
      </c>
      <c r="F42" s="24">
        <f>ROUND(227*K4,0)</f>
        <v>245</v>
      </c>
      <c r="G42" s="24">
        <f t="shared" si="4"/>
        <v>6860</v>
      </c>
      <c r="H42" s="16">
        <f t="shared" si="5"/>
        <v>6348.5367782757712</v>
      </c>
      <c r="I42" s="25">
        <v>6349</v>
      </c>
      <c r="K42" s="28"/>
      <c r="L42" s="28"/>
      <c r="M42" s="159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</row>
    <row r="43" spans="2:24" x14ac:dyDescent="0.25">
      <c r="B43" s="14">
        <v>4</v>
      </c>
      <c r="C43" s="40" t="s">
        <v>15</v>
      </c>
      <c r="D43" s="42"/>
      <c r="E43" s="24">
        <f>259*2/I2</f>
        <v>341.41840232006325</v>
      </c>
      <c r="F43" s="24">
        <f>ROUND(341*K4,0)</f>
        <v>368</v>
      </c>
      <c r="G43" s="24">
        <f t="shared" si="4"/>
        <v>10304</v>
      </c>
      <c r="H43" s="16">
        <f t="shared" si="5"/>
        <v>9559.715264961771</v>
      </c>
      <c r="I43" s="25">
        <v>9560</v>
      </c>
      <c r="K43" s="28"/>
      <c r="L43" s="28"/>
      <c r="M43" s="159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</row>
    <row r="44" spans="2:24" x14ac:dyDescent="0.25">
      <c r="B44" s="14">
        <v>5</v>
      </c>
      <c r="C44" s="40" t="s">
        <v>16</v>
      </c>
      <c r="D44" s="43"/>
      <c r="E44" s="24">
        <f>259*2/I2</f>
        <v>341.41840232006325</v>
      </c>
      <c r="F44" s="24">
        <f>ROUND(341*K4,0)</f>
        <v>368</v>
      </c>
      <c r="G44" s="24">
        <f t="shared" si="4"/>
        <v>10304</v>
      </c>
      <c r="H44" s="16">
        <f t="shared" si="5"/>
        <v>9559.715264961771</v>
      </c>
      <c r="I44" s="25">
        <v>9560</v>
      </c>
      <c r="K44" s="28"/>
      <c r="L44" s="28"/>
      <c r="M44" s="159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</row>
    <row r="45" spans="2:24" x14ac:dyDescent="0.25">
      <c r="B45" s="14">
        <v>6</v>
      </c>
      <c r="C45" s="40" t="s">
        <v>17</v>
      </c>
      <c r="D45" s="41"/>
      <c r="E45" s="24">
        <f>172*2/I2</f>
        <v>226.73345636699182</v>
      </c>
      <c r="F45" s="24">
        <f>ROUND(227*K4,0)</f>
        <v>245</v>
      </c>
      <c r="G45" s="24">
        <f t="shared" si="4"/>
        <v>6860</v>
      </c>
      <c r="H45" s="16">
        <f t="shared" si="5"/>
        <v>6348.5367782757712</v>
      </c>
      <c r="I45" s="25">
        <v>6349</v>
      </c>
      <c r="K45" s="28"/>
      <c r="L45" s="28"/>
      <c r="M45" s="159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</row>
    <row r="46" spans="2:24" x14ac:dyDescent="0.25">
      <c r="B46" s="14">
        <v>7</v>
      </c>
      <c r="C46" s="40" t="s">
        <v>8</v>
      </c>
      <c r="D46" s="41"/>
      <c r="E46" s="24">
        <f>345*2/I2</f>
        <v>454.78513050355917</v>
      </c>
      <c r="F46" s="16">
        <f>ROUND(455*K4,0)</f>
        <v>491</v>
      </c>
      <c r="G46" s="24">
        <f t="shared" si="4"/>
        <v>13748</v>
      </c>
      <c r="H46" s="16">
        <f t="shared" si="5"/>
        <v>12733.983654099657</v>
      </c>
      <c r="I46" s="25">
        <v>12734</v>
      </c>
      <c r="K46" s="28"/>
      <c r="L46" s="28"/>
      <c r="M46" s="159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2:24" x14ac:dyDescent="0.25">
      <c r="B47" s="14">
        <v>8</v>
      </c>
      <c r="C47" s="40" t="s">
        <v>18</v>
      </c>
      <c r="D47" s="41"/>
      <c r="E47" s="24">
        <f>172*2/I2</f>
        <v>226.73345636699182</v>
      </c>
      <c r="F47" s="24">
        <f>ROUND(227*K4,0)</f>
        <v>245</v>
      </c>
      <c r="G47" s="24">
        <f t="shared" si="4"/>
        <v>6860</v>
      </c>
      <c r="H47" s="16">
        <f t="shared" si="5"/>
        <v>6348.5367782757712</v>
      </c>
      <c r="I47" s="25">
        <v>6349</v>
      </c>
      <c r="K47" s="28"/>
      <c r="L47" s="28"/>
      <c r="M47" s="159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2:24" x14ac:dyDescent="0.25">
      <c r="B48" s="14">
        <v>9</v>
      </c>
      <c r="C48" s="40" t="s">
        <v>19</v>
      </c>
      <c r="D48" s="41"/>
      <c r="E48" s="24">
        <f>259*2/I2</f>
        <v>341.41840232006325</v>
      </c>
      <c r="F48" s="24">
        <f>ROUND(341*K4,0)</f>
        <v>368</v>
      </c>
      <c r="G48" s="24">
        <f t="shared" si="4"/>
        <v>10304</v>
      </c>
      <c r="H48" s="16">
        <f t="shared" si="5"/>
        <v>9559.715264961771</v>
      </c>
      <c r="I48" s="25">
        <v>9560</v>
      </c>
      <c r="K48" s="28"/>
      <c r="L48" s="28"/>
      <c r="M48" s="159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1:24" x14ac:dyDescent="0.25">
      <c r="B49" s="14">
        <v>10</v>
      </c>
      <c r="C49" s="40" t="s">
        <v>20</v>
      </c>
      <c r="D49" s="41"/>
      <c r="E49" s="24">
        <f>259*2/I2</f>
        <v>341.41840232006325</v>
      </c>
      <c r="F49" s="24">
        <f>ROUND(341*K4,0)</f>
        <v>368</v>
      </c>
      <c r="G49" s="24">
        <f t="shared" si="4"/>
        <v>10304</v>
      </c>
      <c r="H49" s="16">
        <f t="shared" si="5"/>
        <v>9559.715264961771</v>
      </c>
      <c r="I49" s="25">
        <v>9560</v>
      </c>
      <c r="K49" s="28"/>
      <c r="L49" s="28"/>
      <c r="M49" s="159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0" spans="1:24" x14ac:dyDescent="0.25">
      <c r="B50" s="14">
        <v>11</v>
      </c>
      <c r="C50" s="40" t="s">
        <v>21</v>
      </c>
      <c r="D50" s="41"/>
      <c r="E50" s="24">
        <f>259*2/I2</f>
        <v>341.41840232006325</v>
      </c>
      <c r="F50" s="24">
        <f>ROUND(341*K4,0)</f>
        <v>368</v>
      </c>
      <c r="G50" s="24">
        <f t="shared" si="4"/>
        <v>10304</v>
      </c>
      <c r="H50" s="16">
        <f t="shared" si="5"/>
        <v>9559.715264961771</v>
      </c>
      <c r="I50" s="25">
        <v>9560</v>
      </c>
      <c r="K50" s="28"/>
      <c r="L50" s="28"/>
      <c r="M50" s="159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</row>
    <row r="51" spans="1:24" x14ac:dyDescent="0.25">
      <c r="B51" s="14">
        <v>12</v>
      </c>
      <c r="C51" s="40" t="s">
        <v>22</v>
      </c>
      <c r="D51" s="41"/>
      <c r="E51" s="24">
        <f>259*2/I2</f>
        <v>341.41840232006325</v>
      </c>
      <c r="F51" s="24">
        <f>ROUND(341*K4,0)</f>
        <v>368</v>
      </c>
      <c r="G51" s="24">
        <f t="shared" si="4"/>
        <v>10304</v>
      </c>
      <c r="H51" s="16">
        <f t="shared" si="5"/>
        <v>9559.715264961771</v>
      </c>
      <c r="I51" s="25">
        <v>9560</v>
      </c>
      <c r="K51" s="28"/>
      <c r="L51" s="28"/>
      <c r="M51" s="159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</row>
    <row r="52" spans="1:24" x14ac:dyDescent="0.25">
      <c r="B52" s="14">
        <v>13</v>
      </c>
      <c r="C52" s="40" t="s">
        <v>23</v>
      </c>
      <c r="D52" s="41"/>
      <c r="E52" s="24">
        <f>259*2/I2</f>
        <v>341.41840232006325</v>
      </c>
      <c r="F52" s="24">
        <f>ROUND(341*K4,0)</f>
        <v>368</v>
      </c>
      <c r="G52" s="24">
        <f t="shared" si="4"/>
        <v>10304</v>
      </c>
      <c r="H52" s="16">
        <f t="shared" si="5"/>
        <v>9559.715264961771</v>
      </c>
      <c r="I52" s="25">
        <v>9560</v>
      </c>
      <c r="K52" s="28"/>
      <c r="L52" s="28"/>
      <c r="M52" s="159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</row>
    <row r="53" spans="1:24" x14ac:dyDescent="0.25">
      <c r="B53" s="14">
        <v>14</v>
      </c>
      <c r="C53" s="40" t="s">
        <v>24</v>
      </c>
      <c r="D53" s="41"/>
      <c r="E53" s="24">
        <f>345*2/I2</f>
        <v>454.78513050355917</v>
      </c>
      <c r="F53" s="16">
        <f>ROUND(455*K4,0)</f>
        <v>491</v>
      </c>
      <c r="G53" s="24">
        <f t="shared" si="4"/>
        <v>13748</v>
      </c>
      <c r="H53" s="16">
        <f t="shared" si="5"/>
        <v>12733.983654099657</v>
      </c>
      <c r="I53" s="25">
        <v>12734</v>
      </c>
      <c r="K53" s="28"/>
      <c r="L53" s="28"/>
      <c r="M53" s="159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1:24" x14ac:dyDescent="0.25">
      <c r="B54" s="14">
        <v>15</v>
      </c>
      <c r="C54" s="40" t="s">
        <v>9</v>
      </c>
      <c r="D54" s="41"/>
      <c r="E54" s="24">
        <f>345*2/I2</f>
        <v>454.78513050355917</v>
      </c>
      <c r="F54" s="16">
        <f>ROUND(455*K4,0)</f>
        <v>491</v>
      </c>
      <c r="G54" s="24">
        <f t="shared" si="4"/>
        <v>13748</v>
      </c>
      <c r="H54" s="16">
        <f t="shared" si="5"/>
        <v>12733.983654099657</v>
      </c>
      <c r="I54" s="25">
        <v>12734</v>
      </c>
      <c r="K54" s="28"/>
      <c r="L54" s="28"/>
      <c r="M54" s="159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  <row r="55" spans="1:24" x14ac:dyDescent="0.25">
      <c r="B55" s="14">
        <v>16</v>
      </c>
      <c r="C55" s="40" t="s">
        <v>25</v>
      </c>
      <c r="D55" s="41"/>
      <c r="E55" s="24">
        <f>259*2/I2</f>
        <v>341.41840232006325</v>
      </c>
      <c r="F55" s="24">
        <f>ROUND(341*K4,0)</f>
        <v>368</v>
      </c>
      <c r="G55" s="24">
        <f t="shared" si="4"/>
        <v>10304</v>
      </c>
      <c r="H55" s="16">
        <f t="shared" si="5"/>
        <v>9559.715264961771</v>
      </c>
      <c r="I55" s="25">
        <v>9560</v>
      </c>
      <c r="K55" s="28"/>
      <c r="L55" s="28"/>
      <c r="M55" s="159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</row>
    <row r="56" spans="1:24" ht="15" customHeight="1" x14ac:dyDescent="0.25">
      <c r="B56" s="14">
        <v>17</v>
      </c>
      <c r="C56" s="44" t="s">
        <v>31</v>
      </c>
      <c r="D56" s="41"/>
      <c r="E56" s="16">
        <f>345*2/I2</f>
        <v>454.78513050355917</v>
      </c>
      <c r="F56" s="16">
        <f>ROUND(455*K4,0)</f>
        <v>491</v>
      </c>
      <c r="G56" s="24">
        <f t="shared" si="4"/>
        <v>13748</v>
      </c>
      <c r="H56" s="16">
        <f t="shared" si="5"/>
        <v>12733.983654099657</v>
      </c>
      <c r="I56" s="25">
        <v>12734</v>
      </c>
      <c r="K56" s="28"/>
      <c r="L56" s="28"/>
      <c r="M56" s="159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</row>
    <row r="57" spans="1:24" x14ac:dyDescent="0.25">
      <c r="B57" s="14">
        <v>18</v>
      </c>
      <c r="C57" s="45" t="s">
        <v>32</v>
      </c>
      <c r="D57" s="41"/>
      <c r="E57" s="16">
        <f>345*2/I2</f>
        <v>454.78513050355917</v>
      </c>
      <c r="F57" s="16">
        <f>ROUND(455*K4,0)</f>
        <v>491</v>
      </c>
      <c r="G57" s="24">
        <f t="shared" si="4"/>
        <v>13748</v>
      </c>
      <c r="H57" s="16">
        <f>E57*7*4</f>
        <v>12733.983654099657</v>
      </c>
      <c r="I57" s="25">
        <v>12734</v>
      </c>
      <c r="K57" s="28"/>
      <c r="L57" s="28"/>
      <c r="M57" s="159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</row>
    <row r="58" spans="1:24" x14ac:dyDescent="0.25">
      <c r="B58" s="46"/>
      <c r="C58" s="47"/>
      <c r="D58" s="48" t="s">
        <v>33</v>
      </c>
      <c r="E58" s="49"/>
      <c r="F58" s="49"/>
      <c r="G58" s="9">
        <f>G39+G8+G5+G26</f>
        <v>347824</v>
      </c>
      <c r="H58" s="50" t="e">
        <f>H39+H8+H5+H26</f>
        <v>#DIV/0!</v>
      </c>
      <c r="I58" s="51">
        <f>I39+I8+I5+I26</f>
        <v>333330</v>
      </c>
      <c r="K58" s="28"/>
      <c r="L58" s="28"/>
      <c r="M58" s="159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</row>
    <row r="59" spans="1:24" x14ac:dyDescent="0.25">
      <c r="B59" s="46"/>
      <c r="C59" s="47"/>
      <c r="D59" s="48" t="s">
        <v>34</v>
      </c>
      <c r="E59" s="49"/>
      <c r="F59" s="49"/>
      <c r="G59" s="9">
        <f>G58*1.2</f>
        <v>417388.79999999999</v>
      </c>
      <c r="H59" s="50" t="e">
        <f>H58*1.18</f>
        <v>#DIV/0!</v>
      </c>
      <c r="I59" s="52">
        <f>I58*1.18</f>
        <v>393329.39999999997</v>
      </c>
      <c r="K59" s="28"/>
      <c r="L59" s="28"/>
      <c r="M59" s="159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</row>
    <row r="60" spans="1:24" x14ac:dyDescent="0.25">
      <c r="B60" s="41"/>
      <c r="C60" s="53"/>
      <c r="D60" s="54"/>
      <c r="E60" s="55"/>
      <c r="F60" s="55"/>
      <c r="G60" s="55"/>
      <c r="H60" s="55"/>
      <c r="I60" s="55"/>
      <c r="J60" s="56"/>
      <c r="K60" s="28"/>
      <c r="L60" s="164"/>
      <c r="M60" s="159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</row>
    <row r="61" spans="1:24" ht="15.75" x14ac:dyDescent="0.25">
      <c r="B61" s="57" t="s">
        <v>35</v>
      </c>
      <c r="C61" s="57"/>
      <c r="D61" s="57"/>
      <c r="E61" s="57"/>
      <c r="F61" s="57"/>
      <c r="G61" s="57"/>
      <c r="H61" s="57"/>
      <c r="I61" s="58"/>
      <c r="J61" s="56"/>
      <c r="K61" s="28"/>
      <c r="L61" s="164"/>
      <c r="M61" s="159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</row>
    <row r="62" spans="1:24" x14ac:dyDescent="0.25">
      <c r="B62" s="41"/>
      <c r="C62" s="53"/>
      <c r="D62" s="41"/>
      <c r="E62" s="55"/>
      <c r="F62" s="55"/>
      <c r="G62" s="55"/>
      <c r="H62" s="55"/>
      <c r="I62" s="55"/>
      <c r="K62" s="28"/>
      <c r="L62" s="28"/>
      <c r="M62" s="159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</row>
    <row r="63" spans="1:24" ht="30" x14ac:dyDescent="0.25">
      <c r="A63" s="28"/>
      <c r="B63" s="4" t="s">
        <v>1</v>
      </c>
      <c r="C63" s="4" t="s">
        <v>36</v>
      </c>
      <c r="D63" s="4" t="s">
        <v>3</v>
      </c>
      <c r="E63" s="5" t="s">
        <v>4</v>
      </c>
      <c r="F63" s="6" t="s">
        <v>4</v>
      </c>
      <c r="G63" s="6" t="s">
        <v>5</v>
      </c>
      <c r="H63" s="5" t="s">
        <v>5</v>
      </c>
      <c r="I63" s="7"/>
      <c r="J63" s="28"/>
      <c r="K63" s="28"/>
      <c r="L63" s="28"/>
      <c r="M63" s="159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</row>
    <row r="64" spans="1:24" ht="15" customHeight="1" x14ac:dyDescent="0.25">
      <c r="A64" s="28"/>
      <c r="B64" s="59"/>
      <c r="C64" s="11" t="s">
        <v>37</v>
      </c>
      <c r="D64" s="60" t="s">
        <v>38</v>
      </c>
      <c r="E64" s="61"/>
      <c r="F64" s="61"/>
      <c r="G64" s="61"/>
      <c r="H64" s="61"/>
      <c r="I64" s="7"/>
      <c r="J64" s="28"/>
      <c r="K64" s="28"/>
      <c r="L64" s="28"/>
      <c r="M64" s="165"/>
      <c r="N64" s="165"/>
      <c r="O64" s="28"/>
      <c r="P64" s="28"/>
      <c r="Q64" s="28"/>
      <c r="R64" s="28"/>
      <c r="S64" s="28"/>
      <c r="T64" s="28"/>
      <c r="U64" s="28"/>
      <c r="V64" s="28"/>
      <c r="W64" s="28"/>
      <c r="X64" s="28"/>
    </row>
    <row r="65" spans="1:24" x14ac:dyDescent="0.25">
      <c r="A65" s="28"/>
      <c r="B65" s="14">
        <v>1</v>
      </c>
      <c r="C65" s="62" t="s">
        <v>39</v>
      </c>
      <c r="E65" s="16">
        <f>10150/I2</f>
        <v>6689.9551805958336</v>
      </c>
      <c r="F65" s="16">
        <f>ROUND(6880*K4,0)</f>
        <v>7430</v>
      </c>
      <c r="G65" s="16">
        <f>F65*2</f>
        <v>14860</v>
      </c>
      <c r="H65" s="16">
        <f>E65*2</f>
        <v>13379.910361191667</v>
      </c>
      <c r="I65" s="25">
        <v>13380</v>
      </c>
      <c r="J65" s="28"/>
      <c r="K65" s="28"/>
      <c r="L65" s="28"/>
      <c r="M65" s="159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</row>
    <row r="66" spans="1:24" x14ac:dyDescent="0.25">
      <c r="A66" s="28"/>
      <c r="B66" s="14">
        <v>2</v>
      </c>
      <c r="C66" s="62" t="s">
        <v>40</v>
      </c>
      <c r="D66" s="14"/>
      <c r="E66" s="16">
        <f>10150/I2</f>
        <v>6689.9551805958336</v>
      </c>
      <c r="F66" s="16">
        <f>ROUND(6880*K4,0)</f>
        <v>7430</v>
      </c>
      <c r="G66" s="16">
        <f t="shared" ref="G66:G68" si="6">F66*2</f>
        <v>14860</v>
      </c>
      <c r="H66" s="16">
        <f t="shared" ref="H66:H69" si="7">E66*2</f>
        <v>13379.910361191667</v>
      </c>
      <c r="I66" s="25">
        <v>13380</v>
      </c>
      <c r="J66" s="28"/>
      <c r="K66" s="28"/>
      <c r="L66" s="28"/>
      <c r="M66" s="159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</row>
    <row r="67" spans="1:24" x14ac:dyDescent="0.25">
      <c r="A67" s="28"/>
      <c r="B67" s="14">
        <v>3</v>
      </c>
      <c r="C67" s="62" t="s">
        <v>41</v>
      </c>
      <c r="D67" s="14"/>
      <c r="E67" s="16">
        <f>885*2/I2</f>
        <v>1166.6227260743474</v>
      </c>
      <c r="F67" s="16">
        <f>ROUND(1167*K4,0)</f>
        <v>1260</v>
      </c>
      <c r="G67" s="16">
        <f t="shared" si="6"/>
        <v>2520</v>
      </c>
      <c r="H67" s="16">
        <f t="shared" si="7"/>
        <v>2333.2454521486948</v>
      </c>
      <c r="I67" s="25">
        <v>2333</v>
      </c>
      <c r="J67" s="28"/>
      <c r="K67" s="28"/>
      <c r="L67" s="28"/>
      <c r="M67" s="159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1:24" x14ac:dyDescent="0.25">
      <c r="A68" s="28"/>
      <c r="B68" s="14">
        <v>4</v>
      </c>
      <c r="C68" s="62" t="s">
        <v>42</v>
      </c>
      <c r="D68" s="14"/>
      <c r="E68" s="16">
        <f>(885+26260)/I2</f>
        <v>17891.510677563932</v>
      </c>
      <c r="F68" s="16">
        <f>ROUND(17892*K4,0)</f>
        <v>19323</v>
      </c>
      <c r="G68" s="16">
        <f t="shared" si="6"/>
        <v>38646</v>
      </c>
      <c r="H68" s="16">
        <f t="shared" si="7"/>
        <v>35783.021355127865</v>
      </c>
      <c r="I68" s="25">
        <v>35783</v>
      </c>
      <c r="J68" s="28"/>
      <c r="K68" s="28"/>
      <c r="L68" s="28"/>
      <c r="M68" s="159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1:24" x14ac:dyDescent="0.25">
      <c r="A69" s="28"/>
      <c r="B69" s="14">
        <v>5</v>
      </c>
      <c r="C69" s="63" t="s">
        <v>43</v>
      </c>
      <c r="D69" s="29"/>
      <c r="E69" s="64">
        <f>1234/I2</f>
        <v>813.34036382810439</v>
      </c>
      <c r="F69" s="16">
        <f>ROUND(813*K4,0)</f>
        <v>878</v>
      </c>
      <c r="G69" s="16">
        <f>F69*2</f>
        <v>1756</v>
      </c>
      <c r="H69" s="16">
        <f t="shared" si="7"/>
        <v>1626.6807276562088</v>
      </c>
      <c r="I69" s="25">
        <v>1627</v>
      </c>
      <c r="J69" s="28"/>
      <c r="K69" s="28"/>
      <c r="L69" s="28"/>
      <c r="M69" s="159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</row>
    <row r="70" spans="1:24" x14ac:dyDescent="0.25">
      <c r="A70" s="28"/>
      <c r="B70" s="46"/>
      <c r="C70" s="47"/>
      <c r="D70" s="48" t="s">
        <v>33</v>
      </c>
      <c r="E70" s="65"/>
      <c r="F70" s="65"/>
      <c r="G70" s="9">
        <f>SUM(G65:G69)</f>
        <v>72642</v>
      </c>
      <c r="H70" s="50">
        <f>SUM(H65:H69)</f>
        <v>66502.7682573161</v>
      </c>
      <c r="I70" s="51">
        <f>SUM(I65:I69)</f>
        <v>66503</v>
      </c>
      <c r="J70" s="28"/>
      <c r="K70" s="28"/>
      <c r="L70" s="28"/>
      <c r="M70" s="159"/>
      <c r="N70" s="160"/>
      <c r="O70" s="28"/>
      <c r="P70" s="28"/>
      <c r="Q70" s="28"/>
      <c r="R70" s="28"/>
      <c r="S70" s="28"/>
      <c r="T70" s="28"/>
      <c r="U70" s="28"/>
      <c r="V70" s="28"/>
      <c r="W70" s="28"/>
      <c r="X70" s="28"/>
    </row>
    <row r="71" spans="1:24" x14ac:dyDescent="0.25">
      <c r="A71" s="28"/>
      <c r="B71" s="46"/>
      <c r="C71" s="47"/>
      <c r="D71" s="54" t="s">
        <v>34</v>
      </c>
      <c r="E71" s="65"/>
      <c r="F71" s="65"/>
      <c r="G71" s="9">
        <f>G70*1.2</f>
        <v>87170.4</v>
      </c>
      <c r="H71" s="50">
        <f>H70*1.18</f>
        <v>78473.266543632999</v>
      </c>
      <c r="I71" s="52">
        <f>I70*1.18</f>
        <v>78473.539999999994</v>
      </c>
      <c r="J71" s="28"/>
      <c r="K71" s="28"/>
      <c r="L71" s="28"/>
      <c r="M71" s="159"/>
      <c r="N71" s="160"/>
      <c r="O71" s="28"/>
      <c r="P71" s="28"/>
      <c r="Q71" s="28"/>
      <c r="R71" s="28"/>
      <c r="S71" s="28"/>
      <c r="T71" s="28"/>
      <c r="U71" s="28"/>
      <c r="V71" s="28"/>
      <c r="W71" s="28"/>
      <c r="X71" s="28"/>
    </row>
    <row r="72" spans="1:24" x14ac:dyDescent="0.25">
      <c r="A72" s="28"/>
      <c r="B72" s="46"/>
      <c r="C72" s="47"/>
      <c r="D72" s="48" t="s">
        <v>45</v>
      </c>
      <c r="E72" s="65"/>
      <c r="F72" s="65"/>
      <c r="G72" s="9">
        <f>G59+G71</f>
        <v>504559.19999999995</v>
      </c>
      <c r="H72" s="50" t="e">
        <f>H59+H71</f>
        <v>#DIV/0!</v>
      </c>
      <c r="I72" s="52">
        <f>I59+I71</f>
        <v>471802.93999999994</v>
      </c>
      <c r="J72" s="28"/>
      <c r="K72" s="28"/>
      <c r="L72" s="28"/>
      <c r="M72" s="159"/>
      <c r="N72" s="163"/>
      <c r="O72" s="28"/>
      <c r="P72" s="28"/>
      <c r="Q72" s="28"/>
      <c r="R72" s="28"/>
      <c r="S72" s="28"/>
      <c r="T72" s="28"/>
      <c r="U72" s="28"/>
      <c r="V72" s="28"/>
      <c r="W72" s="28"/>
      <c r="X72" s="28"/>
    </row>
    <row r="73" spans="1:24" x14ac:dyDescent="0.25">
      <c r="A73" s="28"/>
      <c r="B73" s="41"/>
      <c r="C73" s="53"/>
      <c r="D73" s="41"/>
      <c r="E73" s="55" t="s">
        <v>44</v>
      </c>
      <c r="F73" s="55"/>
      <c r="G73" s="55"/>
      <c r="H73" s="66" t="e">
        <f>H72/4</f>
        <v>#DIV/0!</v>
      </c>
      <c r="I73" s="55"/>
      <c r="J73" s="28"/>
      <c r="K73" s="28"/>
      <c r="L73" s="28"/>
      <c r="M73" s="159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</row>
    <row r="74" spans="1:24" x14ac:dyDescent="0.25">
      <c r="A74" s="28"/>
      <c r="B74" s="41"/>
      <c r="C74" s="53"/>
      <c r="D74" s="41"/>
      <c r="E74" s="55"/>
      <c r="F74" s="55"/>
      <c r="G74" s="55"/>
      <c r="H74" s="67">
        <v>33271</v>
      </c>
      <c r="I74" s="67">
        <v>33271</v>
      </c>
      <c r="J74" s="28"/>
      <c r="K74" s="28"/>
      <c r="L74" s="28"/>
    </row>
    <row r="75" spans="1:24" x14ac:dyDescent="0.25">
      <c r="A75" s="28"/>
      <c r="B75" s="41"/>
      <c r="C75" s="53"/>
      <c r="D75" s="41"/>
      <c r="E75" s="55"/>
      <c r="F75" s="55"/>
      <c r="G75" s="55"/>
      <c r="H75" s="66" t="e">
        <f>H58+H70+H74</f>
        <v>#DIV/0!</v>
      </c>
      <c r="I75" s="67">
        <f>I58+I70+H74</f>
        <v>433104</v>
      </c>
      <c r="J75" s="28"/>
      <c r="K75" s="28"/>
      <c r="L75" s="28"/>
    </row>
    <row r="76" spans="1:24" ht="15.75" x14ac:dyDescent="0.25">
      <c r="A76" s="28"/>
      <c r="B76" s="41"/>
      <c r="E76" s="55"/>
      <c r="F76" s="55"/>
      <c r="G76" s="69" t="s">
        <v>33</v>
      </c>
      <c r="H76" s="55"/>
      <c r="I76" s="55"/>
      <c r="J76" s="28"/>
      <c r="K76" s="28"/>
      <c r="L76" s="28"/>
    </row>
    <row r="77" spans="1:24" x14ac:dyDescent="0.25">
      <c r="A77" s="28"/>
      <c r="B77" s="41"/>
      <c r="C77" s="53"/>
      <c r="D77" s="41"/>
      <c r="E77" s="66"/>
      <c r="F77" s="66"/>
      <c r="G77" s="66">
        <f>G58+G70</f>
        <v>420466</v>
      </c>
      <c r="H77" s="66">
        <f>499504+102038</f>
        <v>601542</v>
      </c>
      <c r="I77" s="55"/>
      <c r="J77" s="28" t="s">
        <v>46</v>
      </c>
      <c r="K77" s="28"/>
      <c r="L77" s="3"/>
    </row>
    <row r="78" spans="1:24" x14ac:dyDescent="0.25">
      <c r="A78" s="28"/>
      <c r="B78" s="41"/>
      <c r="C78" s="53"/>
      <c r="D78" s="41"/>
      <c r="E78" s="66"/>
      <c r="F78" s="66"/>
      <c r="G78" s="66">
        <f>'Воздух 2021'!N51</f>
        <v>36206</v>
      </c>
      <c r="H78" s="70">
        <v>50848</v>
      </c>
      <c r="I78" s="55"/>
      <c r="J78" s="28" t="s">
        <v>47</v>
      </c>
      <c r="K78" s="28"/>
      <c r="L78" s="28"/>
    </row>
    <row r="79" spans="1:24" x14ac:dyDescent="0.25">
      <c r="A79" s="28"/>
      <c r="B79" s="41"/>
      <c r="C79" s="53"/>
      <c r="D79" s="41"/>
      <c r="E79" s="66">
        <v>430000</v>
      </c>
      <c r="F79" s="66">
        <f>1.2*G79</f>
        <v>548006.40000000002</v>
      </c>
      <c r="G79" s="67">
        <f>G77+G78</f>
        <v>456672</v>
      </c>
      <c r="H79" s="66">
        <f>SUM(H77:H78)</f>
        <v>652390</v>
      </c>
      <c r="I79" s="55"/>
      <c r="J79" s="28" t="s">
        <v>48</v>
      </c>
    </row>
    <row r="80" spans="1:24" x14ac:dyDescent="0.25">
      <c r="A80" s="28"/>
      <c r="B80" s="41"/>
      <c r="C80" s="53"/>
      <c r="D80" s="41"/>
      <c r="E80" s="66"/>
      <c r="F80" s="66"/>
      <c r="G80" s="66"/>
      <c r="H80" s="66">
        <f>H79/1.517</f>
        <v>430052.73566249176</v>
      </c>
      <c r="I80" s="55"/>
      <c r="J80" s="28"/>
      <c r="K80" s="28"/>
      <c r="L80" s="28"/>
    </row>
    <row r="81" spans="1:15" x14ac:dyDescent="0.25">
      <c r="A81" s="28"/>
      <c r="B81" s="41"/>
      <c r="C81" s="53"/>
      <c r="D81" s="41"/>
      <c r="E81" s="55"/>
      <c r="F81" s="55"/>
      <c r="G81" s="71">
        <v>43447.199999999997</v>
      </c>
      <c r="H81" s="55"/>
      <c r="I81" s="55"/>
      <c r="J81" s="28" t="s">
        <v>49</v>
      </c>
      <c r="K81" s="28"/>
      <c r="L81" s="28"/>
    </row>
    <row r="82" spans="1:15" x14ac:dyDescent="0.25">
      <c r="A82" s="28"/>
      <c r="B82" s="41"/>
      <c r="C82" s="53"/>
      <c r="D82" s="41"/>
      <c r="E82" s="55"/>
      <c r="F82" s="55"/>
      <c r="G82" s="71">
        <f>G72</f>
        <v>504559.19999999995</v>
      </c>
      <c r="H82" s="55"/>
      <c r="I82" s="55"/>
      <c r="J82" s="28" t="s">
        <v>50</v>
      </c>
      <c r="K82" s="28"/>
      <c r="L82" s="28"/>
    </row>
    <row r="83" spans="1:15" s="3" customFormat="1" ht="15.75" x14ac:dyDescent="0.25">
      <c r="A83" s="28"/>
      <c r="B83" s="166"/>
      <c r="C83" s="167"/>
      <c r="D83" s="166"/>
      <c r="E83" s="55"/>
      <c r="F83" s="55"/>
      <c r="G83" s="72">
        <f>SUM(G81:G82)</f>
        <v>548006.39999999991</v>
      </c>
      <c r="H83" s="55"/>
      <c r="I83" s="55"/>
      <c r="J83" s="28" t="s">
        <v>51</v>
      </c>
      <c r="K83" s="28"/>
      <c r="L83" s="28"/>
      <c r="N83"/>
      <c r="O83"/>
    </row>
    <row r="84" spans="1:15" s="3" customFormat="1" x14ac:dyDescent="0.25">
      <c r="A84" s="28"/>
      <c r="B84" s="166"/>
      <c r="C84" s="167"/>
      <c r="D84" s="166"/>
      <c r="E84" s="55"/>
      <c r="F84" s="55"/>
      <c r="G84" s="73">
        <f>G83/4</f>
        <v>137001.59999999998</v>
      </c>
      <c r="H84" s="55"/>
      <c r="I84" s="55"/>
      <c r="J84" s="74" t="s">
        <v>44</v>
      </c>
      <c r="K84" s="28"/>
      <c r="L84" s="28"/>
      <c r="N84"/>
      <c r="O84"/>
    </row>
    <row r="85" spans="1:15" s="3" customFormat="1" x14ac:dyDescent="0.25">
      <c r="A85" s="28"/>
      <c r="B85" s="166"/>
      <c r="C85" s="168"/>
      <c r="D85" s="166"/>
      <c r="E85" s="75"/>
      <c r="F85" s="75"/>
      <c r="G85" s="75"/>
      <c r="H85" s="75"/>
      <c r="I85" s="75"/>
      <c r="J85" s="28"/>
      <c r="K85" s="28"/>
      <c r="L85" s="28"/>
      <c r="N85"/>
      <c r="O85"/>
    </row>
    <row r="86" spans="1:15" s="3" customFormat="1" ht="16.5" customHeight="1" x14ac:dyDescent="0.25">
      <c r="A86" s="28"/>
      <c r="B86" s="166"/>
      <c r="C86" s="169"/>
      <c r="D86" s="170"/>
      <c r="E86" s="75"/>
      <c r="F86" s="75"/>
      <c r="G86" s="75"/>
      <c r="H86" s="75"/>
      <c r="I86" s="75"/>
      <c r="J86" s="28"/>
      <c r="K86" s="28"/>
      <c r="L86" s="28"/>
      <c r="N86"/>
      <c r="O86"/>
    </row>
    <row r="87" spans="1:15" s="3" customFormat="1" x14ac:dyDescent="0.25">
      <c r="A87" s="28"/>
      <c r="B87" s="166"/>
      <c r="C87" s="167"/>
      <c r="D87" s="166"/>
      <c r="E87" s="55"/>
      <c r="F87" s="55"/>
      <c r="G87" s="55"/>
      <c r="H87" s="55"/>
      <c r="I87" s="55"/>
      <c r="J87" s="28"/>
      <c r="K87" s="28"/>
      <c r="L87" s="28"/>
      <c r="N87"/>
      <c r="O87"/>
    </row>
    <row r="88" spans="1:15" x14ac:dyDescent="0.25">
      <c r="B88" s="166"/>
      <c r="C88" s="167"/>
      <c r="D88" s="166"/>
    </row>
  </sheetData>
  <mergeCells count="2">
    <mergeCell ref="B2:H2"/>
    <mergeCell ref="B61:H61"/>
  </mergeCells>
  <pageMargins left="0" right="0" top="0" bottom="0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Воздух 2021</vt:lpstr>
      <vt:lpstr>Приложение 2021</vt:lpstr>
      <vt:lpstr>'Воздух 2021'!_GoBack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Markelova</dc:creator>
  <cp:lastModifiedBy>Markelova</cp:lastModifiedBy>
  <dcterms:created xsi:type="dcterms:W3CDTF">2021-03-01T05:44:16Z</dcterms:created>
  <dcterms:modified xsi:type="dcterms:W3CDTF">2021-03-01T06:09:59Z</dcterms:modified>
</cp:coreProperties>
</file>