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iskstation\обмен\Контрактная служба\223-ФЗ\Электронные аукционы\2021\Замена окон\Окна\"/>
    </mc:Choice>
  </mc:AlternateContent>
  <bookViews>
    <workbookView xWindow="0" yWindow="0" windowWidth="28800" windowHeight="12435"/>
  </bookViews>
  <sheets>
    <sheet name="Смета 12 гр. ТЕР МО" sheetId="5" r:id="rId1"/>
    <sheet name="Source" sheetId="1" r:id="rId2"/>
    <sheet name="SourceObSm" sheetId="2" r:id="rId3"/>
    <sheet name="SmtRes" sheetId="3" r:id="rId4"/>
    <sheet name="EtalonRes" sheetId="4" r:id="rId5"/>
  </sheets>
  <definedNames>
    <definedName name="_xlnm.Print_Titles" localSheetId="0">'Смета 12 гр. ТЕР МО'!$39:$39</definedName>
    <definedName name="_xlnm.Print_Area" localSheetId="0">'Смета 12 гр. ТЕР МО'!$A$1:$L$108</definedName>
  </definedNames>
  <calcPr calcId="152511"/>
</workbook>
</file>

<file path=xl/calcChain.xml><?xml version="1.0" encoding="utf-8"?>
<calcChain xmlns="http://schemas.openxmlformats.org/spreadsheetml/2006/main">
  <c r="B18" i="5" l="1"/>
  <c r="C105" i="5" l="1"/>
  <c r="C104" i="5"/>
  <c r="Z100" i="5"/>
  <c r="Y100" i="5"/>
  <c r="X100" i="5"/>
  <c r="G99" i="5"/>
  <c r="E99" i="5"/>
  <c r="J98" i="5"/>
  <c r="G98" i="5"/>
  <c r="F98" i="5"/>
  <c r="J97" i="5"/>
  <c r="G97" i="5"/>
  <c r="F97" i="5"/>
  <c r="F96" i="5"/>
  <c r="E96" i="5"/>
  <c r="D96" i="5"/>
  <c r="I96" i="5"/>
  <c r="C96" i="5"/>
  <c r="B96" i="5"/>
  <c r="A96" i="5"/>
  <c r="Z95" i="5"/>
  <c r="Y95" i="5"/>
  <c r="X95" i="5"/>
  <c r="J94" i="5"/>
  <c r="Z94" i="5"/>
  <c r="Y94" i="5"/>
  <c r="X94" i="5"/>
  <c r="F94" i="5"/>
  <c r="D94" i="5"/>
  <c r="C94" i="5"/>
  <c r="B94" i="5"/>
  <c r="A94" i="5"/>
  <c r="G93" i="5"/>
  <c r="E93" i="5"/>
  <c r="J92" i="5"/>
  <c r="E92" i="5"/>
  <c r="J91" i="5"/>
  <c r="E91" i="5"/>
  <c r="J90" i="5"/>
  <c r="G90" i="5"/>
  <c r="F90" i="5"/>
  <c r="F88" i="5"/>
  <c r="D88" i="5"/>
  <c r="I88" i="5"/>
  <c r="C88" i="5"/>
  <c r="B88" i="5"/>
  <c r="A88" i="5"/>
  <c r="Z87" i="5"/>
  <c r="Y87" i="5"/>
  <c r="X87" i="5"/>
  <c r="G86" i="5"/>
  <c r="E86" i="5"/>
  <c r="J85" i="5"/>
  <c r="F85" i="5"/>
  <c r="E85" i="5"/>
  <c r="J84" i="5"/>
  <c r="F84" i="5"/>
  <c r="E84" i="5"/>
  <c r="J83" i="5"/>
  <c r="G83" i="5"/>
  <c r="F83" i="5"/>
  <c r="J82" i="5"/>
  <c r="G82" i="5"/>
  <c r="F82" i="5"/>
  <c r="J81" i="5"/>
  <c r="G81" i="5"/>
  <c r="F81" i="5"/>
  <c r="J80" i="5"/>
  <c r="G80" i="5"/>
  <c r="F80" i="5"/>
  <c r="F78" i="5"/>
  <c r="D78" i="5"/>
  <c r="I78" i="5"/>
  <c r="C78" i="5"/>
  <c r="B78" i="5"/>
  <c r="A78" i="5"/>
  <c r="Z77" i="5"/>
  <c r="Y77" i="5"/>
  <c r="X77" i="5"/>
  <c r="G76" i="5"/>
  <c r="E76" i="5"/>
  <c r="J75" i="5"/>
  <c r="F75" i="5"/>
  <c r="E75" i="5"/>
  <c r="J74" i="5"/>
  <c r="F74" i="5"/>
  <c r="E74" i="5"/>
  <c r="J73" i="5"/>
  <c r="G73" i="5"/>
  <c r="F73" i="5"/>
  <c r="J72" i="5"/>
  <c r="G72" i="5"/>
  <c r="F72" i="5"/>
  <c r="J71" i="5"/>
  <c r="G71" i="5"/>
  <c r="F71" i="5"/>
  <c r="J70" i="5"/>
  <c r="G70" i="5"/>
  <c r="F70" i="5"/>
  <c r="F68" i="5"/>
  <c r="D68" i="5"/>
  <c r="I68" i="5"/>
  <c r="C68" i="5"/>
  <c r="B68" i="5"/>
  <c r="A68" i="5"/>
  <c r="Z67" i="5"/>
  <c r="Y67" i="5"/>
  <c r="X67" i="5"/>
  <c r="J66" i="5"/>
  <c r="Z66" i="5"/>
  <c r="Y66" i="5"/>
  <c r="X66" i="5"/>
  <c r="F66" i="5"/>
  <c r="D66" i="5"/>
  <c r="C66" i="5"/>
  <c r="B66" i="5"/>
  <c r="A66" i="5"/>
  <c r="G65" i="5"/>
  <c r="E65" i="5"/>
  <c r="J64" i="5"/>
  <c r="E64" i="5"/>
  <c r="J63" i="5"/>
  <c r="E63" i="5"/>
  <c r="J62" i="5"/>
  <c r="G62" i="5"/>
  <c r="F62" i="5"/>
  <c r="J61" i="5"/>
  <c r="G61" i="5"/>
  <c r="F61" i="5"/>
  <c r="J60" i="5"/>
  <c r="G60" i="5"/>
  <c r="F60" i="5"/>
  <c r="F58" i="5"/>
  <c r="D58" i="5"/>
  <c r="I58" i="5"/>
  <c r="C58" i="5"/>
  <c r="B58" i="5"/>
  <c r="A58" i="5"/>
  <c r="Z57" i="5"/>
  <c r="Y57" i="5"/>
  <c r="X57" i="5"/>
  <c r="G56" i="5"/>
  <c r="E56" i="5"/>
  <c r="J55" i="5"/>
  <c r="F55" i="5"/>
  <c r="E55" i="5"/>
  <c r="J54" i="5"/>
  <c r="F54" i="5"/>
  <c r="E54" i="5"/>
  <c r="J53" i="5"/>
  <c r="G53" i="5"/>
  <c r="F53" i="5"/>
  <c r="J52" i="5"/>
  <c r="G52" i="5"/>
  <c r="F52" i="5"/>
  <c r="J51" i="5"/>
  <c r="G51" i="5"/>
  <c r="F51" i="5"/>
  <c r="F49" i="5"/>
  <c r="D49" i="5"/>
  <c r="I49" i="5"/>
  <c r="C49" i="5"/>
  <c r="B49" i="5"/>
  <c r="A49" i="5"/>
  <c r="Z48" i="5"/>
  <c r="Y48" i="5"/>
  <c r="X48" i="5"/>
  <c r="G47" i="5"/>
  <c r="E47" i="5"/>
  <c r="J46" i="5"/>
  <c r="F46" i="5"/>
  <c r="E46" i="5"/>
  <c r="J45" i="5"/>
  <c r="F45" i="5"/>
  <c r="E45" i="5"/>
  <c r="J44" i="5"/>
  <c r="G44" i="5"/>
  <c r="F44" i="5"/>
  <c r="J43" i="5"/>
  <c r="G43" i="5"/>
  <c r="F43" i="5"/>
  <c r="J42" i="5"/>
  <c r="G42" i="5"/>
  <c r="F42" i="5"/>
  <c r="F40" i="5"/>
  <c r="D40" i="5"/>
  <c r="I40" i="5"/>
  <c r="C40" i="5"/>
  <c r="B40" i="5"/>
  <c r="A40" i="5"/>
  <c r="B16" i="5"/>
  <c r="B14" i="5"/>
  <c r="H12" i="5"/>
  <c r="G29" i="5" l="1"/>
  <c r="G27" i="5"/>
  <c r="G28" i="5"/>
  <c r="A1" i="4"/>
  <c r="A2" i="4"/>
  <c r="A3" i="4"/>
  <c r="A4" i="4"/>
  <c r="A5" i="4"/>
  <c r="A6" i="4"/>
  <c r="A7" i="4"/>
  <c r="A8" i="4"/>
  <c r="A9" i="4"/>
  <c r="A10" i="4"/>
  <c r="A11" i="4"/>
  <c r="A12" i="4"/>
  <c r="A13" i="4"/>
  <c r="A14" i="4"/>
  <c r="A15" i="4"/>
  <c r="A16" i="4"/>
  <c r="A17" i="4"/>
  <c r="A18" i="4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1" i="3"/>
  <c r="CY1" i="3"/>
  <c r="CZ1" i="3"/>
  <c r="DB1" i="3" s="1"/>
  <c r="DA1" i="3"/>
  <c r="DC1" i="3"/>
  <c r="A2" i="3"/>
  <c r="CY2" i="3"/>
  <c r="CZ2" i="3"/>
  <c r="DB2" i="3" s="1"/>
  <c r="DA2" i="3"/>
  <c r="DC2" i="3"/>
  <c r="A3" i="3"/>
  <c r="CY3" i="3"/>
  <c r="CZ3" i="3"/>
  <c r="DB3" i="3" s="1"/>
  <c r="DA3" i="3"/>
  <c r="DC3" i="3"/>
  <c r="A4" i="3"/>
  <c r="CY4" i="3"/>
  <c r="CZ4" i="3"/>
  <c r="DB4" i="3" s="1"/>
  <c r="DA4" i="3"/>
  <c r="DC4" i="3"/>
  <c r="A5" i="3"/>
  <c r="CY5" i="3"/>
  <c r="CZ5" i="3"/>
  <c r="DA5" i="3"/>
  <c r="DB5" i="3"/>
  <c r="DC5" i="3"/>
  <c r="A6" i="3"/>
  <c r="CY6" i="3"/>
  <c r="CZ6" i="3"/>
  <c r="DB6" i="3" s="1"/>
  <c r="DA6" i="3"/>
  <c r="DC6" i="3"/>
  <c r="A7" i="3"/>
  <c r="CY7" i="3"/>
  <c r="CZ7" i="3"/>
  <c r="DB7" i="3" s="1"/>
  <c r="DA7" i="3"/>
  <c r="DC7" i="3"/>
  <c r="A8" i="3"/>
  <c r="CY8" i="3"/>
  <c r="CZ8" i="3"/>
  <c r="DB8" i="3" s="1"/>
  <c r="DA8" i="3"/>
  <c r="DC8" i="3"/>
  <c r="A9" i="3"/>
  <c r="CY9" i="3"/>
  <c r="CZ9" i="3"/>
  <c r="DB9" i="3" s="1"/>
  <c r="DA9" i="3"/>
  <c r="DC9" i="3"/>
  <c r="A10" i="3"/>
  <c r="CY10" i="3"/>
  <c r="CZ10" i="3"/>
  <c r="DA10" i="3"/>
  <c r="DB10" i="3"/>
  <c r="DC10" i="3"/>
  <c r="A11" i="3"/>
  <c r="CY11" i="3"/>
  <c r="CZ11" i="3"/>
  <c r="DB11" i="3" s="1"/>
  <c r="DA11" i="3"/>
  <c r="DC11" i="3"/>
  <c r="A12" i="3"/>
  <c r="CY12" i="3"/>
  <c r="CZ12" i="3"/>
  <c r="DB12" i="3" s="1"/>
  <c r="DA12" i="3"/>
  <c r="DC12" i="3"/>
  <c r="A13" i="3"/>
  <c r="CY13" i="3"/>
  <c r="CZ13" i="3"/>
  <c r="DA13" i="3"/>
  <c r="DB13" i="3"/>
  <c r="DC13" i="3"/>
  <c r="A14" i="3"/>
  <c r="CY14" i="3"/>
  <c r="CZ14" i="3"/>
  <c r="DB14" i="3" s="1"/>
  <c r="DA14" i="3"/>
  <c r="DC14" i="3"/>
  <c r="A15" i="3"/>
  <c r="CY15" i="3"/>
  <c r="CZ15" i="3"/>
  <c r="DB15" i="3" s="1"/>
  <c r="DA15" i="3"/>
  <c r="DC15" i="3"/>
  <c r="A16" i="3"/>
  <c r="CY16" i="3"/>
  <c r="CZ16" i="3"/>
  <c r="DB16" i="3" s="1"/>
  <c r="DA16" i="3"/>
  <c r="DC16" i="3"/>
  <c r="A17" i="3"/>
  <c r="CY17" i="3"/>
  <c r="CZ17" i="3"/>
  <c r="DB17" i="3" s="1"/>
  <c r="DA17" i="3"/>
  <c r="DC17" i="3"/>
  <c r="A18" i="3"/>
  <c r="CY18" i="3"/>
  <c r="CZ18" i="3"/>
  <c r="DA18" i="3"/>
  <c r="DB18" i="3"/>
  <c r="DC18" i="3"/>
  <c r="A19" i="3"/>
  <c r="CY19" i="3"/>
  <c r="CZ19" i="3"/>
  <c r="DB19" i="3" s="1"/>
  <c r="DA19" i="3"/>
  <c r="DC19" i="3"/>
  <c r="A20" i="3"/>
  <c r="CY20" i="3"/>
  <c r="CZ20" i="3"/>
  <c r="DB20" i="3" s="1"/>
  <c r="DA20" i="3"/>
  <c r="DC20" i="3"/>
  <c r="A21" i="3"/>
  <c r="CY21" i="3"/>
  <c r="CZ21" i="3"/>
  <c r="DA21" i="3"/>
  <c r="DB21" i="3"/>
  <c r="DC21" i="3"/>
  <c r="A22" i="3"/>
  <c r="CY22" i="3"/>
  <c r="CZ22" i="3"/>
  <c r="DB22" i="3" s="1"/>
  <c r="DA22" i="3"/>
  <c r="DC22" i="3"/>
  <c r="A23" i="3"/>
  <c r="CY23" i="3"/>
  <c r="CZ23" i="3"/>
  <c r="DB23" i="3" s="1"/>
  <c r="DA23" i="3"/>
  <c r="DC23" i="3"/>
  <c r="A24" i="3"/>
  <c r="CY24" i="3"/>
  <c r="CZ24" i="3"/>
  <c r="DB24" i="3" s="1"/>
  <c r="DA24" i="3"/>
  <c r="DC24" i="3"/>
  <c r="A25" i="3"/>
  <c r="CY25" i="3"/>
  <c r="CZ25" i="3"/>
  <c r="DB25" i="3" s="1"/>
  <c r="DA25" i="3"/>
  <c r="DC25" i="3"/>
  <c r="A26" i="3"/>
  <c r="CY26" i="3"/>
  <c r="CZ26" i="3"/>
  <c r="DA26" i="3"/>
  <c r="DB26" i="3"/>
  <c r="DC26" i="3"/>
  <c r="A27" i="3"/>
  <c r="CY27" i="3"/>
  <c r="CZ27" i="3"/>
  <c r="DB27" i="3" s="1"/>
  <c r="DA27" i="3"/>
  <c r="DC27" i="3"/>
  <c r="A28" i="3"/>
  <c r="CY28" i="3"/>
  <c r="CZ28" i="3"/>
  <c r="DB28" i="3" s="1"/>
  <c r="DA28" i="3"/>
  <c r="DC28" i="3"/>
  <c r="A29" i="3"/>
  <c r="CY29" i="3"/>
  <c r="CZ29" i="3"/>
  <c r="DA29" i="3"/>
  <c r="DB29" i="3"/>
  <c r="DC29" i="3"/>
  <c r="A30" i="3"/>
  <c r="CY30" i="3"/>
  <c r="CZ30" i="3"/>
  <c r="DB30" i="3" s="1"/>
  <c r="DA30" i="3"/>
  <c r="DC30" i="3"/>
  <c r="A31" i="3"/>
  <c r="CY31" i="3"/>
  <c r="CZ31" i="3"/>
  <c r="DB31" i="3" s="1"/>
  <c r="DA31" i="3"/>
  <c r="DC31" i="3"/>
  <c r="A32" i="3"/>
  <c r="CY32" i="3"/>
  <c r="CZ32" i="3"/>
  <c r="DB32" i="3" s="1"/>
  <c r="DA32" i="3"/>
  <c r="DC32" i="3"/>
  <c r="A33" i="3"/>
  <c r="CY33" i="3"/>
  <c r="CZ33" i="3"/>
  <c r="DB33" i="3" s="1"/>
  <c r="DA33" i="3"/>
  <c r="DC33" i="3"/>
  <c r="A34" i="3"/>
  <c r="CY34" i="3"/>
  <c r="CZ34" i="3"/>
  <c r="DA34" i="3"/>
  <c r="DB34" i="3"/>
  <c r="DC34" i="3"/>
  <c r="A35" i="3"/>
  <c r="CY35" i="3"/>
  <c r="CZ35" i="3"/>
  <c r="DB35" i="3" s="1"/>
  <c r="DA35" i="3"/>
  <c r="DC35" i="3"/>
  <c r="A36" i="3"/>
  <c r="CY36" i="3"/>
  <c r="CZ36" i="3"/>
  <c r="DB36" i="3" s="1"/>
  <c r="DA36" i="3"/>
  <c r="DC36" i="3"/>
  <c r="A37" i="3"/>
  <c r="CX37" i="3"/>
  <c r="CY37" i="3"/>
  <c r="CZ37" i="3"/>
  <c r="DA37" i="3"/>
  <c r="DB37" i="3"/>
  <c r="DC37" i="3"/>
  <c r="A38" i="3"/>
  <c r="CX38" i="3"/>
  <c r="CY38" i="3"/>
  <c r="CZ38" i="3"/>
  <c r="DA38" i="3"/>
  <c r="DB38" i="3"/>
  <c r="DC38" i="3"/>
  <c r="D12" i="1"/>
  <c r="E18" i="1"/>
  <c r="Z18" i="1"/>
  <c r="AA18" i="1"/>
  <c r="AB18" i="1"/>
  <c r="AC18" i="1"/>
  <c r="AD18" i="1"/>
  <c r="AE18" i="1"/>
  <c r="AF18" i="1"/>
  <c r="AG18" i="1"/>
  <c r="AH18" i="1"/>
  <c r="AI18" i="1"/>
  <c r="AJ18" i="1"/>
  <c r="AK18" i="1"/>
  <c r="AL18" i="1"/>
  <c r="AM18" i="1"/>
  <c r="AN18" i="1"/>
  <c r="BE18" i="1"/>
  <c r="BF18" i="1"/>
  <c r="BG18" i="1"/>
  <c r="BH18" i="1"/>
  <c r="BI18" i="1"/>
  <c r="BJ18" i="1"/>
  <c r="BK18" i="1"/>
  <c r="BL18" i="1"/>
  <c r="BM18" i="1"/>
  <c r="BN18" i="1"/>
  <c r="BO18" i="1"/>
  <c r="BP18" i="1"/>
  <c r="BQ18" i="1"/>
  <c r="BR18" i="1"/>
  <c r="BS18" i="1"/>
  <c r="BT18" i="1"/>
  <c r="BU18" i="1"/>
  <c r="BV18" i="1"/>
  <c r="BW18" i="1"/>
  <c r="BX18" i="1"/>
  <c r="BY18" i="1"/>
  <c r="BZ18" i="1"/>
  <c r="CA18" i="1"/>
  <c r="CB18" i="1"/>
  <c r="CC18" i="1"/>
  <c r="CD18" i="1"/>
  <c r="CE18" i="1"/>
  <c r="CF18" i="1"/>
  <c r="CG18" i="1"/>
  <c r="CH18" i="1"/>
  <c r="CI18" i="1"/>
  <c r="CJ18" i="1"/>
  <c r="CK18" i="1"/>
  <c r="CL18" i="1"/>
  <c r="CM18" i="1"/>
  <c r="CN18" i="1"/>
  <c r="CO18" i="1"/>
  <c r="CP18" i="1"/>
  <c r="CQ18" i="1"/>
  <c r="CR18" i="1"/>
  <c r="CS18" i="1"/>
  <c r="CT18" i="1"/>
  <c r="CU18" i="1"/>
  <c r="CV18" i="1"/>
  <c r="CW18" i="1"/>
  <c r="CX18" i="1"/>
  <c r="CY18" i="1"/>
  <c r="CZ18" i="1"/>
  <c r="DA18" i="1"/>
  <c r="DB18" i="1"/>
  <c r="DC18" i="1"/>
  <c r="DD18" i="1"/>
  <c r="DE18" i="1"/>
  <c r="DF18" i="1"/>
  <c r="DG18" i="1"/>
  <c r="DH18" i="1"/>
  <c r="DI18" i="1"/>
  <c r="DJ18" i="1"/>
  <c r="DK18" i="1"/>
  <c r="DL18" i="1"/>
  <c r="DM18" i="1"/>
  <c r="DN18" i="1"/>
  <c r="DO18" i="1"/>
  <c r="DP18" i="1"/>
  <c r="DQ18" i="1"/>
  <c r="DR18" i="1"/>
  <c r="DS18" i="1"/>
  <c r="DT18" i="1"/>
  <c r="DU18" i="1"/>
  <c r="DV18" i="1"/>
  <c r="DW18" i="1"/>
  <c r="DX18" i="1"/>
  <c r="DY18" i="1"/>
  <c r="DZ18" i="1"/>
  <c r="EA18" i="1"/>
  <c r="EB18" i="1"/>
  <c r="EC18" i="1"/>
  <c r="ED18" i="1"/>
  <c r="EE18" i="1"/>
  <c r="EF18" i="1"/>
  <c r="EG18" i="1"/>
  <c r="EH18" i="1"/>
  <c r="EI18" i="1"/>
  <c r="EJ18" i="1"/>
  <c r="EK18" i="1"/>
  <c r="EL18" i="1"/>
  <c r="EM18" i="1"/>
  <c r="EN18" i="1"/>
  <c r="EO18" i="1"/>
  <c r="EP18" i="1"/>
  <c r="EQ18" i="1"/>
  <c r="ER18" i="1"/>
  <c r="ES18" i="1"/>
  <c r="ET18" i="1"/>
  <c r="EU18" i="1"/>
  <c r="EV18" i="1"/>
  <c r="EW18" i="1"/>
  <c r="EX18" i="1"/>
  <c r="EY18" i="1"/>
  <c r="EZ18" i="1"/>
  <c r="FA18" i="1"/>
  <c r="FB18" i="1"/>
  <c r="FC18" i="1"/>
  <c r="FD18" i="1"/>
  <c r="FE18" i="1"/>
  <c r="FF18" i="1"/>
  <c r="FG18" i="1"/>
  <c r="FH18" i="1"/>
  <c r="FI18" i="1"/>
  <c r="FJ18" i="1"/>
  <c r="FK18" i="1"/>
  <c r="FL18" i="1"/>
  <c r="FM18" i="1"/>
  <c r="FN18" i="1"/>
  <c r="FO18" i="1"/>
  <c r="FP18" i="1"/>
  <c r="FQ18" i="1"/>
  <c r="FR18" i="1"/>
  <c r="FS18" i="1"/>
  <c r="FT18" i="1"/>
  <c r="FU18" i="1"/>
  <c r="FV18" i="1"/>
  <c r="FW18" i="1"/>
  <c r="FX18" i="1"/>
  <c r="FY18" i="1"/>
  <c r="FZ18" i="1"/>
  <c r="GA18" i="1"/>
  <c r="GB18" i="1"/>
  <c r="GC18" i="1"/>
  <c r="GD18" i="1"/>
  <c r="GE18" i="1"/>
  <c r="GF18" i="1"/>
  <c r="GG18" i="1"/>
  <c r="GH18" i="1"/>
  <c r="GI18" i="1"/>
  <c r="GJ18" i="1"/>
  <c r="GK18" i="1"/>
  <c r="GL18" i="1"/>
  <c r="GM18" i="1"/>
  <c r="GN18" i="1"/>
  <c r="GO18" i="1"/>
  <c r="GP18" i="1"/>
  <c r="GQ18" i="1"/>
  <c r="GR18" i="1"/>
  <c r="GS18" i="1"/>
  <c r="GT18" i="1"/>
  <c r="GU18" i="1"/>
  <c r="GV18" i="1"/>
  <c r="GW18" i="1"/>
  <c r="GX18" i="1"/>
  <c r="D20" i="1"/>
  <c r="E22" i="1"/>
  <c r="Z22" i="1"/>
  <c r="AA22" i="1"/>
  <c r="AM22" i="1"/>
  <c r="AN22" i="1"/>
  <c r="BE22" i="1"/>
  <c r="BF22" i="1"/>
  <c r="BG22" i="1"/>
  <c r="BH22" i="1"/>
  <c r="BI22" i="1"/>
  <c r="BJ22" i="1"/>
  <c r="BK22" i="1"/>
  <c r="BL22" i="1"/>
  <c r="BM22" i="1"/>
  <c r="BN22" i="1"/>
  <c r="BO22" i="1"/>
  <c r="BP22" i="1"/>
  <c r="BQ22" i="1"/>
  <c r="BR22" i="1"/>
  <c r="BS22" i="1"/>
  <c r="BT22" i="1"/>
  <c r="BU22" i="1"/>
  <c r="BV22" i="1"/>
  <c r="BW22" i="1"/>
  <c r="CN22" i="1"/>
  <c r="CO22" i="1"/>
  <c r="CP22" i="1"/>
  <c r="CQ22" i="1"/>
  <c r="CR22" i="1"/>
  <c r="CS22" i="1"/>
  <c r="CT22" i="1"/>
  <c r="CU22" i="1"/>
  <c r="CV22" i="1"/>
  <c r="CW22" i="1"/>
  <c r="CX22" i="1"/>
  <c r="CY22" i="1"/>
  <c r="CZ22" i="1"/>
  <c r="DA22" i="1"/>
  <c r="DB22" i="1"/>
  <c r="DC22" i="1"/>
  <c r="DD22" i="1"/>
  <c r="DE22" i="1"/>
  <c r="DF22" i="1"/>
  <c r="DG22" i="1"/>
  <c r="DH22" i="1"/>
  <c r="DI22" i="1"/>
  <c r="DJ22" i="1"/>
  <c r="DK22" i="1"/>
  <c r="DL22" i="1"/>
  <c r="DM22" i="1"/>
  <c r="DN22" i="1"/>
  <c r="DO22" i="1"/>
  <c r="DP22" i="1"/>
  <c r="DQ22" i="1"/>
  <c r="DR22" i="1"/>
  <c r="DS22" i="1"/>
  <c r="DT22" i="1"/>
  <c r="DU22" i="1"/>
  <c r="DV22" i="1"/>
  <c r="DW22" i="1"/>
  <c r="DX22" i="1"/>
  <c r="DY22" i="1"/>
  <c r="DZ22" i="1"/>
  <c r="EA22" i="1"/>
  <c r="EB22" i="1"/>
  <c r="EC22" i="1"/>
  <c r="ED22" i="1"/>
  <c r="EE22" i="1"/>
  <c r="EF22" i="1"/>
  <c r="EG22" i="1"/>
  <c r="EH22" i="1"/>
  <c r="EI22" i="1"/>
  <c r="EJ22" i="1"/>
  <c r="EK22" i="1"/>
  <c r="EL22" i="1"/>
  <c r="EM22" i="1"/>
  <c r="EN22" i="1"/>
  <c r="EO22" i="1"/>
  <c r="EP22" i="1"/>
  <c r="EQ22" i="1"/>
  <c r="ER22" i="1"/>
  <c r="ES22" i="1"/>
  <c r="ET22" i="1"/>
  <c r="EU22" i="1"/>
  <c r="EV22" i="1"/>
  <c r="EW22" i="1"/>
  <c r="EX22" i="1"/>
  <c r="EY22" i="1"/>
  <c r="EZ22" i="1"/>
  <c r="FA22" i="1"/>
  <c r="FB22" i="1"/>
  <c r="FC22" i="1"/>
  <c r="FD22" i="1"/>
  <c r="FE22" i="1"/>
  <c r="FF22" i="1"/>
  <c r="FG22" i="1"/>
  <c r="FH22" i="1"/>
  <c r="FI22" i="1"/>
  <c r="FJ22" i="1"/>
  <c r="FK22" i="1"/>
  <c r="FL22" i="1"/>
  <c r="FM22" i="1"/>
  <c r="FN22" i="1"/>
  <c r="FO22" i="1"/>
  <c r="FP22" i="1"/>
  <c r="FQ22" i="1"/>
  <c r="FR22" i="1"/>
  <c r="FS22" i="1"/>
  <c r="FT22" i="1"/>
  <c r="FU22" i="1"/>
  <c r="FV22" i="1"/>
  <c r="FW22" i="1"/>
  <c r="FX22" i="1"/>
  <c r="FY22" i="1"/>
  <c r="FZ22" i="1"/>
  <c r="GA22" i="1"/>
  <c r="GB22" i="1"/>
  <c r="GC22" i="1"/>
  <c r="GD22" i="1"/>
  <c r="GE22" i="1"/>
  <c r="GF22" i="1"/>
  <c r="GG22" i="1"/>
  <c r="GH22" i="1"/>
  <c r="GI22" i="1"/>
  <c r="GJ22" i="1"/>
  <c r="GK22" i="1"/>
  <c r="GL22" i="1"/>
  <c r="GM22" i="1"/>
  <c r="GN22" i="1"/>
  <c r="GO22" i="1"/>
  <c r="GP22" i="1"/>
  <c r="GQ22" i="1"/>
  <c r="GR22" i="1"/>
  <c r="GS22" i="1"/>
  <c r="GT22" i="1"/>
  <c r="GU22" i="1"/>
  <c r="GV22" i="1"/>
  <c r="GW22" i="1"/>
  <c r="GX22" i="1"/>
  <c r="C24" i="1"/>
  <c r="D24" i="1"/>
  <c r="I24" i="1"/>
  <c r="CX5" i="3" s="1"/>
  <c r="AC24" i="1"/>
  <c r="H44" i="5" s="1"/>
  <c r="AD24" i="1"/>
  <c r="AE24" i="1"/>
  <c r="CS24" i="1" s="1"/>
  <c r="R24" i="1" s="1"/>
  <c r="AF24" i="1"/>
  <c r="AG24" i="1"/>
  <c r="AH24" i="1"/>
  <c r="CV24" i="1" s="1"/>
  <c r="U24" i="1" s="1"/>
  <c r="AI24" i="1"/>
  <c r="CW24" i="1" s="1"/>
  <c r="V24" i="1" s="1"/>
  <c r="AJ24" i="1"/>
  <c r="CX24" i="1" s="1"/>
  <c r="W24" i="1" s="1"/>
  <c r="CQ24" i="1"/>
  <c r="P24" i="1" s="1"/>
  <c r="K44" i="5" s="1"/>
  <c r="CU24" i="1"/>
  <c r="T24" i="1" s="1"/>
  <c r="FR24" i="1"/>
  <c r="GL24" i="1"/>
  <c r="GO24" i="1"/>
  <c r="GP24" i="1"/>
  <c r="GV24" i="1"/>
  <c r="HC24" i="1"/>
  <c r="GX24" i="1" s="1"/>
  <c r="C25" i="1"/>
  <c r="D25" i="1"/>
  <c r="I25" i="1"/>
  <c r="AC25" i="1"/>
  <c r="AE25" i="1"/>
  <c r="AF25" i="1"/>
  <c r="CT25" i="1" s="1"/>
  <c r="S25" i="1" s="1"/>
  <c r="K51" i="5" s="1"/>
  <c r="AG25" i="1"/>
  <c r="CU25" i="1" s="1"/>
  <c r="T25" i="1" s="1"/>
  <c r="AH25" i="1"/>
  <c r="CV25" i="1" s="1"/>
  <c r="AI25" i="1"/>
  <c r="AJ25" i="1"/>
  <c r="CS25" i="1"/>
  <c r="R25" i="1" s="1"/>
  <c r="K53" i="5" s="1"/>
  <c r="CW25" i="1"/>
  <c r="CX25" i="1"/>
  <c r="W25" i="1" s="1"/>
  <c r="FR25" i="1"/>
  <c r="GL25" i="1"/>
  <c r="GO25" i="1"/>
  <c r="GP25" i="1"/>
  <c r="GV25" i="1"/>
  <c r="HC25" i="1" s="1"/>
  <c r="GX25" i="1" s="1"/>
  <c r="C26" i="1"/>
  <c r="D26" i="1"/>
  <c r="I26" i="1"/>
  <c r="I27" i="1" s="1"/>
  <c r="E66" i="5" s="1"/>
  <c r="AC26" i="1"/>
  <c r="AE26" i="1"/>
  <c r="AF26" i="1"/>
  <c r="CT26" i="1" s="1"/>
  <c r="S26" i="1" s="1"/>
  <c r="AG26" i="1"/>
  <c r="CU26" i="1" s="1"/>
  <c r="AH26" i="1"/>
  <c r="CV26" i="1" s="1"/>
  <c r="AI26" i="1"/>
  <c r="CW26" i="1" s="1"/>
  <c r="V26" i="1" s="1"/>
  <c r="AJ26" i="1"/>
  <c r="CX26" i="1"/>
  <c r="FR26" i="1"/>
  <c r="GL26" i="1"/>
  <c r="GO26" i="1"/>
  <c r="GP26" i="1"/>
  <c r="GV26" i="1"/>
  <c r="HC26" i="1" s="1"/>
  <c r="GX26" i="1" s="1"/>
  <c r="AC27" i="1"/>
  <c r="AD27" i="1"/>
  <c r="CR27" i="1" s="1"/>
  <c r="AE27" i="1"/>
  <c r="AF27" i="1"/>
  <c r="AG27" i="1"/>
  <c r="CU27" i="1" s="1"/>
  <c r="AH27" i="1"/>
  <c r="CV27" i="1" s="1"/>
  <c r="AI27" i="1"/>
  <c r="AJ27" i="1"/>
  <c r="CX27" i="1" s="1"/>
  <c r="CS27" i="1"/>
  <c r="CW27" i="1"/>
  <c r="V27" i="1" s="1"/>
  <c r="FR27" i="1"/>
  <c r="GL27" i="1"/>
  <c r="GO27" i="1"/>
  <c r="GP27" i="1"/>
  <c r="GV27" i="1"/>
  <c r="HC27" i="1" s="1"/>
  <c r="C28" i="1"/>
  <c r="D28" i="1"/>
  <c r="I28" i="1"/>
  <c r="AC28" i="1"/>
  <c r="H73" i="5" s="1"/>
  <c r="AD28" i="1"/>
  <c r="AE28" i="1"/>
  <c r="AF28" i="1"/>
  <c r="AG28" i="1"/>
  <c r="CU28" i="1" s="1"/>
  <c r="T28" i="1" s="1"/>
  <c r="AH28" i="1"/>
  <c r="CV28" i="1" s="1"/>
  <c r="U28" i="1" s="1"/>
  <c r="AI28" i="1"/>
  <c r="CW28" i="1" s="1"/>
  <c r="AJ28" i="1"/>
  <c r="CQ28" i="1"/>
  <c r="P28" i="1" s="1"/>
  <c r="CT28" i="1"/>
  <c r="S28" i="1" s="1"/>
  <c r="CX28" i="1"/>
  <c r="W28" i="1" s="1"/>
  <c r="FR28" i="1"/>
  <c r="GL28" i="1"/>
  <c r="GO28" i="1"/>
  <c r="GP28" i="1"/>
  <c r="GV28" i="1"/>
  <c r="HC28" i="1" s="1"/>
  <c r="GX28" i="1" s="1"/>
  <c r="C29" i="1"/>
  <c r="D29" i="1"/>
  <c r="I29" i="1"/>
  <c r="AC29" i="1"/>
  <c r="AE29" i="1"/>
  <c r="CS29" i="1" s="1"/>
  <c r="R29" i="1" s="1"/>
  <c r="K82" i="5" s="1"/>
  <c r="AF29" i="1"/>
  <c r="AG29" i="1"/>
  <c r="CU29" i="1" s="1"/>
  <c r="T29" i="1" s="1"/>
  <c r="AH29" i="1"/>
  <c r="AI29" i="1"/>
  <c r="CW29" i="1" s="1"/>
  <c r="AJ29" i="1"/>
  <c r="CX29" i="1" s="1"/>
  <c r="CQ29" i="1"/>
  <c r="CV29" i="1"/>
  <c r="U29" i="1" s="1"/>
  <c r="FR29" i="1"/>
  <c r="GL29" i="1"/>
  <c r="GO29" i="1"/>
  <c r="GP29" i="1"/>
  <c r="GV29" i="1"/>
  <c r="HC29" i="1" s="1"/>
  <c r="GX29" i="1" s="1"/>
  <c r="C30" i="1"/>
  <c r="D30" i="1"/>
  <c r="I30" i="1"/>
  <c r="AC30" i="1"/>
  <c r="CQ30" i="1" s="1"/>
  <c r="AE30" i="1"/>
  <c r="AD30" i="1" s="1"/>
  <c r="CR30" i="1" s="1"/>
  <c r="Q30" i="1" s="1"/>
  <c r="AF30" i="1"/>
  <c r="AG30" i="1"/>
  <c r="CU30" i="1" s="1"/>
  <c r="AH30" i="1"/>
  <c r="AI30" i="1"/>
  <c r="CW30" i="1" s="1"/>
  <c r="V30" i="1" s="1"/>
  <c r="AJ30" i="1"/>
  <c r="CV30" i="1"/>
  <c r="U30" i="1" s="1"/>
  <c r="CX30" i="1"/>
  <c r="W30" i="1" s="1"/>
  <c r="FR30" i="1"/>
  <c r="GL30" i="1"/>
  <c r="GO30" i="1"/>
  <c r="GP30" i="1"/>
  <c r="GV30" i="1"/>
  <c r="HC30" i="1"/>
  <c r="GX30" i="1" s="1"/>
  <c r="I31" i="1"/>
  <c r="E94" i="5" s="1"/>
  <c r="AC31" i="1"/>
  <c r="CQ31" i="1" s="1"/>
  <c r="P31" i="1" s="1"/>
  <c r="AE31" i="1"/>
  <c r="AD31" i="1" s="1"/>
  <c r="AF31" i="1"/>
  <c r="AG31" i="1"/>
  <c r="AH31" i="1"/>
  <c r="AI31" i="1"/>
  <c r="CW31" i="1" s="1"/>
  <c r="V31" i="1" s="1"/>
  <c r="AJ31" i="1"/>
  <c r="CX31" i="1" s="1"/>
  <c r="CU31" i="1"/>
  <c r="T31" i="1" s="1"/>
  <c r="CV31" i="1"/>
  <c r="U31" i="1" s="1"/>
  <c r="FR31" i="1"/>
  <c r="GL31" i="1"/>
  <c r="GO31" i="1"/>
  <c r="GP31" i="1"/>
  <c r="GV31" i="1"/>
  <c r="HC31" i="1" s="1"/>
  <c r="C32" i="1"/>
  <c r="D32" i="1"/>
  <c r="AC32" i="1"/>
  <c r="AD32" i="1"/>
  <c r="AE32" i="1"/>
  <c r="CS32" i="1" s="1"/>
  <c r="R32" i="1" s="1"/>
  <c r="AF32" i="1"/>
  <c r="AG32" i="1"/>
  <c r="CU32" i="1" s="1"/>
  <c r="T32" i="1" s="1"/>
  <c r="AH32" i="1"/>
  <c r="CV32" i="1" s="1"/>
  <c r="U32" i="1" s="1"/>
  <c r="AI32" i="1"/>
  <c r="AJ32" i="1"/>
  <c r="CX32" i="1" s="1"/>
  <c r="W32" i="1" s="1"/>
  <c r="CQ32" i="1"/>
  <c r="P32" i="1" s="1"/>
  <c r="CW32" i="1"/>
  <c r="V32" i="1" s="1"/>
  <c r="FR32" i="1"/>
  <c r="GL32" i="1"/>
  <c r="GO32" i="1"/>
  <c r="GP32" i="1"/>
  <c r="GV32" i="1"/>
  <c r="HC32" i="1" s="1"/>
  <c r="GX32" i="1" s="1"/>
  <c r="B34" i="1"/>
  <c r="B22" i="1" s="1"/>
  <c r="C34" i="1"/>
  <c r="C22" i="1" s="1"/>
  <c r="D34" i="1"/>
  <c r="D22" i="1" s="1"/>
  <c r="F34" i="1"/>
  <c r="F22" i="1" s="1"/>
  <c r="G34" i="1"/>
  <c r="BX34" i="1"/>
  <c r="BX22" i="1" s="1"/>
  <c r="BY34" i="1"/>
  <c r="BY22" i="1" s="1"/>
  <c r="BZ34" i="1"/>
  <c r="BZ22" i="1" s="1"/>
  <c r="CC34" i="1"/>
  <c r="CD34" i="1"/>
  <c r="CD22" i="1" s="1"/>
  <c r="CG34" i="1"/>
  <c r="CK34" i="1"/>
  <c r="CL34" i="1"/>
  <c r="CL22" i="1" s="1"/>
  <c r="B66" i="1"/>
  <c r="B18" i="1" s="1"/>
  <c r="C66" i="1"/>
  <c r="C18" i="1" s="1"/>
  <c r="D66" i="1"/>
  <c r="D18" i="1" s="1"/>
  <c r="F66" i="1"/>
  <c r="F18" i="1" s="1"/>
  <c r="G66" i="1"/>
  <c r="G18" i="1" s="1"/>
  <c r="K60" i="5" l="1"/>
  <c r="K70" i="5"/>
  <c r="L100" i="5"/>
  <c r="Q100" i="5" s="1"/>
  <c r="L99" i="5"/>
  <c r="CR32" i="1"/>
  <c r="Q32" i="1" s="1"/>
  <c r="K98" i="5" s="1"/>
  <c r="H98" i="5"/>
  <c r="GX31" i="1"/>
  <c r="CS30" i="1"/>
  <c r="R30" i="1" s="1"/>
  <c r="T30" i="1"/>
  <c r="AB30" i="1"/>
  <c r="H83" i="5"/>
  <c r="V28" i="1"/>
  <c r="CS28" i="1"/>
  <c r="R28" i="1" s="1"/>
  <c r="K72" i="5" s="1"/>
  <c r="H72" i="5"/>
  <c r="R72" i="5" s="1"/>
  <c r="W27" i="1"/>
  <c r="CT27" i="1"/>
  <c r="S27" i="1" s="1"/>
  <c r="U66" i="5"/>
  <c r="S66" i="5"/>
  <c r="T26" i="1"/>
  <c r="V25" i="1"/>
  <c r="H53" i="5"/>
  <c r="R53" i="5" s="1"/>
  <c r="L47" i="5"/>
  <c r="L48" i="5"/>
  <c r="Q48" i="5" s="1"/>
  <c r="AB24" i="1"/>
  <c r="H43" i="5"/>
  <c r="CT31" i="1"/>
  <c r="U94" i="5"/>
  <c r="S94" i="5"/>
  <c r="U88" i="5"/>
  <c r="S88" i="5"/>
  <c r="H90" i="5"/>
  <c r="E88" i="5"/>
  <c r="C89" i="5"/>
  <c r="P29" i="1"/>
  <c r="K83" i="5" s="1"/>
  <c r="L77" i="5"/>
  <c r="Q77" i="5" s="1"/>
  <c r="L76" i="5"/>
  <c r="CR28" i="1"/>
  <c r="Q28" i="1" s="1"/>
  <c r="K71" i="5" s="1"/>
  <c r="H71" i="5"/>
  <c r="CX16" i="3"/>
  <c r="E68" i="5"/>
  <c r="C69" i="5"/>
  <c r="U58" i="5"/>
  <c r="H64" i="5" s="1"/>
  <c r="S58" i="5"/>
  <c r="H60" i="5"/>
  <c r="U25" i="1"/>
  <c r="AD25" i="1"/>
  <c r="AB32" i="1"/>
  <c r="S96" i="5"/>
  <c r="H97" i="5"/>
  <c r="U96" i="5"/>
  <c r="L95" i="5"/>
  <c r="Q95" i="5" s="1"/>
  <c r="L93" i="5"/>
  <c r="L87" i="5"/>
  <c r="Q87" i="5" s="1"/>
  <c r="L86" i="5"/>
  <c r="CT29" i="1"/>
  <c r="S78" i="5"/>
  <c r="H84" i="5" s="1"/>
  <c r="H80" i="5"/>
  <c r="U78" i="5"/>
  <c r="H85" i="5" s="1"/>
  <c r="C79" i="5"/>
  <c r="E78" i="5"/>
  <c r="CP28" i="1"/>
  <c r="O28" i="1" s="1"/>
  <c r="K73" i="5"/>
  <c r="U27" i="1"/>
  <c r="Q27" i="1"/>
  <c r="CS26" i="1"/>
  <c r="R26" i="1" s="1"/>
  <c r="K62" i="5" s="1"/>
  <c r="H62" i="5"/>
  <c r="R62" i="5" s="1"/>
  <c r="CX12" i="3"/>
  <c r="E58" i="5"/>
  <c r="C59" i="5"/>
  <c r="CT24" i="1"/>
  <c r="S24" i="1" s="1"/>
  <c r="K42" i="5" s="1"/>
  <c r="S40" i="5"/>
  <c r="H45" i="5" s="1"/>
  <c r="H42" i="5"/>
  <c r="U40" i="5"/>
  <c r="H46" i="5" s="1"/>
  <c r="CX4" i="3"/>
  <c r="C41" i="5"/>
  <c r="E40" i="5"/>
  <c r="G22" i="1"/>
  <c r="A102" i="5"/>
  <c r="CS31" i="1"/>
  <c r="R31" i="1" s="1"/>
  <c r="H94" i="5"/>
  <c r="W94" i="5" s="1"/>
  <c r="CT30" i="1"/>
  <c r="S30" i="1" s="1"/>
  <c r="K90" i="5" s="1"/>
  <c r="V29" i="1"/>
  <c r="AI34" i="1" s="1"/>
  <c r="AD29" i="1"/>
  <c r="H81" i="5" s="1"/>
  <c r="H82" i="5"/>
  <c r="R82" i="5" s="1"/>
  <c r="H70" i="5"/>
  <c r="U68" i="5"/>
  <c r="H75" i="5" s="1"/>
  <c r="S68" i="5"/>
  <c r="H74" i="5" s="1"/>
  <c r="R27" i="1"/>
  <c r="CQ27" i="1"/>
  <c r="P27" i="1" s="1"/>
  <c r="CP27" i="1" s="1"/>
  <c r="O27" i="1" s="1"/>
  <c r="K66" i="5" s="1"/>
  <c r="H66" i="5"/>
  <c r="W66" i="5" s="1"/>
  <c r="W26" i="1"/>
  <c r="AJ34" i="1" s="1"/>
  <c r="U26" i="1"/>
  <c r="AD26" i="1"/>
  <c r="AB26" i="1" s="1"/>
  <c r="U49" i="5"/>
  <c r="H55" i="5" s="1"/>
  <c r="S49" i="5"/>
  <c r="H54" i="5" s="1"/>
  <c r="H51" i="5"/>
  <c r="CX8" i="3"/>
  <c r="C50" i="5"/>
  <c r="E49" i="5"/>
  <c r="AI22" i="1"/>
  <c r="V34" i="1"/>
  <c r="AE34" i="1"/>
  <c r="CG22" i="1"/>
  <c r="AX34" i="1"/>
  <c r="CY25" i="1"/>
  <c r="X25" i="1" s="1"/>
  <c r="T49" i="5" s="1"/>
  <c r="K54" i="5" s="1"/>
  <c r="CZ25" i="1"/>
  <c r="Y25" i="1" s="1"/>
  <c r="V49" i="5" s="1"/>
  <c r="K55" i="5" s="1"/>
  <c r="CR31" i="1"/>
  <c r="Q31" i="1" s="1"/>
  <c r="AB31" i="1"/>
  <c r="AH34" i="1"/>
  <c r="CC22" i="1"/>
  <c r="AT34" i="1"/>
  <c r="CZ30" i="1"/>
  <c r="Y30" i="1" s="1"/>
  <c r="V88" i="5" s="1"/>
  <c r="CR29" i="1"/>
  <c r="Q29" i="1" s="1"/>
  <c r="CK22" i="1"/>
  <c r="BB34" i="1"/>
  <c r="CY27" i="1"/>
  <c r="X27" i="1" s="1"/>
  <c r="T66" i="5" s="1"/>
  <c r="CZ27" i="1"/>
  <c r="Y27" i="1" s="1"/>
  <c r="V66" i="5" s="1"/>
  <c r="CX28" i="3"/>
  <c r="CX32" i="3"/>
  <c r="CX31" i="3"/>
  <c r="CX30" i="3"/>
  <c r="CX34" i="3"/>
  <c r="CX29" i="3"/>
  <c r="CX33" i="3"/>
  <c r="AB27" i="1"/>
  <c r="AP34" i="1"/>
  <c r="AO34" i="1"/>
  <c r="CT32" i="1"/>
  <c r="S32" i="1" s="1"/>
  <c r="K97" i="5" s="1"/>
  <c r="J100" i="5" s="1"/>
  <c r="P100" i="5" s="1"/>
  <c r="W31" i="1"/>
  <c r="S31" i="1"/>
  <c r="P30" i="1"/>
  <c r="GX27" i="1"/>
  <c r="CJ34" i="1" s="1"/>
  <c r="CQ26" i="1"/>
  <c r="P26" i="1" s="1"/>
  <c r="CY24" i="1"/>
  <c r="X24" i="1" s="1"/>
  <c r="T40" i="5" s="1"/>
  <c r="K45" i="5" s="1"/>
  <c r="CZ24" i="1"/>
  <c r="Y24" i="1" s="1"/>
  <c r="V40" i="5" s="1"/>
  <c r="K46" i="5" s="1"/>
  <c r="CQ25" i="1"/>
  <c r="P25" i="1" s="1"/>
  <c r="AB25" i="1"/>
  <c r="CI34" i="1"/>
  <c r="BC34" i="1"/>
  <c r="AU34" i="1"/>
  <c r="AQ34" i="1"/>
  <c r="CX36" i="3"/>
  <c r="CX35" i="3"/>
  <c r="W29" i="1"/>
  <c r="S29" i="1"/>
  <c r="K80" i="5" s="1"/>
  <c r="AB28" i="1"/>
  <c r="T27" i="1"/>
  <c r="AG34" i="1" s="1"/>
  <c r="CR24" i="1"/>
  <c r="Q24" i="1" s="1"/>
  <c r="CX25" i="3"/>
  <c r="CX21" i="3"/>
  <c r="CX17" i="3"/>
  <c r="CX13" i="3"/>
  <c r="CX9" i="3"/>
  <c r="CX1" i="3"/>
  <c r="CX26" i="3"/>
  <c r="CX22" i="3"/>
  <c r="CX18" i="3"/>
  <c r="CX14" i="3"/>
  <c r="CX10" i="3"/>
  <c r="CX6" i="3"/>
  <c r="CX2" i="3"/>
  <c r="CX27" i="3"/>
  <c r="CX23" i="3"/>
  <c r="CX19" i="3"/>
  <c r="CX15" i="3"/>
  <c r="CX11" i="3"/>
  <c r="CX7" i="3"/>
  <c r="CX3" i="3"/>
  <c r="CX24" i="3"/>
  <c r="CX20" i="3"/>
  <c r="H91" i="5" l="1"/>
  <c r="H92" i="5"/>
  <c r="W95" i="5" s="1"/>
  <c r="R90" i="5"/>
  <c r="CP29" i="1"/>
  <c r="O29" i="1" s="1"/>
  <c r="K81" i="5"/>
  <c r="CP30" i="1"/>
  <c r="O30" i="1" s="1"/>
  <c r="AB29" i="1"/>
  <c r="CP32" i="1"/>
  <c r="O32" i="1" s="1"/>
  <c r="CR25" i="1"/>
  <c r="Q25" i="1" s="1"/>
  <c r="K52" i="5" s="1"/>
  <c r="J57" i="5" s="1"/>
  <c r="P57" i="5" s="1"/>
  <c r="H52" i="5"/>
  <c r="W57" i="5" s="1"/>
  <c r="CZ28" i="1"/>
  <c r="Y28" i="1" s="1"/>
  <c r="V68" i="5" s="1"/>
  <c r="K75" i="5" s="1"/>
  <c r="K43" i="5"/>
  <c r="J48" i="5" s="1"/>
  <c r="P48" i="5" s="1"/>
  <c r="CR26" i="1"/>
  <c r="Q26" i="1" s="1"/>
  <c r="K61" i="5" s="1"/>
  <c r="H61" i="5"/>
  <c r="W77" i="5"/>
  <c r="R70" i="5"/>
  <c r="G77" i="5"/>
  <c r="O77" i="5" s="1"/>
  <c r="G87" i="5"/>
  <c r="O87" i="5" s="1"/>
  <c r="W87" i="5"/>
  <c r="R80" i="5"/>
  <c r="L56" i="5"/>
  <c r="L57" i="5"/>
  <c r="Q57" i="5" s="1"/>
  <c r="G48" i="5"/>
  <c r="O48" i="5" s="1"/>
  <c r="H63" i="5"/>
  <c r="W100" i="5"/>
  <c r="G100" i="5"/>
  <c r="O100" i="5" s="1"/>
  <c r="R97" i="5"/>
  <c r="CY26" i="1"/>
  <c r="X26" i="1" s="1"/>
  <c r="T58" i="5" s="1"/>
  <c r="K63" i="5" s="1"/>
  <c r="CY30" i="1"/>
  <c r="X30" i="1" s="1"/>
  <c r="T88" i="5" s="1"/>
  <c r="R51" i="5"/>
  <c r="L67" i="5"/>
  <c r="Q67" i="5" s="1"/>
  <c r="L65" i="5"/>
  <c r="R42" i="5"/>
  <c r="W48" i="5"/>
  <c r="R60" i="5"/>
  <c r="CY28" i="1"/>
  <c r="X28" i="1" s="1"/>
  <c r="CZ26" i="1"/>
  <c r="Y26" i="1" s="1"/>
  <c r="V58" i="5" s="1"/>
  <c r="K64" i="5" s="1"/>
  <c r="AG22" i="1"/>
  <c r="T34" i="1"/>
  <c r="CZ29" i="1"/>
  <c r="Y29" i="1" s="1"/>
  <c r="V78" i="5" s="1"/>
  <c r="K85" i="5" s="1"/>
  <c r="CY29" i="1"/>
  <c r="X29" i="1" s="1"/>
  <c r="AQ22" i="1"/>
  <c r="F44" i="1"/>
  <c r="AQ66" i="1"/>
  <c r="CY31" i="1"/>
  <c r="X31" i="1" s="1"/>
  <c r="T94" i="5" s="1"/>
  <c r="CZ31" i="1"/>
  <c r="Y31" i="1" s="1"/>
  <c r="V94" i="5" s="1"/>
  <c r="K92" i="5" s="1"/>
  <c r="AJ22" i="1"/>
  <c r="W34" i="1"/>
  <c r="BC22" i="1"/>
  <c r="F50" i="1"/>
  <c r="BC66" i="1"/>
  <c r="AL34" i="1"/>
  <c r="CJ22" i="1"/>
  <c r="BA34" i="1"/>
  <c r="CZ32" i="1"/>
  <c r="Y32" i="1" s="1"/>
  <c r="V96" i="5" s="1"/>
  <c r="CY32" i="1"/>
  <c r="X32" i="1" s="1"/>
  <c r="BB22" i="1"/>
  <c r="BB66" i="1"/>
  <c r="F47" i="1"/>
  <c r="CI22" i="1"/>
  <c r="AZ34" i="1"/>
  <c r="GM30" i="1"/>
  <c r="GN30" i="1"/>
  <c r="AO22" i="1"/>
  <c r="F38" i="1"/>
  <c r="AO66" i="1"/>
  <c r="AE22" i="1"/>
  <c r="R34" i="1"/>
  <c r="AP22" i="1"/>
  <c r="AP66" i="1"/>
  <c r="F43" i="1"/>
  <c r="AF34" i="1"/>
  <c r="V22" i="1"/>
  <c r="V66" i="1"/>
  <c r="F57" i="1"/>
  <c r="GM27" i="1"/>
  <c r="GN27" i="1"/>
  <c r="AU22" i="1"/>
  <c r="AU66" i="1"/>
  <c r="F53" i="1"/>
  <c r="AC34" i="1"/>
  <c r="CP25" i="1"/>
  <c r="O25" i="1" s="1"/>
  <c r="CP24" i="1"/>
  <c r="O24" i="1" s="1"/>
  <c r="CP31" i="1"/>
  <c r="O31" i="1" s="1"/>
  <c r="K94" i="5" s="1"/>
  <c r="AT22" i="1"/>
  <c r="AT66" i="1"/>
  <c r="F52" i="1"/>
  <c r="AH22" i="1"/>
  <c r="U34" i="1"/>
  <c r="AX22" i="1"/>
  <c r="AX66" i="1"/>
  <c r="F41" i="1"/>
  <c r="G95" i="5" l="1"/>
  <c r="O95" i="5" s="1"/>
  <c r="L102" i="5"/>
  <c r="G57" i="5"/>
  <c r="O57" i="5" s="1"/>
  <c r="W67" i="5"/>
  <c r="G26" i="5" s="1"/>
  <c r="G67" i="5"/>
  <c r="O67" i="5" s="1"/>
  <c r="G102" i="5" s="1"/>
  <c r="J67" i="5"/>
  <c r="P67" i="5" s="1"/>
  <c r="F16" i="2"/>
  <c r="F18" i="2" s="1"/>
  <c r="I27" i="5"/>
  <c r="G16" i="2"/>
  <c r="G18" i="2" s="1"/>
  <c r="I28" i="5"/>
  <c r="G31" i="5"/>
  <c r="AD34" i="1"/>
  <c r="GN29" i="1"/>
  <c r="T78" i="5"/>
  <c r="K84" i="5" s="1"/>
  <c r="J87" i="5" s="1"/>
  <c r="P87" i="5" s="1"/>
  <c r="K91" i="5"/>
  <c r="J95" i="5" s="1"/>
  <c r="P95" i="5" s="1"/>
  <c r="CP26" i="1"/>
  <c r="O26" i="1" s="1"/>
  <c r="GN32" i="1"/>
  <c r="T96" i="5"/>
  <c r="T68" i="5"/>
  <c r="K74" i="5" s="1"/>
  <c r="J77" i="5" s="1"/>
  <c r="P77" i="5" s="1"/>
  <c r="GM28" i="1"/>
  <c r="GN28" i="1"/>
  <c r="AT18" i="1"/>
  <c r="F84" i="1"/>
  <c r="AF22" i="1"/>
  <c r="S34" i="1"/>
  <c r="R22" i="1"/>
  <c r="F48" i="1"/>
  <c r="R66" i="1"/>
  <c r="AZ22" i="1"/>
  <c r="AZ66" i="1"/>
  <c r="F45" i="1"/>
  <c r="T22" i="1"/>
  <c r="F55" i="1"/>
  <c r="T66" i="1"/>
  <c r="U22" i="1"/>
  <c r="F56" i="1"/>
  <c r="I30" i="5" s="1"/>
  <c r="G30" i="5" s="1"/>
  <c r="U66" i="1"/>
  <c r="AC22" i="1"/>
  <c r="CH34" i="1"/>
  <c r="CE34" i="1"/>
  <c r="P34" i="1"/>
  <c r="CF34" i="1"/>
  <c r="GM31" i="1"/>
  <c r="GN31" i="1"/>
  <c r="GM32" i="1"/>
  <c r="HD32" i="1" s="1"/>
  <c r="CM34" i="1" s="1"/>
  <c r="AP18" i="1"/>
  <c r="F75" i="1"/>
  <c r="AO18" i="1"/>
  <c r="F70" i="1"/>
  <c r="BC18" i="1"/>
  <c r="F82" i="1"/>
  <c r="GM29" i="1"/>
  <c r="AX18" i="1"/>
  <c r="F73" i="1"/>
  <c r="GM24" i="1"/>
  <c r="GN24" i="1"/>
  <c r="AB34" i="1"/>
  <c r="AU18" i="1"/>
  <c r="F85" i="1"/>
  <c r="AK34" i="1"/>
  <c r="BB18" i="1"/>
  <c r="F79" i="1"/>
  <c r="BA22" i="1"/>
  <c r="F54" i="1"/>
  <c r="I29" i="5" s="1"/>
  <c r="BA66" i="1"/>
  <c r="GM25" i="1"/>
  <c r="GN25" i="1"/>
  <c r="V18" i="1"/>
  <c r="F89" i="1"/>
  <c r="AL22" i="1"/>
  <c r="Y34" i="1"/>
  <c r="W22" i="1"/>
  <c r="F58" i="1"/>
  <c r="W66" i="1"/>
  <c r="AQ18" i="1"/>
  <c r="F76" i="1"/>
  <c r="J102" i="5" l="1"/>
  <c r="G25" i="5"/>
  <c r="H16" i="2"/>
  <c r="H18" i="2" s="1"/>
  <c r="CA34" i="1"/>
  <c r="AR34" i="1" s="1"/>
  <c r="GM26" i="1"/>
  <c r="GN26" i="1"/>
  <c r="AD22" i="1"/>
  <c r="Q34" i="1"/>
  <c r="Y22" i="1"/>
  <c r="Y66" i="1"/>
  <c r="F61" i="1"/>
  <c r="CA22" i="1"/>
  <c r="CH22" i="1"/>
  <c r="AY34" i="1"/>
  <c r="W18" i="1"/>
  <c r="F90" i="1"/>
  <c r="BA18" i="1"/>
  <c r="F86" i="1"/>
  <c r="AB22" i="1"/>
  <c r="O34" i="1"/>
  <c r="P22" i="1"/>
  <c r="F37" i="1"/>
  <c r="P66" i="1"/>
  <c r="U18" i="1"/>
  <c r="F88" i="1"/>
  <c r="S22" i="1"/>
  <c r="S66" i="1"/>
  <c r="F49" i="1"/>
  <c r="AK22" i="1"/>
  <c r="X34" i="1"/>
  <c r="CB34" i="1"/>
  <c r="CE22" i="1"/>
  <c r="AV34" i="1"/>
  <c r="R18" i="1"/>
  <c r="F80" i="1"/>
  <c r="CM22" i="1"/>
  <c r="BD34" i="1"/>
  <c r="CF22" i="1"/>
  <c r="AW34" i="1"/>
  <c r="T18" i="1"/>
  <c r="F87" i="1"/>
  <c r="AZ18" i="1"/>
  <c r="F77" i="1"/>
  <c r="F46" i="1" l="1"/>
  <c r="Q66" i="1"/>
  <c r="Q22" i="1"/>
  <c r="J16" i="2"/>
  <c r="J18" i="2" s="1"/>
  <c r="I31" i="5"/>
  <c r="CB22" i="1"/>
  <c r="AS34" i="1"/>
  <c r="P18" i="1"/>
  <c r="F69" i="1"/>
  <c r="Y18" i="1"/>
  <c r="F93" i="1"/>
  <c r="X22" i="1"/>
  <c r="F60" i="1"/>
  <c r="X66" i="1"/>
  <c r="AR22" i="1"/>
  <c r="F62" i="1"/>
  <c r="I25" i="5" s="1"/>
  <c r="AR66" i="1"/>
  <c r="BD22" i="1"/>
  <c r="BD66" i="1"/>
  <c r="F59" i="1"/>
  <c r="AV22" i="1"/>
  <c r="F39" i="1"/>
  <c r="AV66" i="1"/>
  <c r="O22" i="1"/>
  <c r="O66" i="1"/>
  <c r="F36" i="1"/>
  <c r="AW22" i="1"/>
  <c r="F40" i="1"/>
  <c r="AW66" i="1"/>
  <c r="S18" i="1"/>
  <c r="F81" i="1"/>
  <c r="AY22" i="1"/>
  <c r="F42" i="1"/>
  <c r="AY66" i="1"/>
  <c r="F78" i="1" l="1"/>
  <c r="Q18" i="1"/>
  <c r="AV18" i="1"/>
  <c r="F71" i="1"/>
  <c r="BD18" i="1"/>
  <c r="F91" i="1"/>
  <c r="AS22" i="1"/>
  <c r="AS66" i="1"/>
  <c r="F51" i="1"/>
  <c r="AY18" i="1"/>
  <c r="F74" i="1"/>
  <c r="X18" i="1"/>
  <c r="F92" i="1"/>
  <c r="AW18" i="1"/>
  <c r="F72" i="1"/>
  <c r="O18" i="1"/>
  <c r="F68" i="1"/>
  <c r="AR18" i="1"/>
  <c r="F94" i="1"/>
  <c r="F63" i="1"/>
  <c r="F64" i="1" l="1"/>
  <c r="J105" i="5" s="1"/>
  <c r="J104" i="5"/>
  <c r="E16" i="2"/>
  <c r="I16" i="2" s="1"/>
  <c r="I18" i="2" s="1"/>
  <c r="I26" i="5"/>
  <c r="E18" i="2"/>
  <c r="AS18" i="1"/>
  <c r="F83" i="1"/>
  <c r="F95" i="1"/>
  <c r="F96" i="1"/>
</calcChain>
</file>

<file path=xl/sharedStrings.xml><?xml version="1.0" encoding="utf-8"?>
<sst xmlns="http://schemas.openxmlformats.org/spreadsheetml/2006/main" count="1495" uniqueCount="330">
  <si>
    <t>Smeta.RU  (495) 974-1589</t>
  </si>
  <si>
    <t>_PS_</t>
  </si>
  <si>
    <t>Smeta.RU</t>
  </si>
  <si>
    <t/>
  </si>
  <si>
    <t>Новый объект</t>
  </si>
  <si>
    <t>Павловский Посад 2021</t>
  </si>
  <si>
    <t>Сметные нормы списания</t>
  </si>
  <si>
    <t>Коды ценников</t>
  </si>
  <si>
    <t>ТСНБ-2014</t>
  </si>
  <si>
    <t>ТР для Версии 10: Центральные регионы (с уч. п-ма 2536-ИП/12/ГС от 27.11.12, 01/57049-ЮЛ от 27.04.2018) от 14.03.2019 г</t>
  </si>
  <si>
    <t>ТСНБ-2001 Московской области (редакция 2014 г версия 15.0)</t>
  </si>
  <si>
    <t>Поправки  для НБ 2014 года от 28.04.2017</t>
  </si>
  <si>
    <t>Новая локальная смета</t>
  </si>
  <si>
    <t>1</t>
  </si>
  <si>
    <t>08-07-002-1</t>
  </si>
  <si>
    <t>Установка и разборка внутренних трубчатых инвентарных лесов при высоте помещений до 6 м</t>
  </si>
  <si>
    <t>100 м2 горизонтальной проекции</t>
  </si>
  <si>
    <t>ТЕР Московской обл., 08-07-002-1, приказ Минстроя России №675/пр от 28.02.2017 № 260/пр</t>
  </si>
  <si>
    <t>Общестроительные работы</t>
  </si>
  <si>
    <t>Конструкции из кирпича и блоков</t>
  </si>
  <si>
    <t>ФЕР-08</t>
  </si>
  <si>
    <t>*0,9</t>
  </si>
  <si>
    <t>*0,85</t>
  </si>
  <si>
    <t>2</t>
  </si>
  <si>
    <t>46-04-012-2</t>
  </si>
  <si>
    <t>Разборка деревянных заполнений проемов оконных без подоконных досок</t>
  </si>
  <si>
    <t>100 м2</t>
  </si>
  <si>
    <t>ТЕР Московской обл., 46-04-012-2, приказ Минстроя России №675/пр от 28.02.2017 № 260/пр</t>
  </si>
  <si>
    <t>Реконструкция зданий и сооружений</t>
  </si>
  <si>
    <t>ФЕР-46</t>
  </si>
  <si>
    <t>3</t>
  </si>
  <si>
    <t>56-1-1</t>
  </si>
  <si>
    <t>Демонтаж оконных коробок в каменных стенах с отбивкой штукатурки в откосах</t>
  </si>
  <si>
    <t>100 коробок</t>
  </si>
  <si>
    <t>ТЕРр Московской обл., 56-1-1, приказ Минстроя России №675/пр от 28.02.2017 № 263/пр</t>
  </si>
  <si>
    <t>Ремонтно-строительные работы</t>
  </si>
  <si>
    <t>Проемы</t>
  </si>
  <si>
    <t>рФЕР-56</t>
  </si>
  <si>
    <t>3,1</t>
  </si>
  <si>
    <t>509-9900</t>
  </si>
  <si>
    <t>Строительный мусор</t>
  </si>
  <si>
    <t>т</t>
  </si>
  <si>
    <t>ТССЦ Московской обл., 509-9900, приказ Минстроя России №675/пр от 28.02.2017 № 258/пр</t>
  </si>
  <si>
    <t>4</t>
  </si>
  <si>
    <t>10-01-034-5</t>
  </si>
  <si>
    <t>Установка в жилых и общественных зданиях оконных блоков из ПВХ профилей поворотных (откидных, поворотно-откидных) с площадью проема до 2 м2 двухстворчатых</t>
  </si>
  <si>
    <t>100 м2 проемов</t>
  </si>
  <si>
    <t>ТЕР Московской обл., 10-01-034-5, приказ Минстроя России №675/пр от 28.02.2017 № 260/пр</t>
  </si>
  <si>
    <t>Деревянные конструкции</t>
  </si>
  <si>
    <t>ФЕР-10</t>
  </si>
  <si>
    <t>5</t>
  </si>
  <si>
    <t>12-01-010-1</t>
  </si>
  <si>
    <t>Устройство мелких покрытий (брандмауэры, парапеты, свесы и т.п.) из листовой оцинкованной стали</t>
  </si>
  <si>
    <t>100 м2 покрытия</t>
  </si>
  <si>
    <t>ТЕР Московской обл., 12-01-010-1, приказ Минстроя России №675/пр от 28.02.2017 № 260/пр</t>
  </si>
  <si>
    <t>Кровли</t>
  </si>
  <si>
    <t>ФЕР-12</t>
  </si>
  <si>
    <t>6</t>
  </si>
  <si>
    <t>69-9-1</t>
  </si>
  <si>
    <t>Очистка помещений от строительного мусора</t>
  </si>
  <si>
    <t>100 т мусора</t>
  </si>
  <si>
    <t>ТЕРр Московской обл., 69-9-1, приказ Минстроя России №675/пр от 28.02.2017 № 263/пр</t>
  </si>
  <si>
    <t>Прочие ремонтно-строительные работы</t>
  </si>
  <si>
    <t>рФЕР-69</t>
  </si>
  <si>
    <t>6,1</t>
  </si>
  <si>
    <t>8</t>
  </si>
  <si>
    <t>т01-01-01-041</t>
  </si>
  <si>
    <t>Погрузка при автомобильных перевозках мусора строительного с погрузкой вручную</t>
  </si>
  <si>
    <t>1 Т ГРУЗА</t>
  </si>
  <si>
    <t>ТССЦпг Московской обл., т01-01-01-041, приказ Минстроя России №675/пр от 28.02.2017 № 261/пр</t>
  </si>
  <si>
    <t>Погрузочно-разгрузочные работы</t>
  </si>
  <si>
    <t>Перевозка грузов , (ФССЦпр 2011-изм. № 4-6, раздел 1):  погрузочно-разгрузочные работы  (НР и СП в прям. затратах )</t>
  </si>
  <si>
    <t>ФССЦпр  пог. а/п (2011,изм. 4-6)</t>
  </si>
  <si>
    <t>ПЗ</t>
  </si>
  <si>
    <t>Прямые затраты</t>
  </si>
  <si>
    <t>СтМатОб</t>
  </si>
  <si>
    <t>Стоимость материальных ресурсов (всего)</t>
  </si>
  <si>
    <t>СтМатОбЗак</t>
  </si>
  <si>
    <t>Стоимость материалов и оборудования заказчика</t>
  </si>
  <si>
    <t>СтМатОбПод</t>
  </si>
  <si>
    <t>Стоимость материалов и оборудования подрядчика</t>
  </si>
  <si>
    <t>СтМат</t>
  </si>
  <si>
    <t>Стоимость материалов (всего)</t>
  </si>
  <si>
    <t>СтМатЗак</t>
  </si>
  <si>
    <t>Стоимость материалов заказчика</t>
  </si>
  <si>
    <t>СтМатПод</t>
  </si>
  <si>
    <t>Стоимость материалов подрядчика</t>
  </si>
  <si>
    <t>Оборуд</t>
  </si>
  <si>
    <t>Стоимость оборудования (всего)</t>
  </si>
  <si>
    <t>ОборудЗак</t>
  </si>
  <si>
    <t>Стоимость оборудования заказчика</t>
  </si>
  <si>
    <t>ОборудПод</t>
  </si>
  <si>
    <t>Стоимость оборудования подрядчика</t>
  </si>
  <si>
    <t>ЭММ</t>
  </si>
  <si>
    <t>Эксплуатация машин</t>
  </si>
  <si>
    <t>ЭММсНРиСП</t>
  </si>
  <si>
    <t>Эксплуатация машин по ТСН-2001.16</t>
  </si>
  <si>
    <t>ЗПМ</t>
  </si>
  <si>
    <t>ЗП машинистов</t>
  </si>
  <si>
    <t>ОЗП</t>
  </si>
  <si>
    <t>Основная ЗП рабочих</t>
  </si>
  <si>
    <t>ОЗПсНРиСП</t>
  </si>
  <si>
    <t>Основная ЗП рабочих по ТСН-2001.16</t>
  </si>
  <si>
    <t>Строит</t>
  </si>
  <si>
    <t>Строительные работы с НР и СП</t>
  </si>
  <si>
    <t>Монтаж</t>
  </si>
  <si>
    <t>Монтажные работы с НР и СП</t>
  </si>
  <si>
    <t>Прочие</t>
  </si>
  <si>
    <t>Прочие работы с НР и СП</t>
  </si>
  <si>
    <t>ПрочиеЗатр</t>
  </si>
  <si>
    <t>Прочие затраты по ТСН-2001.16</t>
  </si>
  <si>
    <t>ВозврМат</t>
  </si>
  <si>
    <t>Возврат материалов</t>
  </si>
  <si>
    <t>ТрудСтр</t>
  </si>
  <si>
    <t>Трудозатраты строителей</t>
  </si>
  <si>
    <t>ТрудМаш</t>
  </si>
  <si>
    <t>Трудозатраты машинистов</t>
  </si>
  <si>
    <t>ТранспМат</t>
  </si>
  <si>
    <t>Транспорт материалов</t>
  </si>
  <si>
    <t>Перевозка</t>
  </si>
  <si>
    <t>Перевозка грузов</t>
  </si>
  <si>
    <t>НР</t>
  </si>
  <si>
    <t>Накладные расходы</t>
  </si>
  <si>
    <t>СмПриб</t>
  </si>
  <si>
    <t>Сметная прибыль</t>
  </si>
  <si>
    <t>Всего</t>
  </si>
  <si>
    <t>Всего с НР и СП</t>
  </si>
  <si>
    <t>НДС</t>
  </si>
  <si>
    <t>НДС 20%</t>
  </si>
  <si>
    <t>Итого по смете</t>
  </si>
  <si>
    <t>Итого с НДС</t>
  </si>
  <si>
    <t>СТР_РЕК</t>
  </si>
  <si>
    <t>СТРОИТЕЛЬСТВО и РЕКОНСТРУКЦИЯ  зданий и сооружений всех назначений</t>
  </si>
  <si>
    <t>РЕМ_ЖИЛ</t>
  </si>
  <si>
    <t>КАП. РЕМ. ЖИЛЫХ И ОБЩЕСТВЕННЫХ ЗДАНИЙ</t>
  </si>
  <si>
    <t>РЕМ_ПР</t>
  </si>
  <si>
    <t>КАП. РЕМ. ПРОИЗВОДСТВЕННЫХ ЗД, и СООРУЖЕНИЙ,  НАРУЖНЫХ ИНЖЕНЕРНЫХ СЕТЕЙ, УЛИЦ И ДОРОГ МЕСТНОГО ЗНАЧЕНИЯ, МОСТОВ И ПУТЕПРОВОДОВ</t>
  </si>
  <si>
    <t>УПР</t>
  </si>
  <si>
    <t>{вкл} - УПРОЩЕННОЕ НАЛОГООБЛОЖЕНИЕ</t>
  </si>
  <si>
    <t>Для всех  расценок. (  при применении упрощенной системы налогообложения)  · {УПР} - ( вкл.)    -  при упрощенной системе   ;  к = 0,9 к СП ( к= 0,7 к НР отменен с 1.01.11)  · {УПР} - ( выкл.) -  при  обычной системе налогообложения</t>
  </si>
  <si>
    <t>ХОЗ</t>
  </si>
  <si>
    <t>{вкл} - ХОЗЯЙСТВЕННЫЙ СПОСОБ</t>
  </si>
  <si>
    <t>Для всех  расценок. (  при хозяйственном способе производства работ):  · {ХОЗ} - ( вкл.)    -  при  хоз. способе (к=0,6 к НР )  · {ХОЗ} - ( выкл.) -  при обычном способе производства работ</t>
  </si>
  <si>
    <t>СЛЖ</t>
  </si>
  <si>
    <t>{вкл} -  При  РЕКОНСТРУКЦИИ сложных объектов, РЕКОНСТРУКЦИИ и КАП. РЕМОНТЕ объектов с дейст. яд. реакторами</t>
  </si>
  <si>
    <t>Для сборников ФЕР ( при производстве работ на технически сложных объектах ):  ·  { СЛЖ } - (вкл.)    - работа на сложных объектах  (к=1,2 к НР)           ·  { СЛЖ } - (выкл.) - работа на обычных объектах</t>
  </si>
  <si>
    <t>ТЕК_М/Т/Я</t>
  </si>
  <si>
    <t>При работе в тек. уровне цен с 27.04.2018 г. (письмо № 01/57049-ЮЛ от 27.04.2018 Минюст РФ), коэффициенты к НР =0,85 и к СП-0,8 не назначаются. До 27.04.2018 г. только для мостов, тоннелей, метро, АЭС, объектов с ядерным топливом (см. прим.)</t>
  </si>
  <si>
    <t>ОПТ/В</t>
  </si>
  <si>
    <t>{вкл}    - Прокладка  МЕЖДУГОРОДНИХ  ВОЛОКОННО-ОПТИЧЕСКИХ ЛИНИЙ (для ФЕРм10, отд. 6 разд.3)  {выкл} - Прокладка  ГОРОДСКИХ               ВОЛОКОННО-ОПТИТЕСКИХ ЛИНИЙ  (для ФЕРм10, отд. 6 разд.3)</t>
  </si>
  <si>
    <t>Для сборников ФЕРм-10  ( волоконно-оптические линии связи ): ·  {М_ГОР_опт} -  ( вкл.)  - междугородные сети связи ( НР=120% , СП=70% )           ·  {М_ГОР_опт} - ( выкл.) - городские сети связи  ( НР=100%; СП=65%)</t>
  </si>
  <si>
    <t>ЗАКР</t>
  </si>
  <si>
    <t>{вкл}   -  Обслуживающие и сопутстующие работы в тоннелях при  производве работ ЗАКРЫТЫМ СПОСОБОМ   {выкл} - Обслуживающие и сопутстующие работы в тоннелях при  производве работ  ОТКРЫТЫМ                       (ФЕР-29, разд.04 )</t>
  </si>
  <si>
    <t>Для сборника ФЕР -29 ( сопутствующие работы в тоннелях и метро. ): ·  {ЗАКР} - (вкл.)     -  при выполнении работ в тоннелях  и метро закрытым способом  (НР=145% , СП=75%); ·                {ЗАКР} - (выкл.) -   при выполнении работ в тоннелях и метро  отк</t>
  </si>
  <si>
    <t>АВИ</t>
  </si>
  <si>
    <t>(вкл)   -  При работах по ДИСПЕТЧЕРЕЗАЦИИ управления движением АВИАТРАНСПОРТОМ {вкл}  (монтажные работы )</t>
  </si>
  <si>
    <t>Для сборников ФЕРм 08;10;11 :    · {мАВИА} -  (вкл.)     -  производство монтажных  работы по диспетчеризации управления  движением авиатранспортном (НР=95%, СП=55%) ;    ·            {мАВИА} -  (выкл. ) -  при производстве работ на прочих объектах , кром</t>
  </si>
  <si>
    <t>АЭС</t>
  </si>
  <si>
    <t>(вкл)  -  Производство эл./монт. работ на АЭС ( ФЕРм -08 , отдел 01-03 ),  и контроль свар. швов  на АЭС {вкл}  (ФЕРм-39, отд. 02 и 03 )  (вык) -  Произовдство эл./монт. работ  и и контроль свар. швов на ОБЫЧНЫХ СООРУЖ,</t>
  </si>
  <si>
    <t>Для сборника ФЕРм -39  и ФЕРМ-08  ( при работах по контролю сварных соединений) :    {мАЭС} - ( вкл.)  -     при выполнении работ по на АЭС  (HР=101%; СП= 68%;             {мАЭС} - (выкл.) -  при выполнении работ  на обычных объектах</t>
  </si>
  <si>
    <t>Инд_исп.Сводный</t>
  </si>
  <si>
    <t>Используется Индекс "по сводному"</t>
  </si>
  <si>
    <t>К_НР_РЕМ</t>
  </si>
  <si>
    <t>при ремонте жилых и общественных зданий если  ( если {РЕМ_ЖИЛ}= [вкл.]</t>
  </si>
  <si>
    <t>Для сборников  ФЕР и  ФЕРмр :  · Значение {_МДСрем_НР}= 0,90 -  при ремонте зданий жилого и гражданского назначений ( 0,90 к НР) ;  · Значение {_МДСрем_НР}= 1,00  - при строительстве  и реконструкции  объектов всех назначений</t>
  </si>
  <si>
    <t>К_СП_РЕМ</t>
  </si>
  <si>
    <t>к нормам СП при капитальном ремонте зданий и сооружений всех назначений ( если или {РЕМ_ЖИЛ}=[вкл] , или (РЕМ_ПР}=[вкл] )</t>
  </si>
  <si>
    <t>Для сборников  ФЕР и  ФЕРмр :   · Значение {_МДСрем_СП} = 0.85  -  при ремонте зданий всех назначений ( 0,85 к СП);   · Значение {_МДСрем_СП} = 1,00 -  при строительстве  и реконструкции  объектов всех назначений</t>
  </si>
  <si>
    <t>К_НР_05</t>
  </si>
  <si>
    <t>К нормам НР  с 1.01.2005 по 1.01.2011</t>
  </si>
  <si>
    <t>Для норм НР с 1.01.2011 года:  · {_ТЕК_НР} = 0.85  -  Коэффициент   учитывающий изменение нормы страховых взносов с  1.01.1 - (при расчете в текущем уровне цен  индексами по статьям затрат )  · {_ТЕК_НР} = 1,00  -  при расчет в текущем уровне цен и при уп</t>
  </si>
  <si>
    <t>К_НР_11</t>
  </si>
  <si>
    <t>Коэфф.  к НР для текущего уровня цен с 01.01.2011  при обычном и упрощенном налогообложении  при постатейной индексации</t>
  </si>
  <si>
    <t>К_СП_11</t>
  </si>
  <si>
    <t>Коэф. к  СП в текущем уровне цен  с 01.01.2011</t>
  </si>
  <si>
    <t>Для норм СП с 1.01.2011 года:  · {_ТЕК_СП} = 0.80  -  Коэффициент   учитывающий изменение нормы страховых взносов с  1.01.11 - (при расчете в текущем уровне цен  индексами по статьям затрат )  · {_ТЕК_СП} = 1,00  -  без учета</t>
  </si>
  <si>
    <t>К_НР_12</t>
  </si>
  <si>
    <t>Корректировка НР с 03.12.12 до 27.04.18 если (ТЕК_М/Т/Я) = {выкл.}</t>
  </si>
  <si>
    <t>К_СП_12</t>
  </si>
  <si>
    <t>Корректировка СП с 03.12.12 до 27.04.18 в текущем уровне цен по письму  2536-ИП/12/ГС от 27.11.12  ( если (ТЕК_М/Т/Я) = {выкл.} )</t>
  </si>
  <si>
    <t>К_НР_УПР</t>
  </si>
  <si>
    <t>Коэф. к  НР при упрощенном налогообложении    ( если {УПР} = [вкл] )</t>
  </si>
  <si>
    <t>К_СП_УПР</t>
  </si>
  <si>
    <t>Коэф. к СП при упрощенном налогообложении    ( если {УПР} = [вкл] )</t>
  </si>
  <si>
    <t>К_НР_ХОЗ</t>
  </si>
  <si>
    <t>Коэф. к НР при хозяйственном способе производства работ   ( если {ХОЗ}= {вкл} )</t>
  </si>
  <si>
    <t>К_НР_СЛЖ</t>
  </si>
  <si>
    <t>Коэф.  при реконструкции сложных объектов (мосты, метро, путепроводы)  и  кап. ремонте АЭС, объектов с яд. реакторами   ( если {СЛЖ} = [вкл] )</t>
  </si>
  <si>
    <t>Р_ОКР</t>
  </si>
  <si>
    <t>Разрядность округления результата расчета НР и СП  ( с 01.01.2011 - до целых )</t>
  </si>
  <si>
    <t>К_НР_УПР_ПУ</t>
  </si>
  <si>
    <t>Коэф. к НР при упрощенном налогообложении ( если {УПР} = [вкл] ) для расценок на изготовление материалов, полуфабрикатов, а также металлических и трубопроводных заготовок, изготовляемых в построечных условиях</t>
  </si>
  <si>
    <t>Уровень цен</t>
  </si>
  <si>
    <t>Сборник индексов</t>
  </si>
  <si>
    <t>ТСНБ-2001 МО (редакция 2014 г с доп.1)</t>
  </si>
  <si>
    <t>_OBSM_</t>
  </si>
  <si>
    <t>1-1031-90</t>
  </si>
  <si>
    <t>Рабочий строитель среднего разряда 3,1</t>
  </si>
  <si>
    <t>чел.-ч</t>
  </si>
  <si>
    <t>400001</t>
  </si>
  <si>
    <t>ТСЭМ Московской обл., 400001, приказ Минстроя России №675/пр от 28.02.2017 № 264/пр</t>
  </si>
  <si>
    <t>Автомобили бортовые, грузоподъемность до 5 т</t>
  </si>
  <si>
    <t>маш.-ч</t>
  </si>
  <si>
    <t>101-2594</t>
  </si>
  <si>
    <t>ТССЦ Московской обл., 101-2594, приказ Минстроя России №675/пр от 28.02.2017 № 254/пр</t>
  </si>
  <si>
    <t>Детали деревянные лесов из пиломатериалов хвойных пород</t>
  </si>
  <si>
    <t>м3</t>
  </si>
  <si>
    <t>101-2595</t>
  </si>
  <si>
    <t>ТССЦ Московской обл., 101-2595, приказ Минстроя России №675/пр от 28.02.2017 № 254/пр</t>
  </si>
  <si>
    <t>Детали стальных трубчатых лесов, укомплектованные пробками, крючками и хомутами, окрашенные</t>
  </si>
  <si>
    <t>203-0514</t>
  </si>
  <si>
    <t>ТССЦ Московской обл., 203-0514, приказ Минстроя России №675/пр от 28.02.2017 № 255/пр</t>
  </si>
  <si>
    <t>Щиты настила</t>
  </si>
  <si>
    <t>м2</t>
  </si>
  <si>
    <t>1-1024-90</t>
  </si>
  <si>
    <t>Рабочий строитель среднего разряда 2,4</t>
  </si>
  <si>
    <t>Затраты труда машинистов</t>
  </si>
  <si>
    <t>чел.час</t>
  </si>
  <si>
    <t>030954</t>
  </si>
  <si>
    <t>ТСЭМ Московской обл., 030954, приказ Минстроя России №675/пр от 28.02.2017 № 264/пр</t>
  </si>
  <si>
    <t>Подъемники грузоподъемностью до 500 кг одномачтовые, высота подъема 45 м</t>
  </si>
  <si>
    <t>1-1025-90</t>
  </si>
  <si>
    <t>Рабочий строитель среднего разряда 2,5</t>
  </si>
  <si>
    <t>050101</t>
  </si>
  <si>
    <t>ТСЭМ Московской обл., 050101, приказ Минстроя России №675/пр от 28.02.2017 № 264/пр</t>
  </si>
  <si>
    <t>Компрессоры передвижные с двигателем внутреннего сгорания давлением до 686 кПа (7 ат), производительность  до 5 м3/мин</t>
  </si>
  <si>
    <t>330804</t>
  </si>
  <si>
    <t>ТСЭМ Московской обл., 330804, приказ Минстроя России №675/пр от 28.02.2017 № 264/пр</t>
  </si>
  <si>
    <t>Молотки при работе от передвижных компрессорных станций отбойные пневматические</t>
  </si>
  <si>
    <t>1-1032-90</t>
  </si>
  <si>
    <t>Рабочий строитель среднего разряда 3,2</t>
  </si>
  <si>
    <t>134041</t>
  </si>
  <si>
    <t>ТСЭМ Московской обл., 134041, приказ Минстроя России №675/пр от 28.02.2017 № 264/пр</t>
  </si>
  <si>
    <t>Шуруповерт</t>
  </si>
  <si>
    <t>331451</t>
  </si>
  <si>
    <t>ТСЭМ Московской обл., 331451, приказ Минстроя России №675/пр от 28.02.2017 № 264/пр</t>
  </si>
  <si>
    <t>Перфораторы электрические</t>
  </si>
  <si>
    <t>101-2052</t>
  </si>
  <si>
    <t>ТССЦ Московской обл., 101-2052, приказ Минстроя России №675/пр от 28.02.2017 № 254/пр</t>
  </si>
  <si>
    <t>Лента бутиловая</t>
  </si>
  <si>
    <t>м</t>
  </si>
  <si>
    <t>101-2054</t>
  </si>
  <si>
    <t>ТССЦ Московской обл., 101-2054, приказ Минстроя России №675/пр от 28.02.2017 № 254/пр</t>
  </si>
  <si>
    <t>Лента бутиловая диффузионная</t>
  </si>
  <si>
    <t>101-2388</t>
  </si>
  <si>
    <t>ТССЦ Московской обл., 101-2388, приказ Минстроя России №675/пр от 28.02.2017 № 254/пр</t>
  </si>
  <si>
    <t>Герметик пенополиуретановый (пена монтажная) типа Makrofleks, Soudal в баллонах по 750 мл</t>
  </si>
  <si>
    <t>шт.</t>
  </si>
  <si>
    <t>101-2789</t>
  </si>
  <si>
    <t>ТССЦ Московской обл., 101-2789, приказ Минстроя России №675/пр от 28.02.2017 № 254/пр</t>
  </si>
  <si>
    <t>Лента ПСУЛ</t>
  </si>
  <si>
    <t>10 м</t>
  </si>
  <si>
    <t>101-4173</t>
  </si>
  <si>
    <t>ТССЦ Московской обл., 101-4173, приказ Минстроя России №675/пр от 28.02.2017 № 254/пр</t>
  </si>
  <si>
    <t>Дюбели монтажные 10х130 (10х132, 10х150) мм</t>
  </si>
  <si>
    <t>10 шт.</t>
  </si>
  <si>
    <t>102-0303</t>
  </si>
  <si>
    <t>ТССЦ Московской обл., 102-0303, приказ Минстроя России №675/пр от 28.02.2017 № 254/пр</t>
  </si>
  <si>
    <t>Клинья пластиковые монтажные</t>
  </si>
  <si>
    <t>100 шт.</t>
  </si>
  <si>
    <t>203-0991</t>
  </si>
  <si>
    <t>ТССЦ Московской обл., 203-0991, приказ Минстроя России №675/пр от 28.02.2017 № 255/пр</t>
  </si>
  <si>
    <t>Блок оконный пластиковый двустворчатый, с глухой и поворотно-откидной створкой, однокамерным стеклопакетом (24 мм), площадью до 2 м2</t>
  </si>
  <si>
    <t>1-1030-90</t>
  </si>
  <si>
    <t>Рабочий строитель среднего разряда 3</t>
  </si>
  <si>
    <t>020129</t>
  </si>
  <si>
    <t>ТСЭМ Московской обл., 020129, приказ Минстроя России №675/пр от 28.02.2017 № 264/пр</t>
  </si>
  <si>
    <t>Краны башенные при работе на других видах строительства 8 т</t>
  </si>
  <si>
    <t>101-0195</t>
  </si>
  <si>
    <t>ТССЦ Московской обл., 101-0195, приказ Минстроя России №675/пр от 28.02.2017 № 254/пр</t>
  </si>
  <si>
    <t>Гвозди толевые круглые 3,0х40 мм</t>
  </si>
  <si>
    <t>101-0795</t>
  </si>
  <si>
    <t>ТССЦ Московской обл., 101-0795, приказ Минстроя России №675/пр от 28.02.2017 № 254/пр</t>
  </si>
  <si>
    <t>Проволока канатная оцинкованная, диаметром 3 мм</t>
  </si>
  <si>
    <t>101-1875</t>
  </si>
  <si>
    <t>ТССЦ Московской обл., 101-1875, приказ Минстроя России №675/пр от 28.02.2017 № 254/пр</t>
  </si>
  <si>
    <t>Сталь листовая оцинкованная толщиной листа 0,7 мм</t>
  </si>
  <si>
    <t>1-1011-90</t>
  </si>
  <si>
    <t>Рабочий строитель среднего разряда 1,1</t>
  </si>
  <si>
    <t>1-1010-90</t>
  </si>
  <si>
    <t>Рабочий строитель среднего разряда 1</t>
  </si>
  <si>
    <t>400051</t>
  </si>
  <si>
    <t>ТСЭМ Московской обл., 400051, приказ Минстроя России №675/пр от 28.02.2017 № 264/пр</t>
  </si>
  <si>
    <t>Автомобиль-самосвал, грузоподъемность до 7 т</t>
  </si>
  <si>
    <t>(наименование стройки)</t>
  </si>
  <si>
    <t>(наименование работ и затрат, наименование объекта)</t>
  </si>
  <si>
    <t xml:space="preserve">Основание: </t>
  </si>
  <si>
    <t>базовая цена</t>
  </si>
  <si>
    <t>текущая цена</t>
  </si>
  <si>
    <t>Сметная стоимость</t>
  </si>
  <si>
    <t>тыс. руб.</t>
  </si>
  <si>
    <t xml:space="preserve">     Строительные работы</t>
  </si>
  <si>
    <t xml:space="preserve">     Монтажные работы</t>
  </si>
  <si>
    <t xml:space="preserve">     Оборудование</t>
  </si>
  <si>
    <t xml:space="preserve">     Прочие работы</t>
  </si>
  <si>
    <t>Нормативная трудоемкость</t>
  </si>
  <si>
    <t>чел. -ч.</t>
  </si>
  <si>
    <t>Средства на оплату труда</t>
  </si>
  <si>
    <t>Строительный объем:</t>
  </si>
  <si>
    <t>Стоимость ед.стр.объема:</t>
  </si>
  <si>
    <t>№ п/п</t>
  </si>
  <si>
    <t>Шифр расценки и коды ресурсов</t>
  </si>
  <si>
    <t>Наименование работ и затрат</t>
  </si>
  <si>
    <t>Ед. изм.</t>
  </si>
  <si>
    <t>Кол-во единиц</t>
  </si>
  <si>
    <t>Цена на ед. изм.</t>
  </si>
  <si>
    <t>Попра-вочные коэфф.</t>
  </si>
  <si>
    <t>Стоимость в ценах 2001г.</t>
  </si>
  <si>
    <t>Пункт коэфф. пересчета</t>
  </si>
  <si>
    <t>Коэфф. пересчета</t>
  </si>
  <si>
    <t>Стоимость в текущих ценах</t>
  </si>
  <si>
    <t>ЗТР всего чел.-час</t>
  </si>
  <si>
    <t>Составлена в ценах ТСНБ-2001 МО (редакция 2014 г с доп.1) февраль 2021 года</t>
  </si>
  <si>
    <t>Зарплата</t>
  </si>
  <si>
    <t>Материальные ресурсы</t>
  </si>
  <si>
    <t>НР от ФОТ</t>
  </si>
  <si>
    <t>%</t>
  </si>
  <si>
    <t>СП от ФОТ</t>
  </si>
  <si>
    <t>Затраты труда</t>
  </si>
  <si>
    <t>чел-ч</t>
  </si>
  <si>
    <t>в т.ч. зарплата машинистов</t>
  </si>
  <si>
    <t xml:space="preserve">Замена оконных блоков в подъездах жилых домов, обслуживаемых АО «УК «Жилой дом» г. о. Павловский Посад Московской области в 2021г.   </t>
  </si>
  <si>
    <t>СОГЛАСОВАНО</t>
  </si>
  <si>
    <t>Начальник РСУ АО "УК "Жилой дом"</t>
  </si>
  <si>
    <t>______________________ В.Юртаев</t>
  </si>
  <si>
    <t>УТВЕРЖДАЮ</t>
  </si>
  <si>
    <t>___________________________ О.В. Калинина</t>
  </si>
  <si>
    <t>И.о. генерального директора                                              АО "УК "Жилой дом"</t>
  </si>
  <si>
    <t xml:space="preserve">Проверил Начальник ПТО   </t>
  </si>
  <si>
    <t>Ю.И. Мойкина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</si>
</sst>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;[Red]\-\ #,##0.00"/>
    <numFmt numFmtId="165" formatCode="#,##0.00####;[Red]\-\ #,##0.00####"/>
  </numFmts>
  <fonts count="18" x14ac:knownFonts="1">
    <font>
      <sz val="10"/>
      <name val="Arial"/>
      <charset val="204"/>
    </font>
    <font>
      <b/>
      <sz val="10"/>
      <color indexed="12"/>
      <name val="Arial"/>
      <charset val="204"/>
    </font>
    <font>
      <b/>
      <sz val="10"/>
      <color indexed="16"/>
      <name val="Arial"/>
      <charset val="204"/>
    </font>
    <font>
      <b/>
      <sz val="10"/>
      <color indexed="20"/>
      <name val="Arial"/>
      <charset val="204"/>
    </font>
    <font>
      <b/>
      <sz val="10"/>
      <color indexed="17"/>
      <name val="Arial"/>
      <charset val="204"/>
    </font>
    <font>
      <sz val="10"/>
      <color indexed="17"/>
      <name val="Arial"/>
      <charset val="204"/>
    </font>
    <font>
      <sz val="10"/>
      <color indexed="12"/>
      <name val="Arial"/>
      <charset val="204"/>
    </font>
    <font>
      <sz val="10"/>
      <color indexed="14"/>
      <name val="Arial"/>
      <charset val="204"/>
    </font>
    <font>
      <b/>
      <sz val="10"/>
      <color indexed="14"/>
      <name val="Arial"/>
      <charset val="204"/>
    </font>
    <font>
      <sz val="10"/>
      <name val="Arial"/>
      <family val="2"/>
      <charset val="204"/>
    </font>
    <font>
      <sz val="9"/>
      <name val="Arial"/>
      <family val="2"/>
      <charset val="204"/>
    </font>
    <font>
      <sz val="11"/>
      <name val="Arial"/>
      <family val="2"/>
      <charset val="204"/>
    </font>
    <font>
      <b/>
      <sz val="12"/>
      <name val="Arial"/>
      <family val="2"/>
      <charset val="204"/>
    </font>
    <font>
      <b/>
      <sz val="11"/>
      <name val="Arial"/>
      <family val="2"/>
      <charset val="204"/>
    </font>
    <font>
      <b/>
      <sz val="14"/>
      <name val="Arial"/>
      <family val="2"/>
      <charset val="204"/>
    </font>
    <font>
      <sz val="12"/>
      <name val="Arial"/>
      <family val="2"/>
      <charset val="204"/>
    </font>
    <font>
      <b/>
      <sz val="9"/>
      <name val="Arial"/>
      <family val="2"/>
      <charset val="204"/>
    </font>
    <font>
      <i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10" fillId="0" borderId="0" xfId="0" applyFont="1"/>
    <xf numFmtId="0" fontId="11" fillId="0" borderId="0" xfId="0" applyFont="1" applyBorder="1" applyAlignment="1">
      <alignment wrapText="1"/>
    </xf>
    <xf numFmtId="0" fontId="11" fillId="0" borderId="0" xfId="0" applyFont="1" applyBorder="1"/>
    <xf numFmtId="0" fontId="11" fillId="0" borderId="0" xfId="0" applyFont="1"/>
    <xf numFmtId="0" fontId="11" fillId="0" borderId="0" xfId="0" applyFont="1" applyAlignment="1">
      <alignment wrapText="1"/>
    </xf>
    <xf numFmtId="0" fontId="13" fillId="0" borderId="0" xfId="0" applyFont="1" applyAlignment="1">
      <alignment vertical="center" wrapText="1"/>
    </xf>
    <xf numFmtId="0" fontId="12" fillId="0" borderId="0" xfId="0" applyFont="1" applyBorder="1" applyAlignment="1">
      <alignment horizontal="center" wrapText="1"/>
    </xf>
    <xf numFmtId="0" fontId="13" fillId="0" borderId="0" xfId="0" applyFont="1" applyBorder="1" applyAlignment="1">
      <alignment wrapText="1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left" vertical="top"/>
    </xf>
    <xf numFmtId="0" fontId="13" fillId="0" borderId="0" xfId="0" applyFont="1" applyAlignment="1">
      <alignment horizontal="right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right" vertical="top"/>
    </xf>
    <xf numFmtId="0" fontId="11" fillId="0" borderId="0" xfId="0" applyFont="1" applyAlignment="1"/>
    <xf numFmtId="0" fontId="15" fillId="0" borderId="0" xfId="0" applyFont="1" applyAlignment="1">
      <alignment horizontal="right" vertical="top"/>
    </xf>
    <xf numFmtId="0" fontId="15" fillId="0" borderId="0" xfId="0" applyFont="1" applyAlignment="1">
      <alignment horizontal="left"/>
    </xf>
    <xf numFmtId="0" fontId="11" fillId="0" borderId="0" xfId="0" applyFont="1" applyAlignment="1">
      <alignment horizontal="right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9" fillId="0" borderId="0" xfId="0" applyFont="1" applyAlignment="1">
      <alignment vertical="top" wrapText="1"/>
    </xf>
    <xf numFmtId="164" fontId="0" fillId="0" borderId="0" xfId="0" applyNumberFormat="1"/>
    <xf numFmtId="0" fontId="13" fillId="0" borderId="0" xfId="0" applyFont="1"/>
    <xf numFmtId="0" fontId="11" fillId="0" borderId="0" xfId="0" applyFont="1" applyAlignment="1">
      <alignment horizontal="left" wrapText="1"/>
    </xf>
    <xf numFmtId="0" fontId="17" fillId="0" borderId="0" xfId="0" applyFont="1" applyAlignment="1">
      <alignment horizontal="right" wrapText="1"/>
    </xf>
    <xf numFmtId="165" fontId="11" fillId="0" borderId="0" xfId="0" applyNumberFormat="1" applyFont="1" applyAlignment="1">
      <alignment horizontal="right"/>
    </xf>
    <xf numFmtId="0" fontId="11" fillId="0" borderId="0" xfId="0" applyFont="1" applyAlignment="1">
      <alignment horizontal="right" wrapText="1"/>
    </xf>
    <xf numFmtId="164" fontId="11" fillId="0" borderId="0" xfId="0" applyNumberFormat="1" applyFont="1" applyAlignment="1">
      <alignment horizontal="right"/>
    </xf>
    <xf numFmtId="0" fontId="10" fillId="0" borderId="0" xfId="0" applyFont="1" applyAlignment="1">
      <alignment horizontal="right"/>
    </xf>
    <xf numFmtId="0" fontId="9" fillId="0" borderId="0" xfId="0" applyFont="1" applyAlignment="1">
      <alignment horizontal="right" wrapText="1"/>
    </xf>
    <xf numFmtId="0" fontId="17" fillId="0" borderId="2" xfId="0" applyFont="1" applyBorder="1" applyAlignment="1">
      <alignment horizontal="right" wrapText="1"/>
    </xf>
    <xf numFmtId="0" fontId="11" fillId="0" borderId="2" xfId="0" applyFont="1" applyBorder="1" applyAlignment="1">
      <alignment horizontal="right"/>
    </xf>
    <xf numFmtId="165" fontId="11" fillId="0" borderId="2" xfId="0" applyNumberFormat="1" applyFont="1" applyBorder="1" applyAlignment="1">
      <alignment horizontal="right"/>
    </xf>
    <xf numFmtId="0" fontId="11" fillId="0" borderId="2" xfId="0" applyFont="1" applyBorder="1" applyAlignment="1">
      <alignment horizontal="right" wrapText="1"/>
    </xf>
    <xf numFmtId="164" fontId="11" fillId="0" borderId="2" xfId="0" applyNumberFormat="1" applyFont="1" applyBorder="1" applyAlignment="1">
      <alignment horizontal="right"/>
    </xf>
    <xf numFmtId="164" fontId="10" fillId="0" borderId="2" xfId="0" applyNumberFormat="1" applyFont="1" applyBorder="1" applyAlignment="1">
      <alignment horizontal="right"/>
    </xf>
    <xf numFmtId="164" fontId="16" fillId="0" borderId="0" xfId="0" applyNumberFormat="1" applyFont="1" applyAlignment="1">
      <alignment horizontal="right"/>
    </xf>
    <xf numFmtId="164" fontId="17" fillId="0" borderId="0" xfId="0" applyNumberFormat="1" applyFont="1" applyAlignment="1">
      <alignment horizontal="right"/>
    </xf>
    <xf numFmtId="164" fontId="10" fillId="0" borderId="0" xfId="0" applyNumberFormat="1" applyFont="1" applyAlignment="1">
      <alignment horizontal="right"/>
    </xf>
    <xf numFmtId="0" fontId="11" fillId="0" borderId="2" xfId="0" quotePrefix="1" applyFont="1" applyBorder="1" applyAlignment="1">
      <alignment horizontal="right" wrapText="1"/>
    </xf>
    <xf numFmtId="0" fontId="10" fillId="0" borderId="2" xfId="0" applyFont="1" applyBorder="1" applyAlignment="1">
      <alignment horizontal="right"/>
    </xf>
    <xf numFmtId="0" fontId="11" fillId="0" borderId="0" xfId="0" applyFont="1" applyAlignment="1">
      <alignment horizontal="left" vertical="top" wrapText="1"/>
    </xf>
    <xf numFmtId="0" fontId="11" fillId="0" borderId="2" xfId="0" applyFont="1" applyBorder="1" applyAlignment="1">
      <alignment horizontal="left" vertical="top"/>
    </xf>
    <xf numFmtId="0" fontId="11" fillId="0" borderId="2" xfId="0" applyFont="1" applyBorder="1" applyAlignment="1">
      <alignment horizontal="left" vertical="top" wrapText="1"/>
    </xf>
    <xf numFmtId="165" fontId="9" fillId="0" borderId="0" xfId="0" applyNumberFormat="1" applyFont="1" applyAlignment="1">
      <alignment horizontal="left"/>
    </xf>
    <xf numFmtId="0" fontId="12" fillId="0" borderId="0" xfId="0" applyFont="1"/>
    <xf numFmtId="0" fontId="12" fillId="0" borderId="0" xfId="0" applyFont="1" applyAlignment="1">
      <alignment wrapText="1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center" wrapText="1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right" wrapText="1"/>
    </xf>
    <xf numFmtId="164" fontId="13" fillId="0" borderId="1" xfId="0" applyNumberFormat="1" applyFont="1" applyBorder="1" applyAlignment="1">
      <alignment horizontal="right"/>
    </xf>
    <xf numFmtId="0" fontId="11" fillId="0" borderId="0" xfId="0" applyFont="1" applyAlignment="1">
      <alignment horizontal="left" wrapText="1"/>
    </xf>
    <xf numFmtId="164" fontId="13" fillId="0" borderId="0" xfId="0" applyNumberFormat="1" applyFont="1" applyAlignment="1">
      <alignment horizontal="right"/>
    </xf>
    <xf numFmtId="0" fontId="13" fillId="0" borderId="0" xfId="0" applyFont="1" applyAlignment="1">
      <alignment horizontal="left" wrapText="1"/>
    </xf>
    <xf numFmtId="0" fontId="11" fillId="0" borderId="0" xfId="0" applyFont="1" applyAlignment="1">
      <alignment horizontal="right"/>
    </xf>
    <xf numFmtId="164" fontId="11" fillId="0" borderId="0" xfId="0" applyNumberFormat="1" applyFont="1" applyAlignment="1">
      <alignment horizontal="right"/>
    </xf>
    <xf numFmtId="0" fontId="11" fillId="0" borderId="2" xfId="0" applyFont="1" applyBorder="1" applyAlignment="1">
      <alignment horizontal="left"/>
    </xf>
    <xf numFmtId="0" fontId="13" fillId="0" borderId="0" xfId="0" applyFont="1" applyAlignment="1">
      <alignment horizontal="right"/>
    </xf>
    <xf numFmtId="0" fontId="11" fillId="0" borderId="0" xfId="0" applyFont="1"/>
    <xf numFmtId="0" fontId="12" fillId="0" borderId="0" xfId="0" applyFont="1" applyBorder="1" applyAlignment="1">
      <alignment horizontal="center" wrapText="1"/>
    </xf>
    <xf numFmtId="0" fontId="10" fillId="0" borderId="1" xfId="0" applyFont="1" applyBorder="1" applyAlignment="1">
      <alignment horizontal="center" vertical="top" wrapText="1"/>
    </xf>
    <xf numFmtId="0" fontId="14" fillId="0" borderId="0" xfId="0" applyFont="1" applyBorder="1" applyAlignment="1">
      <alignment horizontal="center" wrapText="1"/>
    </xf>
    <xf numFmtId="0" fontId="14" fillId="0" borderId="2" xfId="0" applyFont="1" applyBorder="1" applyAlignment="1">
      <alignment horizontal="center" wrapText="1"/>
    </xf>
    <xf numFmtId="0" fontId="10" fillId="0" borderId="0" xfId="0" applyFont="1" applyBorder="1" applyAlignment="1">
      <alignment horizontal="center" vertical="top" wrapText="1"/>
    </xf>
    <xf numFmtId="0" fontId="11" fillId="0" borderId="0" xfId="0" applyFont="1" applyAlignment="1">
      <alignment horizontal="center" vertical="top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Z108"/>
  <sheetViews>
    <sheetView tabSelected="1" topLeftCell="A90" zoomScaleNormal="100" workbookViewId="0">
      <selection activeCell="L108" sqref="A1:L108"/>
    </sheetView>
  </sheetViews>
  <sheetFormatPr defaultRowHeight="12.75" x14ac:dyDescent="0.2"/>
  <cols>
    <col min="1" max="1" width="5.7109375" customWidth="1"/>
    <col min="2" max="2" width="11.7109375" customWidth="1"/>
    <col min="3" max="3" width="40.7109375" customWidth="1"/>
    <col min="4" max="5" width="10.7109375" customWidth="1"/>
    <col min="6" max="8" width="12.7109375" customWidth="1"/>
    <col min="9" max="9" width="17.7109375" customWidth="1"/>
    <col min="10" max="10" width="8.7109375" customWidth="1"/>
    <col min="11" max="11" width="12.7109375" customWidth="1"/>
    <col min="12" max="12" width="9.7109375" customWidth="1"/>
    <col min="15" max="36" width="0" hidden="1" customWidth="1"/>
  </cols>
  <sheetData>
    <row r="2" spans="1:12" ht="15.75" x14ac:dyDescent="0.25">
      <c r="B2" s="56" t="s">
        <v>322</v>
      </c>
      <c r="C2" s="56"/>
      <c r="D2" s="54"/>
      <c r="E2" s="54"/>
      <c r="F2" s="54"/>
      <c r="G2" s="54"/>
      <c r="H2" s="56" t="s">
        <v>325</v>
      </c>
      <c r="I2" s="56"/>
      <c r="J2" s="56"/>
      <c r="K2" s="56"/>
    </row>
    <row r="3" spans="1:12" ht="28.5" customHeight="1" x14ac:dyDescent="0.25">
      <c r="B3" s="57" t="s">
        <v>323</v>
      </c>
      <c r="C3" s="57"/>
      <c r="D3" s="55"/>
      <c r="E3" s="55"/>
      <c r="F3" s="55"/>
      <c r="G3" s="55"/>
      <c r="H3" s="57" t="s">
        <v>327</v>
      </c>
      <c r="I3" s="57"/>
      <c r="J3" s="57"/>
      <c r="K3" s="57"/>
    </row>
    <row r="4" spans="1:12" ht="24.75" customHeight="1" x14ac:dyDescent="0.25">
      <c r="B4" s="56" t="s">
        <v>324</v>
      </c>
      <c r="C4" s="56"/>
      <c r="D4" s="54"/>
      <c r="E4" s="54"/>
      <c r="F4" s="54"/>
      <c r="G4" s="54"/>
      <c r="H4" s="56" t="s">
        <v>326</v>
      </c>
      <c r="I4" s="56"/>
      <c r="J4" s="56"/>
      <c r="K4" s="56"/>
    </row>
    <row r="6" spans="1:12" x14ac:dyDescent="0.2">
      <c r="A6" s="9"/>
    </row>
    <row r="7" spans="1:12" x14ac:dyDescent="0.2">
      <c r="A7" s="9"/>
    </row>
    <row r="8" spans="1:12" x14ac:dyDescent="0.2">
      <c r="A8" s="9"/>
    </row>
    <row r="9" spans="1:12" ht="15.75" x14ac:dyDescent="0.25">
      <c r="A9" s="10"/>
      <c r="B9" s="69" t="s">
        <v>321</v>
      </c>
      <c r="C9" s="69"/>
      <c r="D9" s="69"/>
      <c r="E9" s="69"/>
      <c r="F9" s="69"/>
      <c r="G9" s="69"/>
      <c r="H9" s="69"/>
      <c r="I9" s="69"/>
      <c r="J9" s="69"/>
      <c r="K9" s="69"/>
      <c r="L9" s="10"/>
    </row>
    <row r="10" spans="1:12" ht="14.25" x14ac:dyDescent="0.2">
      <c r="A10" s="11"/>
      <c r="B10" s="70" t="s">
        <v>284</v>
      </c>
      <c r="C10" s="70"/>
      <c r="D10" s="70"/>
      <c r="E10" s="70"/>
      <c r="F10" s="70"/>
      <c r="G10" s="70"/>
      <c r="H10" s="70"/>
      <c r="I10" s="70"/>
      <c r="J10" s="70"/>
      <c r="K10" s="70"/>
      <c r="L10" s="10"/>
    </row>
    <row r="11" spans="1:12" ht="14.25" x14ac:dyDescent="0.2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</row>
    <row r="12" spans="1:12" ht="14.25" x14ac:dyDescent="0.2">
      <c r="A12" s="12"/>
      <c r="B12" s="12"/>
      <c r="C12" s="12"/>
      <c r="D12" s="12"/>
      <c r="E12" s="12"/>
      <c r="F12" s="59"/>
      <c r="G12" s="59"/>
      <c r="H12" s="61" t="str">
        <f>IF(Source!F12&lt;&gt;"Новый объект", Source!F12, "")</f>
        <v/>
      </c>
      <c r="I12" s="61"/>
      <c r="J12" s="61"/>
      <c r="K12" s="61"/>
      <c r="L12" s="13"/>
    </row>
    <row r="13" spans="1:12" ht="14.25" x14ac:dyDescent="0.2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</row>
    <row r="14" spans="1:12" ht="15.75" x14ac:dyDescent="0.25">
      <c r="A14" s="14"/>
      <c r="B14" s="69" t="str">
        <f>CONCATENATE( "ЛОКАЛЬНАЯ СМЕТА № ", Source!F20, " ",Source!CM20)</f>
        <v xml:space="preserve">ЛОКАЛЬНАЯ СМЕТА № Новая локальная смета </v>
      </c>
      <c r="C14" s="69"/>
      <c r="D14" s="69"/>
      <c r="E14" s="69"/>
      <c r="F14" s="69"/>
      <c r="G14" s="69"/>
      <c r="H14" s="69"/>
      <c r="I14" s="69"/>
      <c r="J14" s="69"/>
      <c r="K14" s="69"/>
      <c r="L14" s="14"/>
    </row>
    <row r="15" spans="1:12" ht="15.75" x14ac:dyDescent="0.25">
      <c r="A15" s="14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4"/>
    </row>
    <row r="16" spans="1:12" ht="18" hidden="1" x14ac:dyDescent="0.25">
      <c r="A16" s="14"/>
      <c r="B16" s="71" t="str">
        <f>IF(Source!G20&lt;&gt;"Новая локальная смета", Source!G20, "")</f>
        <v/>
      </c>
      <c r="C16" s="71"/>
      <c r="D16" s="71"/>
      <c r="E16" s="71"/>
      <c r="F16" s="71"/>
      <c r="G16" s="71"/>
      <c r="H16" s="71"/>
      <c r="I16" s="71"/>
      <c r="J16" s="71"/>
      <c r="K16" s="71"/>
      <c r="L16" s="14"/>
    </row>
    <row r="17" spans="1:12" ht="14.25" hidden="1" x14ac:dyDescent="0.2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</row>
    <row r="18" spans="1:12" ht="18" x14ac:dyDescent="0.25">
      <c r="A18" s="12"/>
      <c r="B18" s="72" t="str">
        <f>IF(Source!G12&lt;&gt;"Новый объект", Source!G12, "")</f>
        <v>Павловский Посад 2021</v>
      </c>
      <c r="C18" s="72"/>
      <c r="D18" s="72"/>
      <c r="E18" s="72"/>
      <c r="F18" s="72"/>
      <c r="G18" s="72"/>
      <c r="H18" s="72"/>
      <c r="I18" s="72"/>
      <c r="J18" s="72"/>
      <c r="K18" s="72"/>
      <c r="L18" s="16"/>
    </row>
    <row r="19" spans="1:12" ht="14.25" x14ac:dyDescent="0.2">
      <c r="A19" s="12"/>
      <c r="B19" s="73" t="s">
        <v>285</v>
      </c>
      <c r="C19" s="73"/>
      <c r="D19" s="73"/>
      <c r="E19" s="73"/>
      <c r="F19" s="73"/>
      <c r="G19" s="73"/>
      <c r="H19" s="73"/>
      <c r="I19" s="73"/>
      <c r="J19" s="73"/>
      <c r="K19" s="73"/>
      <c r="L19" s="10"/>
    </row>
    <row r="20" spans="1:12" ht="14.25" x14ac:dyDescent="0.2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</row>
    <row r="21" spans="1:12" ht="14.25" x14ac:dyDescent="0.2">
      <c r="A21" s="61" t="s">
        <v>286</v>
      </c>
      <c r="B21" s="61"/>
      <c r="C21" s="61"/>
      <c r="D21" s="61"/>
      <c r="E21" s="61"/>
      <c r="F21" s="61"/>
      <c r="G21" s="61"/>
      <c r="H21" s="61"/>
      <c r="I21" s="61"/>
      <c r="J21" s="61"/>
      <c r="K21" s="61"/>
      <c r="L21" s="61"/>
    </row>
    <row r="22" spans="1:12" ht="14.25" x14ac:dyDescent="0.2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</row>
    <row r="23" spans="1:12" ht="14.25" x14ac:dyDescent="0.2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</row>
    <row r="24" spans="1:12" ht="14.25" x14ac:dyDescent="0.2">
      <c r="A24" s="12"/>
      <c r="B24" s="12"/>
      <c r="C24" s="12"/>
      <c r="D24" s="12"/>
      <c r="E24" s="17"/>
      <c r="F24" s="17"/>
      <c r="G24" s="74" t="s">
        <v>287</v>
      </c>
      <c r="H24" s="74"/>
      <c r="I24" s="74" t="s">
        <v>288</v>
      </c>
      <c r="J24" s="74"/>
      <c r="K24" s="12"/>
      <c r="L24" s="12"/>
    </row>
    <row r="25" spans="1:12" ht="15" x14ac:dyDescent="0.25">
      <c r="A25" s="12"/>
      <c r="B25" s="12"/>
      <c r="C25" s="67" t="s">
        <v>289</v>
      </c>
      <c r="D25" s="67"/>
      <c r="E25" s="67"/>
      <c r="F25" s="67"/>
      <c r="G25" s="65">
        <f>SUM(O40:O103)/1000</f>
        <v>4395.8766999999998</v>
      </c>
      <c r="H25" s="65"/>
      <c r="I25" s="65">
        <f>(Source!F62/1000)</f>
        <v>11034.49574</v>
      </c>
      <c r="J25" s="65"/>
      <c r="K25" s="68" t="s">
        <v>290</v>
      </c>
      <c r="L25" s="68"/>
    </row>
    <row r="26" spans="1:12" ht="14.25" x14ac:dyDescent="0.2">
      <c r="A26" s="12"/>
      <c r="B26" s="12"/>
      <c r="C26" s="64" t="s">
        <v>291</v>
      </c>
      <c r="D26" s="64"/>
      <c r="E26" s="64"/>
      <c r="F26" s="64"/>
      <c r="G26" s="65">
        <f>SUM(W40:W103)/1000</f>
        <v>4395.8766999999998</v>
      </c>
      <c r="H26" s="65"/>
      <c r="I26" s="65">
        <f>(Source!F51)/1000</f>
        <v>11034.49574</v>
      </c>
      <c r="J26" s="65"/>
      <c r="K26" s="68" t="s">
        <v>290</v>
      </c>
      <c r="L26" s="68"/>
    </row>
    <row r="27" spans="1:12" ht="14.25" x14ac:dyDescent="0.2">
      <c r="A27" s="12"/>
      <c r="B27" s="12"/>
      <c r="C27" s="64" t="s">
        <v>292</v>
      </c>
      <c r="D27" s="64"/>
      <c r="E27" s="64"/>
      <c r="F27" s="64"/>
      <c r="G27" s="65">
        <f>SUM(X40:X103)/1000</f>
        <v>0</v>
      </c>
      <c r="H27" s="65"/>
      <c r="I27" s="65">
        <f>(Source!F52)/1000</f>
        <v>0</v>
      </c>
      <c r="J27" s="65"/>
      <c r="K27" s="68" t="s">
        <v>290</v>
      </c>
      <c r="L27" s="68"/>
    </row>
    <row r="28" spans="1:12" ht="14.25" x14ac:dyDescent="0.2">
      <c r="A28" s="12"/>
      <c r="B28" s="12"/>
      <c r="C28" s="64" t="s">
        <v>293</v>
      </c>
      <c r="D28" s="64"/>
      <c r="E28" s="64"/>
      <c r="F28" s="64"/>
      <c r="G28" s="65">
        <f>SUM(Y40:Y103)/1000</f>
        <v>0</v>
      </c>
      <c r="H28" s="65"/>
      <c r="I28" s="65">
        <f>(Source!F43)/1000</f>
        <v>0</v>
      </c>
      <c r="J28" s="65"/>
      <c r="K28" s="68" t="s">
        <v>290</v>
      </c>
      <c r="L28" s="68"/>
    </row>
    <row r="29" spans="1:12" ht="14.25" x14ac:dyDescent="0.2">
      <c r="A29" s="12"/>
      <c r="B29" s="12"/>
      <c r="C29" s="64" t="s">
        <v>294</v>
      </c>
      <c r="D29" s="64"/>
      <c r="E29" s="64"/>
      <c r="F29" s="64"/>
      <c r="G29" s="65">
        <f>SUM(Z40:Z103)/1000</f>
        <v>0</v>
      </c>
      <c r="H29" s="65"/>
      <c r="I29" s="65">
        <f>(Source!F53+Source!F54)/1000</f>
        <v>0</v>
      </c>
      <c r="J29" s="65"/>
      <c r="K29" s="68" t="s">
        <v>290</v>
      </c>
      <c r="L29" s="68"/>
    </row>
    <row r="30" spans="1:12" ht="15" x14ac:dyDescent="0.25">
      <c r="A30" s="12"/>
      <c r="B30" s="12"/>
      <c r="C30" s="67" t="s">
        <v>295</v>
      </c>
      <c r="D30" s="67"/>
      <c r="E30" s="67"/>
      <c r="F30" s="67"/>
      <c r="G30" s="65">
        <f>I30</f>
        <v>6544.0279619999992</v>
      </c>
      <c r="H30" s="65"/>
      <c r="I30" s="65">
        <f>(Source!F56+Source!F57)</f>
        <v>6544.0279619999992</v>
      </c>
      <c r="J30" s="65"/>
      <c r="K30" s="68" t="s">
        <v>296</v>
      </c>
      <c r="L30" s="68"/>
    </row>
    <row r="31" spans="1:12" ht="15" x14ac:dyDescent="0.25">
      <c r="A31" s="12"/>
      <c r="B31" s="12"/>
      <c r="C31" s="67" t="s">
        <v>297</v>
      </c>
      <c r="D31" s="67"/>
      <c r="E31" s="67"/>
      <c r="F31" s="67"/>
      <c r="G31" s="65">
        <f>SUM(R40:R103)/1000</f>
        <v>55.931279999999994</v>
      </c>
      <c r="H31" s="65"/>
      <c r="I31" s="65">
        <f>(Source!F49+ Source!F48)/1000</f>
        <v>1832.2296399999998</v>
      </c>
      <c r="J31" s="65"/>
      <c r="K31" s="68" t="s">
        <v>290</v>
      </c>
      <c r="L31" s="68"/>
    </row>
    <row r="32" spans="1:12" ht="14.25" hidden="1" x14ac:dyDescent="0.2">
      <c r="A32" s="12"/>
      <c r="B32" s="12"/>
      <c r="C32" s="64" t="s">
        <v>112</v>
      </c>
      <c r="D32" s="64"/>
      <c r="E32" s="64"/>
      <c r="F32" s="64"/>
      <c r="G32" s="65"/>
      <c r="H32" s="65"/>
      <c r="I32" s="65"/>
      <c r="J32" s="65"/>
      <c r="K32" s="18" t="s">
        <v>290</v>
      </c>
      <c r="L32" s="12"/>
    </row>
    <row r="33" spans="1:26" ht="15" x14ac:dyDescent="0.25">
      <c r="A33" s="12"/>
      <c r="B33" s="12"/>
      <c r="C33" s="19"/>
      <c r="D33" s="19"/>
      <c r="E33" s="19"/>
      <c r="F33" s="20"/>
      <c r="G33" s="21"/>
      <c r="H33" s="21"/>
      <c r="I33" s="21"/>
      <c r="J33" s="21"/>
      <c r="K33" s="21"/>
      <c r="L33" s="21"/>
    </row>
    <row r="34" spans="1:26" ht="15" hidden="1" x14ac:dyDescent="0.2">
      <c r="A34" s="20" t="s">
        <v>298</v>
      </c>
      <c r="B34" s="12"/>
      <c r="C34" s="12"/>
      <c r="D34" s="22"/>
      <c r="E34" s="12"/>
      <c r="F34" s="12"/>
      <c r="G34" s="23"/>
      <c r="H34" s="23"/>
      <c r="I34" s="24"/>
      <c r="J34" s="23"/>
      <c r="K34" s="23"/>
      <c r="L34" s="23"/>
    </row>
    <row r="35" spans="1:26" ht="15" hidden="1" x14ac:dyDescent="0.2">
      <c r="A35" s="20" t="s">
        <v>299</v>
      </c>
      <c r="B35" s="12"/>
      <c r="C35" s="12"/>
      <c r="D35" s="22"/>
      <c r="E35" s="12"/>
      <c r="F35" s="12"/>
      <c r="G35" s="23"/>
      <c r="H35" s="23"/>
      <c r="I35" s="24"/>
      <c r="J35" s="23"/>
      <c r="K35" s="23"/>
      <c r="L35" s="23"/>
    </row>
    <row r="36" spans="1:26" ht="15" hidden="1" x14ac:dyDescent="0.2">
      <c r="A36" s="12"/>
      <c r="B36" s="12"/>
      <c r="C36" s="25"/>
      <c r="D36" s="25"/>
      <c r="E36" s="25"/>
      <c r="F36" s="25"/>
      <c r="G36" s="23"/>
      <c r="H36" s="23"/>
      <c r="I36" s="24"/>
      <c r="J36" s="23"/>
      <c r="K36" s="23"/>
      <c r="L36" s="23"/>
    </row>
    <row r="37" spans="1:26" ht="14.25" x14ac:dyDescent="0.2">
      <c r="A37" s="66" t="s">
        <v>312</v>
      </c>
      <c r="B37" s="66"/>
      <c r="C37" s="66"/>
      <c r="D37" s="66"/>
      <c r="E37" s="66"/>
      <c r="F37" s="66"/>
      <c r="G37" s="66"/>
      <c r="H37" s="66"/>
      <c r="I37" s="66"/>
      <c r="J37" s="66"/>
      <c r="K37" s="66"/>
      <c r="L37" s="66"/>
    </row>
    <row r="38" spans="1:26" ht="57" x14ac:dyDescent="0.2">
      <c r="A38" s="26" t="s">
        <v>300</v>
      </c>
      <c r="B38" s="26" t="s">
        <v>301</v>
      </c>
      <c r="C38" s="26" t="s">
        <v>302</v>
      </c>
      <c r="D38" s="26" t="s">
        <v>303</v>
      </c>
      <c r="E38" s="26" t="s">
        <v>304</v>
      </c>
      <c r="F38" s="26" t="s">
        <v>305</v>
      </c>
      <c r="G38" s="26" t="s">
        <v>306</v>
      </c>
      <c r="H38" s="26" t="s">
        <v>307</v>
      </c>
      <c r="I38" s="26" t="s">
        <v>308</v>
      </c>
      <c r="J38" s="26" t="s">
        <v>309</v>
      </c>
      <c r="K38" s="26" t="s">
        <v>310</v>
      </c>
      <c r="L38" s="26" t="s">
        <v>311</v>
      </c>
    </row>
    <row r="39" spans="1:26" ht="14.25" x14ac:dyDescent="0.2">
      <c r="A39" s="27">
        <v>1</v>
      </c>
      <c r="B39" s="27">
        <v>2</v>
      </c>
      <c r="C39" s="27">
        <v>3</v>
      </c>
      <c r="D39" s="27">
        <v>4</v>
      </c>
      <c r="E39" s="27">
        <v>5</v>
      </c>
      <c r="F39" s="27">
        <v>6</v>
      </c>
      <c r="G39" s="27">
        <v>7</v>
      </c>
      <c r="H39" s="27">
        <v>8</v>
      </c>
      <c r="I39" s="27">
        <v>9</v>
      </c>
      <c r="J39" s="27">
        <v>10</v>
      </c>
      <c r="K39" s="27">
        <v>11</v>
      </c>
      <c r="L39" s="28">
        <v>12</v>
      </c>
    </row>
    <row r="40" spans="1:26" ht="57" x14ac:dyDescent="0.2">
      <c r="A40" s="18" t="str">
        <f>Source!E24</f>
        <v>1</v>
      </c>
      <c r="B40" s="50" t="str">
        <f>Source!F24</f>
        <v>08-07-002-1</v>
      </c>
      <c r="C40" s="50" t="str">
        <f>Source!G24</f>
        <v>Установка и разборка внутренних трубчатых инвентарных лесов при высоте помещений до 6 м</v>
      </c>
      <c r="D40" s="33" t="str">
        <f>Source!H24</f>
        <v>100 м2 горизонтальной проекции</v>
      </c>
      <c r="E40" s="25">
        <f>Source!I24</f>
        <v>3.1</v>
      </c>
      <c r="F40" s="34">
        <f>Source!AL24+Source!AM24+Source!AO24</f>
        <v>999.94</v>
      </c>
      <c r="G40" s="35"/>
      <c r="H40" s="36"/>
      <c r="I40" s="35" t="str">
        <f>Source!BO24</f>
        <v>08-07-002-1</v>
      </c>
      <c r="J40" s="35"/>
      <c r="K40" s="36"/>
      <c r="L40" s="37"/>
      <c r="S40">
        <f>ROUND((Source!FX24/100)*((ROUND(Source!AF24*Source!I24, 2)+ROUND(Source!AE24*Source!I24, 2))), 2)</f>
        <v>2064.5</v>
      </c>
      <c r="T40">
        <f>Source!X24</f>
        <v>68356.23</v>
      </c>
      <c r="U40">
        <f>ROUND((Source!FY24/100)*((ROUND(Source!AF24*Source!I24, 2)+ROUND(Source!AE24*Source!I24, 2))), 2)</f>
        <v>1278.56</v>
      </c>
      <c r="V40">
        <f>Source!Y24</f>
        <v>42256.58</v>
      </c>
    </row>
    <row r="41" spans="1:26" x14ac:dyDescent="0.2">
      <c r="C41" s="29" t="str">
        <f>"Объем: "&amp;Source!I24&amp;"=310/"&amp;"100"</f>
        <v>Объем: 3,1=310/100</v>
      </c>
    </row>
    <row r="42" spans="1:26" ht="14.25" x14ac:dyDescent="0.2">
      <c r="A42" s="18"/>
      <c r="B42" s="50"/>
      <c r="C42" s="50" t="s">
        <v>313</v>
      </c>
      <c r="D42" s="33"/>
      <c r="E42" s="25"/>
      <c r="F42" s="34">
        <f>Source!AO24</f>
        <v>606.53</v>
      </c>
      <c r="G42" s="35" t="str">
        <f>Source!DG24</f>
        <v/>
      </c>
      <c r="H42" s="36">
        <f>ROUND(Source!AF24*Source!I24, 2)</f>
        <v>1880.24</v>
      </c>
      <c r="I42" s="35"/>
      <c r="J42" s="35">
        <f>IF(Source!BA24&lt;&gt; 0, Source!BA24, 1)</f>
        <v>33.049999999999997</v>
      </c>
      <c r="K42" s="36">
        <f>Source!S24</f>
        <v>62142.03</v>
      </c>
      <c r="L42" s="37"/>
      <c r="R42">
        <f>H42</f>
        <v>1880.24</v>
      </c>
    </row>
    <row r="43" spans="1:26" ht="14.25" x14ac:dyDescent="0.2">
      <c r="A43" s="18"/>
      <c r="B43" s="50"/>
      <c r="C43" s="50" t="s">
        <v>94</v>
      </c>
      <c r="D43" s="33"/>
      <c r="E43" s="25"/>
      <c r="F43" s="34">
        <f>Source!AM24</f>
        <v>15.69</v>
      </c>
      <c r="G43" s="35" t="str">
        <f>Source!DE24</f>
        <v/>
      </c>
      <c r="H43" s="36">
        <f>ROUND(Source!AD24*Source!I24, 2)</f>
        <v>48.64</v>
      </c>
      <c r="I43" s="35"/>
      <c r="J43" s="35">
        <f>IF(Source!BB24&lt;&gt; 0, Source!BB24, 1)</f>
        <v>10.7</v>
      </c>
      <c r="K43" s="36">
        <f>Source!Q24</f>
        <v>520.44000000000005</v>
      </c>
      <c r="L43" s="37"/>
    </row>
    <row r="44" spans="1:26" ht="14.25" x14ac:dyDescent="0.2">
      <c r="A44" s="18"/>
      <c r="B44" s="50"/>
      <c r="C44" s="50" t="s">
        <v>314</v>
      </c>
      <c r="D44" s="33"/>
      <c r="E44" s="25"/>
      <c r="F44" s="34">
        <f>Source!AL24</f>
        <v>377.72</v>
      </c>
      <c r="G44" s="35" t="str">
        <f>Source!DD24</f>
        <v/>
      </c>
      <c r="H44" s="36">
        <f>ROUND(Source!AC24*Source!I24, 2)</f>
        <v>1170.93</v>
      </c>
      <c r="I44" s="35"/>
      <c r="J44" s="35">
        <f>IF(Source!BC24&lt;&gt; 0, Source!BC24, 1)</f>
        <v>5.27</v>
      </c>
      <c r="K44" s="36">
        <f>Source!P24</f>
        <v>6170.81</v>
      </c>
      <c r="L44" s="37"/>
    </row>
    <row r="45" spans="1:26" ht="14.25" x14ac:dyDescent="0.2">
      <c r="A45" s="18"/>
      <c r="B45" s="50"/>
      <c r="C45" s="50" t="s">
        <v>315</v>
      </c>
      <c r="D45" s="33" t="s">
        <v>316</v>
      </c>
      <c r="E45" s="25">
        <f>Source!BZ24</f>
        <v>122</v>
      </c>
      <c r="F45" s="58" t="str">
        <f>CONCATENATE(" )", Source!DL24, Source!FT24, "=", Source!FX24)</f>
        <v xml:space="preserve"> )*0,9=109,8</v>
      </c>
      <c r="G45" s="59"/>
      <c r="H45" s="36">
        <f>SUM(S40:S47)</f>
        <v>2064.5</v>
      </c>
      <c r="I45" s="38"/>
      <c r="J45" s="32">
        <f>Source!AT24</f>
        <v>110</v>
      </c>
      <c r="K45" s="36">
        <f>SUM(T40:T47)</f>
        <v>68356.23</v>
      </c>
      <c r="L45" s="37"/>
    </row>
    <row r="46" spans="1:26" ht="14.25" x14ac:dyDescent="0.2">
      <c r="A46" s="18"/>
      <c r="B46" s="50"/>
      <c r="C46" s="50" t="s">
        <v>317</v>
      </c>
      <c r="D46" s="33" t="s">
        <v>316</v>
      </c>
      <c r="E46" s="25">
        <f>Source!CA24</f>
        <v>80</v>
      </c>
      <c r="F46" s="58" t="str">
        <f>CONCATENATE(" )", Source!DM24, Source!FU24, "=", Source!FY24)</f>
        <v xml:space="preserve"> )*0,85=68</v>
      </c>
      <c r="G46" s="59"/>
      <c r="H46" s="36">
        <f>SUM(U40:U47)</f>
        <v>1278.56</v>
      </c>
      <c r="I46" s="38"/>
      <c r="J46" s="32">
        <f>Source!AU24</f>
        <v>68</v>
      </c>
      <c r="K46" s="36">
        <f>SUM(V40:V47)</f>
        <v>42256.58</v>
      </c>
      <c r="L46" s="37"/>
    </row>
    <row r="47" spans="1:26" ht="14.25" x14ac:dyDescent="0.2">
      <c r="A47" s="51"/>
      <c r="B47" s="52"/>
      <c r="C47" s="52" t="s">
        <v>318</v>
      </c>
      <c r="D47" s="39" t="s">
        <v>319</v>
      </c>
      <c r="E47" s="40">
        <f>Source!AQ24</f>
        <v>70.2</v>
      </c>
      <c r="F47" s="41"/>
      <c r="G47" s="42" t="str">
        <f>Source!DI24</f>
        <v/>
      </c>
      <c r="H47" s="43"/>
      <c r="I47" s="42"/>
      <c r="J47" s="42"/>
      <c r="K47" s="43"/>
      <c r="L47" s="44">
        <f>Source!U24</f>
        <v>217.62</v>
      </c>
    </row>
    <row r="48" spans="1:26" ht="15" x14ac:dyDescent="0.25">
      <c r="G48" s="60">
        <f>H42+H43+H44+H45+H46</f>
        <v>6442.8700000000008</v>
      </c>
      <c r="H48" s="60"/>
      <c r="J48" s="60">
        <f>K42+K43+K44+K45+K46</f>
        <v>179446.09000000003</v>
      </c>
      <c r="K48" s="60"/>
      <c r="L48" s="45">
        <f>Source!U24</f>
        <v>217.62</v>
      </c>
      <c r="O48" s="30">
        <f>G48</f>
        <v>6442.8700000000008</v>
      </c>
      <c r="P48" s="30">
        <f>J48</f>
        <v>179446.09000000003</v>
      </c>
      <c r="Q48" s="30">
        <f>L48</f>
        <v>217.62</v>
      </c>
      <c r="W48">
        <f>IF(Source!BI24&lt;=1,H42+H43+H44+H45+H46, 0)</f>
        <v>6442.8700000000008</v>
      </c>
      <c r="X48">
        <f>IF(Source!BI24=2,H42+H43+H44+H45+H46, 0)</f>
        <v>0</v>
      </c>
      <c r="Y48">
        <f>IF(Source!BI24=3,H42+H43+H44+H45+H46, 0)</f>
        <v>0</v>
      </c>
      <c r="Z48">
        <f>IF(Source!BI24=4,H42+H43+H44+H45+H46, 0)</f>
        <v>0</v>
      </c>
    </row>
    <row r="49" spans="1:26" ht="42.75" x14ac:dyDescent="0.2">
      <c r="A49" s="18" t="str">
        <f>Source!E25</f>
        <v>2</v>
      </c>
      <c r="B49" s="50" t="str">
        <f>Source!F25</f>
        <v>46-04-012-2</v>
      </c>
      <c r="C49" s="50" t="str">
        <f>Source!G25</f>
        <v>Разборка деревянных заполнений проемов оконных без подоконных досок</v>
      </c>
      <c r="D49" s="33" t="str">
        <f>Source!H25</f>
        <v>100 м2</v>
      </c>
      <c r="E49" s="25">
        <f>Source!I25</f>
        <v>13.372999999999999</v>
      </c>
      <c r="F49" s="34">
        <f>Source!AL25+Source!AM25+Source!AO25</f>
        <v>1639.5800000000002</v>
      </c>
      <c r="G49" s="35"/>
      <c r="H49" s="36"/>
      <c r="I49" s="35" t="str">
        <f>Source!BO25</f>
        <v>46-04-012-2</v>
      </c>
      <c r="J49" s="35"/>
      <c r="K49" s="36"/>
      <c r="L49" s="37"/>
      <c r="S49">
        <f>ROUND((Source!FX25/100)*((ROUND(Source!AF25*Source!I25, 2)+ROUND(Source!AE25*Source!I25, 2))), 2)</f>
        <v>19886.97</v>
      </c>
      <c r="T49">
        <f>Source!X25</f>
        <v>657264.43000000005</v>
      </c>
      <c r="U49">
        <f>ROUND((Source!FY25/100)*((ROUND(Source!AF25*Source!I25, 2)+ROUND(Source!AE25*Source!I25, 2))), 2)</f>
        <v>11952.27</v>
      </c>
      <c r="V49">
        <f>Source!Y25</f>
        <v>398342.08</v>
      </c>
    </row>
    <row r="50" spans="1:26" x14ac:dyDescent="0.2">
      <c r="C50" s="29" t="str">
        <f>"Объем: "&amp;Source!I25&amp;"=1337,3/"&amp;"100"</f>
        <v>Объем: 13,373=1337,3/100</v>
      </c>
    </row>
    <row r="51" spans="1:26" ht="14.25" x14ac:dyDescent="0.2">
      <c r="A51" s="18"/>
      <c r="B51" s="50"/>
      <c r="C51" s="50" t="s">
        <v>313</v>
      </c>
      <c r="D51" s="33"/>
      <c r="E51" s="25"/>
      <c r="F51" s="34">
        <f>Source!AO25</f>
        <v>1397.63</v>
      </c>
      <c r="G51" s="35" t="str">
        <f>Source!DG25</f>
        <v/>
      </c>
      <c r="H51" s="36">
        <f>ROUND(Source!AF25*Source!I25, 2)</f>
        <v>18690.509999999998</v>
      </c>
      <c r="I51" s="35"/>
      <c r="J51" s="35">
        <f>IF(Source!BA25&lt;&gt; 0, Source!BA25, 1)</f>
        <v>33.049999999999997</v>
      </c>
      <c r="K51" s="36">
        <f>Source!S25</f>
        <v>617721.22</v>
      </c>
      <c r="L51" s="37"/>
      <c r="R51">
        <f>H51</f>
        <v>18690.509999999998</v>
      </c>
    </row>
    <row r="52" spans="1:26" ht="14.25" x14ac:dyDescent="0.2">
      <c r="A52" s="18"/>
      <c r="B52" s="50"/>
      <c r="C52" s="50" t="s">
        <v>94</v>
      </c>
      <c r="D52" s="33"/>
      <c r="E52" s="25"/>
      <c r="F52" s="34">
        <f>Source!AM25</f>
        <v>241.95</v>
      </c>
      <c r="G52" s="35" t="str">
        <f>Source!DE25</f>
        <v/>
      </c>
      <c r="H52" s="36">
        <f>ROUND(Source!AD25*Source!I25, 2)</f>
        <v>3235.6</v>
      </c>
      <c r="I52" s="35"/>
      <c r="J52" s="35">
        <f>IF(Source!BB25&lt;&gt; 0, Source!BB25, 1)</f>
        <v>14.93</v>
      </c>
      <c r="K52" s="36">
        <f>Source!Q25</f>
        <v>48307.47</v>
      </c>
      <c r="L52" s="37"/>
    </row>
    <row r="53" spans="1:26" ht="14.25" x14ac:dyDescent="0.2">
      <c r="A53" s="18"/>
      <c r="B53" s="50"/>
      <c r="C53" s="50" t="s">
        <v>320</v>
      </c>
      <c r="D53" s="33"/>
      <c r="E53" s="25"/>
      <c r="F53" s="34">
        <f>Source!AN25</f>
        <v>104.49</v>
      </c>
      <c r="G53" s="35" t="str">
        <f>Source!DF25</f>
        <v/>
      </c>
      <c r="H53" s="46">
        <f>ROUND(Source!AE25*Source!I25, 2)</f>
        <v>1397.34</v>
      </c>
      <c r="I53" s="35"/>
      <c r="J53" s="35">
        <f>IF(Source!BS25&lt;&gt; 0, Source!BS25, 1)</f>
        <v>33.049999999999997</v>
      </c>
      <c r="K53" s="46">
        <f>Source!R25</f>
        <v>46182.239999999998</v>
      </c>
      <c r="L53" s="37"/>
      <c r="R53">
        <f>H53</f>
        <v>1397.34</v>
      </c>
    </row>
    <row r="54" spans="1:26" ht="14.25" x14ac:dyDescent="0.2">
      <c r="A54" s="18"/>
      <c r="B54" s="50"/>
      <c r="C54" s="50" t="s">
        <v>315</v>
      </c>
      <c r="D54" s="33" t="s">
        <v>316</v>
      </c>
      <c r="E54" s="25">
        <f>Source!BZ25</f>
        <v>110</v>
      </c>
      <c r="F54" s="58" t="str">
        <f>CONCATENATE(" )", Source!DL25, Source!FT25, "=", Source!FX25)</f>
        <v xml:space="preserve"> )*0,9=99</v>
      </c>
      <c r="G54" s="59"/>
      <c r="H54" s="36">
        <f>SUM(S49:S56)</f>
        <v>19886.97</v>
      </c>
      <c r="I54" s="38"/>
      <c r="J54" s="32">
        <f>Source!AT25</f>
        <v>99</v>
      </c>
      <c r="K54" s="36">
        <f>SUM(T49:T56)</f>
        <v>657264.43000000005</v>
      </c>
      <c r="L54" s="37"/>
    </row>
    <row r="55" spans="1:26" ht="14.25" x14ac:dyDescent="0.2">
      <c r="A55" s="18"/>
      <c r="B55" s="50"/>
      <c r="C55" s="50" t="s">
        <v>317</v>
      </c>
      <c r="D55" s="33" t="s">
        <v>316</v>
      </c>
      <c r="E55" s="25">
        <f>Source!CA25</f>
        <v>70</v>
      </c>
      <c r="F55" s="58" t="str">
        <f>CONCATENATE(" )", Source!DM25, Source!FU25, "=", Source!FY25)</f>
        <v xml:space="preserve"> )*0,85=59,5</v>
      </c>
      <c r="G55" s="59"/>
      <c r="H55" s="36">
        <f>SUM(U49:U56)</f>
        <v>11952.27</v>
      </c>
      <c r="I55" s="38"/>
      <c r="J55" s="32">
        <f>Source!AU25</f>
        <v>60</v>
      </c>
      <c r="K55" s="36">
        <f>SUM(V49:V56)</f>
        <v>398342.08</v>
      </c>
      <c r="L55" s="37"/>
    </row>
    <row r="56" spans="1:26" ht="14.25" x14ac:dyDescent="0.2">
      <c r="A56" s="51"/>
      <c r="B56" s="52"/>
      <c r="C56" s="52" t="s">
        <v>318</v>
      </c>
      <c r="D56" s="39" t="s">
        <v>319</v>
      </c>
      <c r="E56" s="40">
        <f>Source!AQ25</f>
        <v>172.76</v>
      </c>
      <c r="F56" s="41"/>
      <c r="G56" s="42" t="str">
        <f>Source!DI25</f>
        <v/>
      </c>
      <c r="H56" s="43"/>
      <c r="I56" s="42"/>
      <c r="J56" s="42"/>
      <c r="K56" s="43"/>
      <c r="L56" s="44">
        <f>Source!U25</f>
        <v>2310.3194799999997</v>
      </c>
    </row>
    <row r="57" spans="1:26" ht="15" x14ac:dyDescent="0.25">
      <c r="G57" s="60">
        <f>H51+H52+H54+H55</f>
        <v>53765.350000000006</v>
      </c>
      <c r="H57" s="60"/>
      <c r="J57" s="60">
        <f>K51+K52+K54+K55</f>
        <v>1721635.2000000002</v>
      </c>
      <c r="K57" s="60"/>
      <c r="L57" s="45">
        <f>Source!U25</f>
        <v>2310.3194799999997</v>
      </c>
      <c r="O57" s="30">
        <f>G57</f>
        <v>53765.350000000006</v>
      </c>
      <c r="P57" s="30">
        <f>J57</f>
        <v>1721635.2000000002</v>
      </c>
      <c r="Q57" s="30">
        <f>L57</f>
        <v>2310.3194799999997</v>
      </c>
      <c r="W57">
        <f>IF(Source!BI25&lt;=1,H51+H52+H54+H55, 0)</f>
        <v>53765.350000000006</v>
      </c>
      <c r="X57">
        <f>IF(Source!BI25=2,H51+H52+H54+H55, 0)</f>
        <v>0</v>
      </c>
      <c r="Y57">
        <f>IF(Source!BI25=3,H51+H52+H54+H55, 0)</f>
        <v>0</v>
      </c>
      <c r="Z57">
        <f>IF(Source!BI25=4,H51+H52+H54+H55, 0)</f>
        <v>0</v>
      </c>
    </row>
    <row r="58" spans="1:26" ht="42.75" x14ac:dyDescent="0.2">
      <c r="A58" s="18" t="str">
        <f>Source!E26</f>
        <v>3</v>
      </c>
      <c r="B58" s="50" t="str">
        <f>Source!F26</f>
        <v>56-1-1</v>
      </c>
      <c r="C58" s="50" t="str">
        <f>Source!G26</f>
        <v>Демонтаж оконных коробок в каменных стенах с отбивкой штукатурки в откосах</v>
      </c>
      <c r="D58" s="33" t="str">
        <f>Source!H26</f>
        <v>100 коробок</v>
      </c>
      <c r="E58" s="25">
        <f>Source!I26</f>
        <v>7.61</v>
      </c>
      <c r="F58" s="34">
        <f>Source!AL26+Source!AM26+Source!AO26</f>
        <v>1145.54</v>
      </c>
      <c r="G58" s="35"/>
      <c r="H58" s="36"/>
      <c r="I58" s="35" t="str">
        <f>Source!BO26</f>
        <v>56-1-1</v>
      </c>
      <c r="J58" s="35"/>
      <c r="K58" s="36"/>
      <c r="L58" s="37"/>
      <c r="S58">
        <f>ROUND((Source!FX26/100)*((ROUND(Source!AF26*Source!I26, 2)+ROUND(Source!AE26*Source!I26, 2))), 2)</f>
        <v>6712.95</v>
      </c>
      <c r="T58">
        <f>Source!X26</f>
        <v>221863.24</v>
      </c>
      <c r="U58">
        <f>ROUND((Source!FY26/100)*((ROUND(Source!AF26*Source!I26, 2)+ROUND(Source!AE26*Source!I26, 2))), 2)</f>
        <v>5075.6499999999996</v>
      </c>
      <c r="V58">
        <f>Source!Y26</f>
        <v>167750.26</v>
      </c>
    </row>
    <row r="59" spans="1:26" x14ac:dyDescent="0.2">
      <c r="C59" s="29" t="str">
        <f>"Объем: "&amp;Source!I26&amp;"=761/"&amp;"100"</f>
        <v>Объем: 7,61=761/100</v>
      </c>
    </row>
    <row r="60" spans="1:26" ht="14.25" x14ac:dyDescent="0.2">
      <c r="A60" s="18"/>
      <c r="B60" s="50"/>
      <c r="C60" s="50" t="s">
        <v>313</v>
      </c>
      <c r="D60" s="33"/>
      <c r="E60" s="25"/>
      <c r="F60" s="34">
        <f>Source!AO26</f>
        <v>1051.72</v>
      </c>
      <c r="G60" s="35" t="str">
        <f>Source!DG26</f>
        <v/>
      </c>
      <c r="H60" s="36">
        <f>ROUND(Source!AF26*Source!I26, 2)</f>
        <v>8003.59</v>
      </c>
      <c r="I60" s="35"/>
      <c r="J60" s="35">
        <f>IF(Source!BA26&lt;&gt; 0, Source!BA26, 1)</f>
        <v>33.049999999999997</v>
      </c>
      <c r="K60" s="36">
        <f>Source!S26</f>
        <v>264518.62</v>
      </c>
      <c r="L60" s="37"/>
      <c r="R60">
        <f>H60</f>
        <v>8003.59</v>
      </c>
    </row>
    <row r="61" spans="1:26" ht="14.25" x14ac:dyDescent="0.2">
      <c r="A61" s="18"/>
      <c r="B61" s="50"/>
      <c r="C61" s="50" t="s">
        <v>94</v>
      </c>
      <c r="D61" s="33"/>
      <c r="E61" s="25"/>
      <c r="F61" s="34">
        <f>Source!AM26</f>
        <v>93.82</v>
      </c>
      <c r="G61" s="35" t="str">
        <f>Source!DE26</f>
        <v/>
      </c>
      <c r="H61" s="36">
        <f>ROUND(Source!AD26*Source!I26, 2)</f>
        <v>713.97</v>
      </c>
      <c r="I61" s="35"/>
      <c r="J61" s="35">
        <f>IF(Source!BB26&lt;&gt; 0, Source!BB26, 1)</f>
        <v>11.97</v>
      </c>
      <c r="K61" s="36">
        <f>Source!Q26</f>
        <v>8546.2199999999993</v>
      </c>
      <c r="L61" s="37"/>
    </row>
    <row r="62" spans="1:26" ht="14.25" x14ac:dyDescent="0.2">
      <c r="A62" s="18"/>
      <c r="B62" s="50"/>
      <c r="C62" s="50" t="s">
        <v>320</v>
      </c>
      <c r="D62" s="33"/>
      <c r="E62" s="25"/>
      <c r="F62" s="34">
        <f>Source!AN26</f>
        <v>24.04</v>
      </c>
      <c r="G62" s="35" t="str">
        <f>Source!DF26</f>
        <v/>
      </c>
      <c r="H62" s="46">
        <f>ROUND(Source!AE26*Source!I26, 2)</f>
        <v>182.94</v>
      </c>
      <c r="I62" s="35"/>
      <c r="J62" s="35">
        <f>IF(Source!BS26&lt;&gt; 0, Source!BS26, 1)</f>
        <v>33.049999999999997</v>
      </c>
      <c r="K62" s="46">
        <f>Source!R26</f>
        <v>6046.31</v>
      </c>
      <c r="L62" s="37"/>
      <c r="R62">
        <f>H62</f>
        <v>182.94</v>
      </c>
    </row>
    <row r="63" spans="1:26" ht="14.25" x14ac:dyDescent="0.2">
      <c r="A63" s="18"/>
      <c r="B63" s="50"/>
      <c r="C63" s="50" t="s">
        <v>315</v>
      </c>
      <c r="D63" s="33" t="s">
        <v>316</v>
      </c>
      <c r="E63" s="25">
        <f>Source!BZ26</f>
        <v>82</v>
      </c>
      <c r="F63" s="53"/>
      <c r="G63" s="35"/>
      <c r="H63" s="36">
        <f>SUM(S58:S66)</f>
        <v>6712.95</v>
      </c>
      <c r="I63" s="38"/>
      <c r="J63" s="32">
        <f>Source!AT26</f>
        <v>82</v>
      </c>
      <c r="K63" s="36">
        <f>SUM(T58:T66)</f>
        <v>221863.24</v>
      </c>
      <c r="L63" s="37"/>
    </row>
    <row r="64" spans="1:26" ht="14.25" x14ac:dyDescent="0.2">
      <c r="A64" s="18"/>
      <c r="B64" s="50"/>
      <c r="C64" s="50" t="s">
        <v>317</v>
      </c>
      <c r="D64" s="33" t="s">
        <v>316</v>
      </c>
      <c r="E64" s="25">
        <f>Source!CA26</f>
        <v>62</v>
      </c>
      <c r="F64" s="53"/>
      <c r="G64" s="35"/>
      <c r="H64" s="36">
        <f>SUM(U58:U66)</f>
        <v>5075.6499999999996</v>
      </c>
      <c r="I64" s="38"/>
      <c r="J64" s="32">
        <f>Source!AU26</f>
        <v>62</v>
      </c>
      <c r="K64" s="36">
        <f>SUM(V58:V66)</f>
        <v>167750.26</v>
      </c>
      <c r="L64" s="37"/>
    </row>
    <row r="65" spans="1:26" ht="14.25" x14ac:dyDescent="0.2">
      <c r="A65" s="18"/>
      <c r="B65" s="50"/>
      <c r="C65" s="50" t="s">
        <v>318</v>
      </c>
      <c r="D65" s="33" t="s">
        <v>319</v>
      </c>
      <c r="E65" s="25">
        <f>Source!AQ26</f>
        <v>128.72999999999999</v>
      </c>
      <c r="F65" s="34"/>
      <c r="G65" s="35" t="str">
        <f>Source!DI26</f>
        <v/>
      </c>
      <c r="H65" s="36"/>
      <c r="I65" s="35"/>
      <c r="J65" s="35"/>
      <c r="K65" s="36"/>
      <c r="L65" s="47">
        <f>Source!U26</f>
        <v>979.63529999999992</v>
      </c>
    </row>
    <row r="66" spans="1:26" ht="14.25" x14ac:dyDescent="0.2">
      <c r="A66" s="51" t="str">
        <f>Source!E27</f>
        <v>3,1</v>
      </c>
      <c r="B66" s="52" t="str">
        <f>Source!F27</f>
        <v>509-9900</v>
      </c>
      <c r="C66" s="52" t="str">
        <f>Source!G27</f>
        <v>Строительный мусор</v>
      </c>
      <c r="D66" s="39" t="str">
        <f>Source!H27</f>
        <v>т</v>
      </c>
      <c r="E66" s="40">
        <f>Source!I27</f>
        <v>81.122600000000006</v>
      </c>
      <c r="F66" s="41">
        <f>Source!AL27+Source!AM27+Source!AO27</f>
        <v>0</v>
      </c>
      <c r="G66" s="48" t="s">
        <v>3</v>
      </c>
      <c r="H66" s="43">
        <f>ROUND(Source!AC27*Source!I27, 2)+ROUND(Source!AD27*Source!I27, 2)+ROUND(Source!AF27*Source!I27, 2)</f>
        <v>0</v>
      </c>
      <c r="I66" s="42"/>
      <c r="J66" s="42">
        <f>IF(Source!BC27&lt;&gt; 0, Source!BC27, 1)</f>
        <v>1</v>
      </c>
      <c r="K66" s="43">
        <f>Source!O27</f>
        <v>0</v>
      </c>
      <c r="L66" s="49"/>
      <c r="S66">
        <f>ROUND((Source!FX27/100)*((ROUND(Source!AF27*Source!I27, 2)+ROUND(Source!AE27*Source!I27, 2))), 2)</f>
        <v>0</v>
      </c>
      <c r="T66">
        <f>Source!X27</f>
        <v>0</v>
      </c>
      <c r="U66">
        <f>ROUND((Source!FY27/100)*((ROUND(Source!AF27*Source!I27, 2)+ROUND(Source!AE27*Source!I27, 2))), 2)</f>
        <v>0</v>
      </c>
      <c r="V66">
        <f>Source!Y27</f>
        <v>0</v>
      </c>
      <c r="W66">
        <f>IF(Source!BI27&lt;=1,H66, 0)</f>
        <v>0</v>
      </c>
      <c r="X66">
        <f>IF(Source!BI27=2,H66, 0)</f>
        <v>0</v>
      </c>
      <c r="Y66">
        <f>IF(Source!BI27=3,H66, 0)</f>
        <v>0</v>
      </c>
      <c r="Z66">
        <f>IF(Source!BI27=4,H66, 0)</f>
        <v>0</v>
      </c>
    </row>
    <row r="67" spans="1:26" ht="15" x14ac:dyDescent="0.25">
      <c r="G67" s="60">
        <f>H60+H61+H63+H64+SUM(H66:H66)</f>
        <v>20506.159999999996</v>
      </c>
      <c r="H67" s="60"/>
      <c r="J67" s="60">
        <f>K60+K61+K63+K64+SUM(K66:K66)</f>
        <v>662678.34</v>
      </c>
      <c r="K67" s="60"/>
      <c r="L67" s="45">
        <f>Source!U26</f>
        <v>979.63529999999992</v>
      </c>
      <c r="O67" s="30">
        <f>G67</f>
        <v>20506.159999999996</v>
      </c>
      <c r="P67" s="30">
        <f>J67</f>
        <v>662678.34</v>
      </c>
      <c r="Q67" s="30">
        <f>L67</f>
        <v>979.63529999999992</v>
      </c>
      <c r="W67">
        <f>IF(Source!BI26&lt;=1,H60+H61+H63+H64, 0)</f>
        <v>20506.159999999996</v>
      </c>
      <c r="X67">
        <f>IF(Source!BI26=2,H60+H61+H63+H64, 0)</f>
        <v>0</v>
      </c>
      <c r="Y67">
        <f>IF(Source!BI26=3,H60+H61+H63+H64, 0)</f>
        <v>0</v>
      </c>
      <c r="Z67">
        <f>IF(Source!BI26=4,H60+H61+H63+H64, 0)</f>
        <v>0</v>
      </c>
    </row>
    <row r="68" spans="1:26" ht="71.25" x14ac:dyDescent="0.2">
      <c r="A68" s="18" t="str">
        <f>Source!E28</f>
        <v>4</v>
      </c>
      <c r="B68" s="50" t="str">
        <f>Source!F28</f>
        <v>10-01-034-5</v>
      </c>
      <c r="C68" s="50" t="str">
        <f>Source!G28</f>
        <v>Установка в жилых и общественных зданиях оконных блоков из ПВХ профилей поворотных (откидных, поворотно-откидных) с площадью проема до 2 м2 двухстворчатых</v>
      </c>
      <c r="D68" s="33" t="str">
        <f>Source!H28</f>
        <v>100 м2 проемов</v>
      </c>
      <c r="E68" s="25">
        <f>Source!I28</f>
        <v>13.372999999999999</v>
      </c>
      <c r="F68" s="34">
        <f>Source!AL28+Source!AM28+Source!AO28</f>
        <v>318300.29000000004</v>
      </c>
      <c r="G68" s="35"/>
      <c r="H68" s="36"/>
      <c r="I68" s="35" t="str">
        <f>Source!BO28</f>
        <v>10-01-034-5</v>
      </c>
      <c r="J68" s="35"/>
      <c r="K68" s="36"/>
      <c r="L68" s="37"/>
      <c r="S68">
        <f>ROUND((Source!FX28/100)*((ROUND(Source!AF28*Source!I28, 2)+ROUND(Source!AE28*Source!I28, 2))), 2)</f>
        <v>23617.43</v>
      </c>
      <c r="T68">
        <f>Source!X28</f>
        <v>779085.93</v>
      </c>
      <c r="U68">
        <f>ROUND((Source!FY28/100)*((ROUND(Source!AF28*Source!I28, 2)+ROUND(Source!AE28*Source!I28, 2))), 2)</f>
        <v>11908.79</v>
      </c>
      <c r="V68">
        <f>Source!Y28</f>
        <v>396892.83</v>
      </c>
    </row>
    <row r="69" spans="1:26" x14ac:dyDescent="0.2">
      <c r="C69" s="29" t="str">
        <f>"Объем: "&amp;Source!I28&amp;"=1337,3/"&amp;"100"</f>
        <v>Объем: 13,373=1337,3/100</v>
      </c>
    </row>
    <row r="70" spans="1:26" ht="14.25" x14ac:dyDescent="0.2">
      <c r="A70" s="18"/>
      <c r="B70" s="50"/>
      <c r="C70" s="50" t="s">
        <v>313</v>
      </c>
      <c r="D70" s="33"/>
      <c r="E70" s="25"/>
      <c r="F70" s="34">
        <f>Source!AO28</f>
        <v>1639.19</v>
      </c>
      <c r="G70" s="35" t="str">
        <f>Source!DG28</f>
        <v/>
      </c>
      <c r="H70" s="36">
        <f>ROUND(Source!AF28*Source!I28, 2)</f>
        <v>21920.89</v>
      </c>
      <c r="I70" s="35"/>
      <c r="J70" s="35">
        <f>IF(Source!BA28&lt;&gt; 0, Source!BA28, 1)</f>
        <v>33.049999999999997</v>
      </c>
      <c r="K70" s="36">
        <f>Source!S28</f>
        <v>724485.34</v>
      </c>
      <c r="L70" s="37"/>
      <c r="R70">
        <f>H70</f>
        <v>21920.89</v>
      </c>
    </row>
    <row r="71" spans="1:26" ht="14.25" x14ac:dyDescent="0.2">
      <c r="A71" s="18"/>
      <c r="B71" s="50"/>
      <c r="C71" s="50" t="s">
        <v>94</v>
      </c>
      <c r="D71" s="33"/>
      <c r="E71" s="25"/>
      <c r="F71" s="34">
        <f>Source!AM28</f>
        <v>487.95</v>
      </c>
      <c r="G71" s="35" t="str">
        <f>Source!DE28</f>
        <v/>
      </c>
      <c r="H71" s="36">
        <f>ROUND(Source!AD28*Source!I28, 2)</f>
        <v>6525.36</v>
      </c>
      <c r="I71" s="35"/>
      <c r="J71" s="35">
        <f>IF(Source!BB28&lt;&gt; 0, Source!BB28, 1)</f>
        <v>10.99</v>
      </c>
      <c r="K71" s="36">
        <f>Source!Q28</f>
        <v>71713.66</v>
      </c>
      <c r="L71" s="37"/>
    </row>
    <row r="72" spans="1:26" ht="14.25" x14ac:dyDescent="0.2">
      <c r="A72" s="18"/>
      <c r="B72" s="50"/>
      <c r="C72" s="50" t="s">
        <v>320</v>
      </c>
      <c r="D72" s="33"/>
      <c r="E72" s="25"/>
      <c r="F72" s="34">
        <f>Source!AN28</f>
        <v>23.76</v>
      </c>
      <c r="G72" s="35" t="str">
        <f>Source!DF28</f>
        <v/>
      </c>
      <c r="H72" s="46">
        <f>ROUND(Source!AE28*Source!I28, 2)</f>
        <v>317.74</v>
      </c>
      <c r="I72" s="35"/>
      <c r="J72" s="35">
        <f>IF(Source!BS28&lt;&gt; 0, Source!BS28, 1)</f>
        <v>33.049999999999997</v>
      </c>
      <c r="K72" s="46">
        <f>Source!R28</f>
        <v>10501.39</v>
      </c>
      <c r="L72" s="37"/>
      <c r="R72">
        <f>H72</f>
        <v>317.74</v>
      </c>
    </row>
    <row r="73" spans="1:26" ht="14.25" x14ac:dyDescent="0.2">
      <c r="A73" s="18"/>
      <c r="B73" s="50"/>
      <c r="C73" s="50" t="s">
        <v>314</v>
      </c>
      <c r="D73" s="33"/>
      <c r="E73" s="25"/>
      <c r="F73" s="34">
        <f>Source!AL28</f>
        <v>316173.15000000002</v>
      </c>
      <c r="G73" s="35" t="str">
        <f>Source!DD28</f>
        <v/>
      </c>
      <c r="H73" s="36">
        <f>ROUND(Source!AC28*Source!I28, 2)</f>
        <v>4228183.53</v>
      </c>
      <c r="I73" s="35"/>
      <c r="J73" s="35">
        <f>IF(Source!BC28&lt;&gt; 0, Source!BC28, 1)</f>
        <v>1.45</v>
      </c>
      <c r="K73" s="36">
        <f>Source!P28</f>
        <v>6130866.1299999999</v>
      </c>
      <c r="L73" s="37"/>
    </row>
    <row r="74" spans="1:26" ht="14.25" x14ac:dyDescent="0.2">
      <c r="A74" s="18"/>
      <c r="B74" s="50"/>
      <c r="C74" s="50" t="s">
        <v>315</v>
      </c>
      <c r="D74" s="33" t="s">
        <v>316</v>
      </c>
      <c r="E74" s="25">
        <f>Source!BZ28</f>
        <v>118</v>
      </c>
      <c r="F74" s="58" t="str">
        <f>CONCATENATE(" )", Source!DL28, Source!FT28, "=", Source!FX28)</f>
        <v xml:space="preserve"> )*0,9=106,2</v>
      </c>
      <c r="G74" s="59"/>
      <c r="H74" s="36">
        <f>SUM(S68:S76)</f>
        <v>23617.43</v>
      </c>
      <c r="I74" s="38"/>
      <c r="J74" s="32">
        <f>Source!AT28</f>
        <v>106</v>
      </c>
      <c r="K74" s="36">
        <f>SUM(T68:T76)</f>
        <v>779085.93</v>
      </c>
      <c r="L74" s="37"/>
    </row>
    <row r="75" spans="1:26" ht="14.25" x14ac:dyDescent="0.2">
      <c r="A75" s="18"/>
      <c r="B75" s="50"/>
      <c r="C75" s="50" t="s">
        <v>317</v>
      </c>
      <c r="D75" s="33" t="s">
        <v>316</v>
      </c>
      <c r="E75" s="25">
        <f>Source!CA28</f>
        <v>63</v>
      </c>
      <c r="F75" s="58" t="str">
        <f>CONCATENATE(" )", Source!DM28, Source!FU28, "=", Source!FY28)</f>
        <v xml:space="preserve"> )*0,85=53,55</v>
      </c>
      <c r="G75" s="59"/>
      <c r="H75" s="36">
        <f>SUM(U68:U76)</f>
        <v>11908.79</v>
      </c>
      <c r="I75" s="38"/>
      <c r="J75" s="32">
        <f>Source!AU28</f>
        <v>54</v>
      </c>
      <c r="K75" s="36">
        <f>SUM(V68:V76)</f>
        <v>396892.83</v>
      </c>
      <c r="L75" s="37"/>
    </row>
    <row r="76" spans="1:26" ht="14.25" x14ac:dyDescent="0.2">
      <c r="A76" s="51"/>
      <c r="B76" s="52"/>
      <c r="C76" s="52" t="s">
        <v>318</v>
      </c>
      <c r="D76" s="39" t="s">
        <v>319</v>
      </c>
      <c r="E76" s="40">
        <f>Source!AQ28</f>
        <v>187.55</v>
      </c>
      <c r="F76" s="41"/>
      <c r="G76" s="42" t="str">
        <f>Source!DI28</f>
        <v/>
      </c>
      <c r="H76" s="43"/>
      <c r="I76" s="42"/>
      <c r="J76" s="42"/>
      <c r="K76" s="43"/>
      <c r="L76" s="44">
        <f>Source!U28</f>
        <v>2508.1061500000001</v>
      </c>
    </row>
    <row r="77" spans="1:26" ht="15" x14ac:dyDescent="0.25">
      <c r="G77" s="60">
        <f>H70+H71+H73+H74+H75</f>
        <v>4292156</v>
      </c>
      <c r="H77" s="60"/>
      <c r="J77" s="60">
        <f>K70+K71+K73+K74+K75</f>
        <v>8103043.8899999997</v>
      </c>
      <c r="K77" s="60"/>
      <c r="L77" s="45">
        <f>Source!U28</f>
        <v>2508.1061500000001</v>
      </c>
      <c r="O77" s="30">
        <f>G77</f>
        <v>4292156</v>
      </c>
      <c r="P77" s="30">
        <f>J77</f>
        <v>8103043.8899999997</v>
      </c>
      <c r="Q77" s="30">
        <f>L77</f>
        <v>2508.1061500000001</v>
      </c>
      <c r="W77">
        <f>IF(Source!BI28&lt;=1,H70+H71+H73+H74+H75, 0)</f>
        <v>4292156</v>
      </c>
      <c r="X77">
        <f>IF(Source!BI28=2,H70+H71+H73+H74+H75, 0)</f>
        <v>0</v>
      </c>
      <c r="Y77">
        <f>IF(Source!BI28=3,H70+H71+H73+H74+H75, 0)</f>
        <v>0</v>
      </c>
      <c r="Z77">
        <f>IF(Source!BI28=4,H70+H71+H73+H74+H75, 0)</f>
        <v>0</v>
      </c>
    </row>
    <row r="78" spans="1:26" ht="42.75" x14ac:dyDescent="0.2">
      <c r="A78" s="18" t="str">
        <f>Source!E29</f>
        <v>5</v>
      </c>
      <c r="B78" s="50" t="str">
        <f>Source!F29</f>
        <v>12-01-010-1</v>
      </c>
      <c r="C78" s="50" t="str">
        <f>Source!G29</f>
        <v>Устройство мелких покрытий (брандмауэры, парапеты, свесы и т.п.) из листовой оцинкованной стали</v>
      </c>
      <c r="D78" s="33" t="str">
        <f>Source!H29</f>
        <v>100 м2 покрытия</v>
      </c>
      <c r="E78" s="25">
        <f>Source!I29</f>
        <v>1.4537</v>
      </c>
      <c r="F78" s="34">
        <f>Source!AL29+Source!AM29+Source!AO29</f>
        <v>9875.73</v>
      </c>
      <c r="G78" s="35"/>
      <c r="H78" s="36"/>
      <c r="I78" s="35" t="str">
        <f>Source!BO29</f>
        <v>12-01-010-1</v>
      </c>
      <c r="J78" s="35"/>
      <c r="K78" s="36"/>
      <c r="L78" s="37"/>
      <c r="S78">
        <f>ROUND((Source!FX29/100)*((ROUND(Source!AF29*Source!I29, 2)+ROUND(Source!AE29*Source!I29, 2))), 2)</f>
        <v>1514.19</v>
      </c>
      <c r="T78">
        <f>Source!X29</f>
        <v>50044.25</v>
      </c>
      <c r="U78">
        <f>ROUND((Source!FY29/100)*((ROUND(Source!AF29*Source!I29, 2)+ROUND(Source!AE29*Source!I29, 2))), 2)</f>
        <v>774.62</v>
      </c>
      <c r="V78">
        <f>Source!Y29</f>
        <v>25485.5</v>
      </c>
    </row>
    <row r="79" spans="1:26" x14ac:dyDescent="0.2">
      <c r="C79" s="29" t="str">
        <f>"Объем: "&amp;Source!I29&amp;"=145,37/"&amp;"100"</f>
        <v>Объем: 1,4537=145,37/100</v>
      </c>
    </row>
    <row r="80" spans="1:26" ht="14.25" x14ac:dyDescent="0.2">
      <c r="A80" s="18"/>
      <c r="B80" s="50"/>
      <c r="C80" s="50" t="s">
        <v>313</v>
      </c>
      <c r="D80" s="33"/>
      <c r="E80" s="25"/>
      <c r="F80" s="34">
        <f>Source!AO29</f>
        <v>961.76</v>
      </c>
      <c r="G80" s="35" t="str">
        <f>Source!DG29</f>
        <v/>
      </c>
      <c r="H80" s="36">
        <f>ROUND(Source!AF29*Source!I29, 2)</f>
        <v>1398.11</v>
      </c>
      <c r="I80" s="35"/>
      <c r="J80" s="35">
        <f>IF(Source!BA29&lt;&gt; 0, Source!BA29, 1)</f>
        <v>33.049999999999997</v>
      </c>
      <c r="K80" s="36">
        <f>Source!S29</f>
        <v>46207.55</v>
      </c>
      <c r="L80" s="37"/>
      <c r="R80">
        <f>H80</f>
        <v>1398.11</v>
      </c>
    </row>
    <row r="81" spans="1:26" ht="14.25" x14ac:dyDescent="0.2">
      <c r="A81" s="18"/>
      <c r="B81" s="50"/>
      <c r="C81" s="50" t="s">
        <v>94</v>
      </c>
      <c r="D81" s="33"/>
      <c r="E81" s="25"/>
      <c r="F81" s="34">
        <f>Source!AM29</f>
        <v>23.38</v>
      </c>
      <c r="G81" s="35" t="str">
        <f>Source!DE29</f>
        <v/>
      </c>
      <c r="H81" s="36">
        <f>ROUND(Source!AD29*Source!I29, 2)</f>
        <v>33.99</v>
      </c>
      <c r="I81" s="35"/>
      <c r="J81" s="35">
        <f>IF(Source!BB29&lt;&gt; 0, Source!BB29, 1)</f>
        <v>10.4</v>
      </c>
      <c r="K81" s="36">
        <f>Source!Q29</f>
        <v>353.47</v>
      </c>
      <c r="L81" s="37"/>
    </row>
    <row r="82" spans="1:26" ht="14.25" x14ac:dyDescent="0.2">
      <c r="A82" s="18"/>
      <c r="B82" s="50"/>
      <c r="C82" s="50" t="s">
        <v>320</v>
      </c>
      <c r="D82" s="33"/>
      <c r="E82" s="25"/>
      <c r="F82" s="34">
        <f>Source!AN29</f>
        <v>2.7</v>
      </c>
      <c r="G82" s="35" t="str">
        <f>Source!DF29</f>
        <v/>
      </c>
      <c r="H82" s="46">
        <f>ROUND(Source!AE29*Source!I29, 2)</f>
        <v>3.92</v>
      </c>
      <c r="I82" s="35"/>
      <c r="J82" s="35">
        <f>IF(Source!BS29&lt;&gt; 0, Source!BS29, 1)</f>
        <v>33.049999999999997</v>
      </c>
      <c r="K82" s="46">
        <f>Source!R29</f>
        <v>129.72</v>
      </c>
      <c r="L82" s="37"/>
      <c r="R82">
        <f>H82</f>
        <v>3.92</v>
      </c>
    </row>
    <row r="83" spans="1:26" ht="14.25" x14ac:dyDescent="0.2">
      <c r="A83" s="18"/>
      <c r="B83" s="50"/>
      <c r="C83" s="50" t="s">
        <v>314</v>
      </c>
      <c r="D83" s="33"/>
      <c r="E83" s="25"/>
      <c r="F83" s="34">
        <f>Source!AL29</f>
        <v>8890.59</v>
      </c>
      <c r="G83" s="35" t="str">
        <f>Source!DD29</f>
        <v/>
      </c>
      <c r="H83" s="36">
        <f>ROUND(Source!AC29*Source!I29, 2)</f>
        <v>12924.25</v>
      </c>
      <c r="I83" s="35"/>
      <c r="J83" s="35">
        <f>IF(Source!BC29&lt;&gt; 0, Source!BC29, 1)</f>
        <v>7.76</v>
      </c>
      <c r="K83" s="36">
        <f>Source!P29</f>
        <v>100292.19</v>
      </c>
      <c r="L83" s="37"/>
    </row>
    <row r="84" spans="1:26" ht="14.25" x14ac:dyDescent="0.2">
      <c r="A84" s="18"/>
      <c r="B84" s="50"/>
      <c r="C84" s="50" t="s">
        <v>315</v>
      </c>
      <c r="D84" s="33" t="s">
        <v>316</v>
      </c>
      <c r="E84" s="25">
        <f>Source!BZ29</f>
        <v>120</v>
      </c>
      <c r="F84" s="58" t="str">
        <f>CONCATENATE(" )", Source!DL29, Source!FT29, "=", Source!FX29)</f>
        <v xml:space="preserve"> )*0,9=108</v>
      </c>
      <c r="G84" s="59"/>
      <c r="H84" s="36">
        <f>SUM(S78:S86)</f>
        <v>1514.19</v>
      </c>
      <c r="I84" s="38"/>
      <c r="J84" s="32">
        <f>Source!AT29</f>
        <v>108</v>
      </c>
      <c r="K84" s="36">
        <f>SUM(T78:T86)</f>
        <v>50044.25</v>
      </c>
      <c r="L84" s="37"/>
    </row>
    <row r="85" spans="1:26" ht="14.25" x14ac:dyDescent="0.2">
      <c r="A85" s="18"/>
      <c r="B85" s="50"/>
      <c r="C85" s="50" t="s">
        <v>317</v>
      </c>
      <c r="D85" s="33" t="s">
        <v>316</v>
      </c>
      <c r="E85" s="25">
        <f>Source!CA29</f>
        <v>65</v>
      </c>
      <c r="F85" s="58" t="str">
        <f>CONCATENATE(" )", Source!DM29, Source!FU29, "=", Source!FY29)</f>
        <v xml:space="preserve"> )*0,85=55,25</v>
      </c>
      <c r="G85" s="59"/>
      <c r="H85" s="36">
        <f>SUM(U78:U86)</f>
        <v>774.62</v>
      </c>
      <c r="I85" s="38"/>
      <c r="J85" s="32">
        <f>Source!AU29</f>
        <v>55</v>
      </c>
      <c r="K85" s="36">
        <f>SUM(V78:V86)</f>
        <v>25485.5</v>
      </c>
      <c r="L85" s="37"/>
    </row>
    <row r="86" spans="1:26" ht="14.25" x14ac:dyDescent="0.2">
      <c r="A86" s="51"/>
      <c r="B86" s="52"/>
      <c r="C86" s="52" t="s">
        <v>318</v>
      </c>
      <c r="D86" s="39" t="s">
        <v>319</v>
      </c>
      <c r="E86" s="40">
        <f>Source!AQ29</f>
        <v>112.75</v>
      </c>
      <c r="F86" s="41"/>
      <c r="G86" s="42" t="str">
        <f>Source!DI29</f>
        <v/>
      </c>
      <c r="H86" s="43"/>
      <c r="I86" s="42"/>
      <c r="J86" s="42"/>
      <c r="K86" s="43"/>
      <c r="L86" s="44">
        <f>Source!U29</f>
        <v>163.904675</v>
      </c>
    </row>
    <row r="87" spans="1:26" ht="15" x14ac:dyDescent="0.25">
      <c r="G87" s="60">
        <f>H80+H81+H83+H84+H85</f>
        <v>16645.16</v>
      </c>
      <c r="H87" s="60"/>
      <c r="J87" s="60">
        <f>K80+K81+K83+K84+K85</f>
        <v>222382.96000000002</v>
      </c>
      <c r="K87" s="60"/>
      <c r="L87" s="45">
        <f>Source!U29</f>
        <v>163.904675</v>
      </c>
      <c r="O87" s="30">
        <f>G87</f>
        <v>16645.16</v>
      </c>
      <c r="P87" s="30">
        <f>J87</f>
        <v>222382.96000000002</v>
      </c>
      <c r="Q87" s="30">
        <f>L87</f>
        <v>163.904675</v>
      </c>
      <c r="W87">
        <f>IF(Source!BI29&lt;=1,H80+H81+H83+H84+H85, 0)</f>
        <v>16645.16</v>
      </c>
      <c r="X87">
        <f>IF(Source!BI29=2,H80+H81+H83+H84+H85, 0)</f>
        <v>0</v>
      </c>
      <c r="Y87">
        <f>IF(Source!BI29=3,H80+H81+H83+H84+H85, 0)</f>
        <v>0</v>
      </c>
      <c r="Z87">
        <f>IF(Source!BI29=4,H80+H81+H83+H84+H85, 0)</f>
        <v>0</v>
      </c>
    </row>
    <row r="88" spans="1:26" ht="28.5" x14ac:dyDescent="0.2">
      <c r="A88" s="18" t="str">
        <f>Source!E30</f>
        <v>6</v>
      </c>
      <c r="B88" s="50" t="str">
        <f>Source!F30</f>
        <v>69-9-1</v>
      </c>
      <c r="C88" s="50" t="str">
        <f>Source!G30</f>
        <v>Очистка помещений от строительного мусора</v>
      </c>
      <c r="D88" s="33" t="str">
        <f>Source!H30</f>
        <v>100 т мусора</v>
      </c>
      <c r="E88" s="25">
        <f>Source!I30</f>
        <v>0.81130000000000002</v>
      </c>
      <c r="F88" s="34">
        <f>Source!AL30+Source!AM30+Source!AO30</f>
        <v>1553.82</v>
      </c>
      <c r="G88" s="35"/>
      <c r="H88" s="36"/>
      <c r="I88" s="35" t="str">
        <f>Source!BO30</f>
        <v>69-9-1</v>
      </c>
      <c r="J88" s="35"/>
      <c r="K88" s="36"/>
      <c r="L88" s="37"/>
      <c r="S88">
        <f>ROUND((Source!FX30/100)*((ROUND(Source!AF30*Source!I30, 2)+ROUND(Source!AE30*Source!I30, 2))), 2)</f>
        <v>983.28</v>
      </c>
      <c r="T88">
        <f>Source!X30</f>
        <v>32497.37</v>
      </c>
      <c r="U88">
        <f>ROUND((Source!FY30/100)*((ROUND(Source!AF30*Source!I30, 2)+ROUND(Source!AE30*Source!I30, 2))), 2)</f>
        <v>630.30999999999995</v>
      </c>
      <c r="V88">
        <f>Source!Y30</f>
        <v>20831.650000000001</v>
      </c>
    </row>
    <row r="89" spans="1:26" x14ac:dyDescent="0.2">
      <c r="C89" s="29" t="str">
        <f>"Объем: "&amp;Source!I30&amp;"=81,13/"&amp;"100"</f>
        <v>Объем: 0,8113=81,13/100</v>
      </c>
    </row>
    <row r="90" spans="1:26" ht="14.25" x14ac:dyDescent="0.2">
      <c r="A90" s="18"/>
      <c r="B90" s="50"/>
      <c r="C90" s="50" t="s">
        <v>313</v>
      </c>
      <c r="D90" s="33"/>
      <c r="E90" s="25"/>
      <c r="F90" s="34">
        <f>Source!AO30</f>
        <v>1553.82</v>
      </c>
      <c r="G90" s="35" t="str">
        <f>Source!DG30</f>
        <v/>
      </c>
      <c r="H90" s="36">
        <f>ROUND(Source!AF30*Source!I30, 2)</f>
        <v>1260.6099999999999</v>
      </c>
      <c r="I90" s="35"/>
      <c r="J90" s="35">
        <f>IF(Source!BA30&lt;&gt; 0, Source!BA30, 1)</f>
        <v>33.049999999999997</v>
      </c>
      <c r="K90" s="36">
        <f>Source!S30</f>
        <v>41663.300000000003</v>
      </c>
      <c r="L90" s="37"/>
      <c r="R90">
        <f>H90</f>
        <v>1260.6099999999999</v>
      </c>
    </row>
    <row r="91" spans="1:26" ht="14.25" x14ac:dyDescent="0.2">
      <c r="A91" s="18"/>
      <c r="B91" s="50"/>
      <c r="C91" s="50" t="s">
        <v>315</v>
      </c>
      <c r="D91" s="33" t="s">
        <v>316</v>
      </c>
      <c r="E91" s="25">
        <f>Source!BZ30</f>
        <v>78</v>
      </c>
      <c r="F91" s="53"/>
      <c r="G91" s="35"/>
      <c r="H91" s="36">
        <f>SUM(S88:S94)</f>
        <v>983.28</v>
      </c>
      <c r="I91" s="38"/>
      <c r="J91" s="32">
        <f>Source!AT30</f>
        <v>78</v>
      </c>
      <c r="K91" s="36">
        <f>SUM(T88:T94)</f>
        <v>32497.37</v>
      </c>
      <c r="L91" s="37"/>
    </row>
    <row r="92" spans="1:26" ht="14.25" x14ac:dyDescent="0.2">
      <c r="A92" s="18"/>
      <c r="B92" s="50"/>
      <c r="C92" s="50" t="s">
        <v>317</v>
      </c>
      <c r="D92" s="33" t="s">
        <v>316</v>
      </c>
      <c r="E92" s="25">
        <f>Source!CA30</f>
        <v>50</v>
      </c>
      <c r="F92" s="53"/>
      <c r="G92" s="35"/>
      <c r="H92" s="36">
        <f>SUM(U88:U94)</f>
        <v>630.30999999999995</v>
      </c>
      <c r="I92" s="38"/>
      <c r="J92" s="32">
        <f>Source!AU30</f>
        <v>50</v>
      </c>
      <c r="K92" s="36">
        <f>SUM(V88:V94)</f>
        <v>20831.650000000001</v>
      </c>
      <c r="L92" s="37"/>
    </row>
    <row r="93" spans="1:26" ht="14.25" x14ac:dyDescent="0.2">
      <c r="A93" s="18"/>
      <c r="B93" s="50"/>
      <c r="C93" s="50" t="s">
        <v>318</v>
      </c>
      <c r="D93" s="33" t="s">
        <v>319</v>
      </c>
      <c r="E93" s="25">
        <f>Source!AQ30</f>
        <v>214.32</v>
      </c>
      <c r="F93" s="34"/>
      <c r="G93" s="35" t="str">
        <f>Source!DI30</f>
        <v/>
      </c>
      <c r="H93" s="36"/>
      <c r="I93" s="35"/>
      <c r="J93" s="35"/>
      <c r="K93" s="36"/>
      <c r="L93" s="47">
        <f>Source!U30</f>
        <v>173.877816</v>
      </c>
    </row>
    <row r="94" spans="1:26" ht="14.25" x14ac:dyDescent="0.2">
      <c r="A94" s="51" t="str">
        <f>Source!E31</f>
        <v>6,1</v>
      </c>
      <c r="B94" s="52" t="str">
        <f>Source!F31</f>
        <v>509-9900</v>
      </c>
      <c r="C94" s="52" t="str">
        <f>Source!G31</f>
        <v>Строительный мусор</v>
      </c>
      <c r="D94" s="39" t="str">
        <f>Source!H31</f>
        <v>т</v>
      </c>
      <c r="E94" s="40">
        <f>Source!I31</f>
        <v>81.13</v>
      </c>
      <c r="F94" s="41">
        <f>Source!AL31+Source!AM31+Source!AO31</f>
        <v>0</v>
      </c>
      <c r="G94" s="48" t="s">
        <v>3</v>
      </c>
      <c r="H94" s="43">
        <f>ROUND(Source!AC31*Source!I31, 2)+ROUND(Source!AD31*Source!I31, 2)+ROUND(Source!AF31*Source!I31, 2)</f>
        <v>0</v>
      </c>
      <c r="I94" s="42"/>
      <c r="J94" s="42">
        <f>IF(Source!BC31&lt;&gt; 0, Source!BC31, 1)</f>
        <v>1</v>
      </c>
      <c r="K94" s="43">
        <f>Source!O31</f>
        <v>0</v>
      </c>
      <c r="L94" s="49"/>
      <c r="S94">
        <f>ROUND((Source!FX31/100)*((ROUND(Source!AF31*Source!I31, 2)+ROUND(Source!AE31*Source!I31, 2))), 2)</f>
        <v>0</v>
      </c>
      <c r="T94">
        <f>Source!X31</f>
        <v>0</v>
      </c>
      <c r="U94">
        <f>ROUND((Source!FY31/100)*((ROUND(Source!AF31*Source!I31, 2)+ROUND(Source!AE31*Source!I31, 2))), 2)</f>
        <v>0</v>
      </c>
      <c r="V94">
        <f>Source!Y31</f>
        <v>0</v>
      </c>
      <c r="W94">
        <f>IF(Source!BI31&lt;=1,H94, 0)</f>
        <v>0</v>
      </c>
      <c r="X94">
        <f>IF(Source!BI31=2,H94, 0)</f>
        <v>0</v>
      </c>
      <c r="Y94">
        <f>IF(Source!BI31=3,H94, 0)</f>
        <v>0</v>
      </c>
      <c r="Z94">
        <f>IF(Source!BI31=4,H94, 0)</f>
        <v>0</v>
      </c>
    </row>
    <row r="95" spans="1:26" ht="15" x14ac:dyDescent="0.25">
      <c r="G95" s="60">
        <f>H90+H91+H92+SUM(H94:H94)</f>
        <v>2874.2</v>
      </c>
      <c r="H95" s="60"/>
      <c r="J95" s="60">
        <f>K90+K91+K92+SUM(K94:K94)</f>
        <v>94992.320000000007</v>
      </c>
      <c r="K95" s="60"/>
      <c r="L95" s="45">
        <f>Source!U30</f>
        <v>173.877816</v>
      </c>
      <c r="O95" s="30">
        <f>G95</f>
        <v>2874.2</v>
      </c>
      <c r="P95" s="30">
        <f>J95</f>
        <v>94992.320000000007</v>
      </c>
      <c r="Q95" s="30">
        <f>L95</f>
        <v>173.877816</v>
      </c>
      <c r="W95">
        <f>IF(Source!BI30&lt;=1,H90+H91+H92, 0)</f>
        <v>2874.2</v>
      </c>
      <c r="X95">
        <f>IF(Source!BI30=2,H90+H91+H92, 0)</f>
        <v>0</v>
      </c>
      <c r="Y95">
        <f>IF(Source!BI30=3,H90+H91+H92, 0)</f>
        <v>0</v>
      </c>
      <c r="Z95">
        <f>IF(Source!BI30=4,H90+H91+H92, 0)</f>
        <v>0</v>
      </c>
    </row>
    <row r="96" spans="1:26" ht="42.75" x14ac:dyDescent="0.2">
      <c r="A96" s="18" t="str">
        <f>Source!E32</f>
        <v>8</v>
      </c>
      <c r="B96" s="50" t="str">
        <f>Source!F32</f>
        <v>т01-01-01-041</v>
      </c>
      <c r="C96" s="50" t="str">
        <f>Source!G32</f>
        <v>Погрузка при автомобильных перевозках мусора строительного с погрузкой вручную</v>
      </c>
      <c r="D96" s="33" t="str">
        <f>Source!H32</f>
        <v>1 Т ГРУЗА</v>
      </c>
      <c r="E96" s="25">
        <f>Source!I32</f>
        <v>81.13</v>
      </c>
      <c r="F96" s="34">
        <f>Source!AL32+Source!AM32+Source!AO32</f>
        <v>36.339999999999996</v>
      </c>
      <c r="G96" s="35"/>
      <c r="H96" s="36"/>
      <c r="I96" s="35" t="str">
        <f>Source!BO32</f>
        <v/>
      </c>
      <c r="J96" s="35"/>
      <c r="K96" s="36"/>
      <c r="L96" s="37"/>
      <c r="S96">
        <f>ROUND((Source!FX32/100)*((ROUND(Source!AF32*Source!I32, 2)+ROUND(Source!AE32*Source!I32, 2))), 2)</f>
        <v>0</v>
      </c>
      <c r="T96">
        <f>Source!X32</f>
        <v>0</v>
      </c>
      <c r="U96">
        <f>ROUND((Source!FY32/100)*((ROUND(Source!AF32*Source!I32, 2)+ROUND(Source!AE32*Source!I32, 2))), 2)</f>
        <v>0</v>
      </c>
      <c r="V96">
        <f>Source!Y32</f>
        <v>0</v>
      </c>
    </row>
    <row r="97" spans="1:26" ht="14.25" x14ac:dyDescent="0.2">
      <c r="A97" s="18"/>
      <c r="B97" s="50"/>
      <c r="C97" s="50" t="s">
        <v>313</v>
      </c>
      <c r="D97" s="33"/>
      <c r="E97" s="25"/>
      <c r="F97" s="34">
        <f>Source!AO32</f>
        <v>4.1500000000000004</v>
      </c>
      <c r="G97" s="35" t="str">
        <f>Source!DG32</f>
        <v/>
      </c>
      <c r="H97" s="36">
        <f>ROUND(Source!AF32*Source!I32, 2)</f>
        <v>875.39</v>
      </c>
      <c r="I97" s="35"/>
      <c r="J97" s="35">
        <f>IF(Source!BA32&lt;&gt; 0, Source!BA32, 1)</f>
        <v>14.43</v>
      </c>
      <c r="K97" s="36">
        <f>Source!S32</f>
        <v>12631.92</v>
      </c>
      <c r="L97" s="37"/>
      <c r="R97">
        <f>H97</f>
        <v>875.39</v>
      </c>
    </row>
    <row r="98" spans="1:26" ht="14.25" x14ac:dyDescent="0.2">
      <c r="A98" s="18"/>
      <c r="B98" s="50"/>
      <c r="C98" s="50" t="s">
        <v>94</v>
      </c>
      <c r="D98" s="33"/>
      <c r="E98" s="25"/>
      <c r="F98" s="34">
        <f>Source!AM32</f>
        <v>32.19</v>
      </c>
      <c r="G98" s="35" t="str">
        <f>Source!DE32</f>
        <v/>
      </c>
      <c r="H98" s="36">
        <f>ROUND(Source!AD32*Source!I32, 2)</f>
        <v>2611.5700000000002</v>
      </c>
      <c r="I98" s="35"/>
      <c r="J98" s="35">
        <f>IF(Source!BB32&lt;&gt; 0, Source!BB32, 1)</f>
        <v>14.43</v>
      </c>
      <c r="K98" s="36">
        <f>Source!Q32</f>
        <v>37685.019999999997</v>
      </c>
      <c r="L98" s="37"/>
    </row>
    <row r="99" spans="1:26" ht="14.25" x14ac:dyDescent="0.2">
      <c r="A99" s="51"/>
      <c r="B99" s="52"/>
      <c r="C99" s="52" t="s">
        <v>318</v>
      </c>
      <c r="D99" s="39" t="s">
        <v>319</v>
      </c>
      <c r="E99" s="40">
        <f>Source!AQ32</f>
        <v>0.57769999999999999</v>
      </c>
      <c r="F99" s="41"/>
      <c r="G99" s="42" t="str">
        <f>Source!DI32</f>
        <v/>
      </c>
      <c r="H99" s="43"/>
      <c r="I99" s="42"/>
      <c r="J99" s="42"/>
      <c r="K99" s="43"/>
      <c r="L99" s="44">
        <f>Source!U32</f>
        <v>46.868800999999998</v>
      </c>
    </row>
    <row r="100" spans="1:26" ht="15" x14ac:dyDescent="0.25">
      <c r="G100" s="60">
        <f>H97+H98</f>
        <v>3486.96</v>
      </c>
      <c r="H100" s="60"/>
      <c r="J100" s="60">
        <f>K97+K98</f>
        <v>50316.939999999995</v>
      </c>
      <c r="K100" s="60"/>
      <c r="L100" s="45">
        <f>Source!U32</f>
        <v>46.868800999999998</v>
      </c>
      <c r="O100" s="30">
        <f>G100</f>
        <v>3486.96</v>
      </c>
      <c r="P100" s="30">
        <f>J100</f>
        <v>50316.939999999995</v>
      </c>
      <c r="Q100" s="30">
        <f>L100</f>
        <v>46.868800999999998</v>
      </c>
      <c r="W100">
        <f>IF(Source!BI32&lt;=1,H97+H98, 0)</f>
        <v>3486.96</v>
      </c>
      <c r="X100">
        <f>IF(Source!BI32=2,H97+H98, 0)</f>
        <v>0</v>
      </c>
      <c r="Y100">
        <f>IF(Source!BI32=3,H97+H98, 0)</f>
        <v>0</v>
      </c>
      <c r="Z100">
        <f>IF(Source!BI32=4,H97+H98, 0)</f>
        <v>0</v>
      </c>
    </row>
    <row r="102" spans="1:26" ht="15" x14ac:dyDescent="0.25">
      <c r="A102" s="63" t="str">
        <f>CONCATENATE("Итого по локальной смете: ",IF(Source!G34&lt;&gt;"Новая локальная смета", Source!G34, ""))</f>
        <v xml:space="preserve">Итого по локальной смете: </v>
      </c>
      <c r="B102" s="63"/>
      <c r="C102" s="63"/>
      <c r="D102" s="63"/>
      <c r="E102" s="63"/>
      <c r="F102" s="63"/>
      <c r="G102" s="62">
        <f>SUM(O40:O101)</f>
        <v>4395876.7</v>
      </c>
      <c r="H102" s="62"/>
      <c r="I102" s="31"/>
      <c r="J102" s="62">
        <f>SUM(P40:P101)</f>
        <v>11034495.74</v>
      </c>
      <c r="K102" s="62"/>
      <c r="L102" s="45">
        <f>SUM(Q40:Q101)</f>
        <v>6400.3322219999991</v>
      </c>
    </row>
    <row r="104" spans="1:26" ht="14.25" x14ac:dyDescent="0.2">
      <c r="C104" s="61" t="str">
        <f>Source!H63</f>
        <v>НДС 20%</v>
      </c>
      <c r="D104" s="61"/>
      <c r="E104" s="61"/>
      <c r="F104" s="61"/>
      <c r="G104" s="61"/>
      <c r="H104" s="61"/>
      <c r="I104" s="61"/>
      <c r="J104" s="65">
        <f>IF(Source!F63=0, "", Source!F63)</f>
        <v>2206899.15</v>
      </c>
      <c r="K104" s="65"/>
    </row>
    <row r="105" spans="1:26" ht="15" x14ac:dyDescent="0.25">
      <c r="C105" s="61" t="str">
        <f>Source!H64</f>
        <v>Итого с НДС</v>
      </c>
      <c r="D105" s="61"/>
      <c r="E105" s="61"/>
      <c r="F105" s="61"/>
      <c r="G105" s="61"/>
      <c r="H105" s="61"/>
      <c r="I105" s="61"/>
      <c r="J105" s="62">
        <f>IF(Source!F64=0, "", Source!F64)</f>
        <v>13241394.890000001</v>
      </c>
      <c r="K105" s="62"/>
    </row>
    <row r="108" spans="1:26" x14ac:dyDescent="0.2">
      <c r="C108" t="s">
        <v>328</v>
      </c>
      <c r="F108" s="75" t="s">
        <v>329</v>
      </c>
      <c r="G108" s="75"/>
    </row>
  </sheetData>
  <mergeCells count="79">
    <mergeCell ref="F108:G108"/>
    <mergeCell ref="C25:F25"/>
    <mergeCell ref="G25:H25"/>
    <mergeCell ref="I25:J25"/>
    <mergeCell ref="K25:L25"/>
    <mergeCell ref="B9:K9"/>
    <mergeCell ref="B10:K10"/>
    <mergeCell ref="F12:G12"/>
    <mergeCell ref="H12:K12"/>
    <mergeCell ref="B14:K14"/>
    <mergeCell ref="B16:K16"/>
    <mergeCell ref="B18:K18"/>
    <mergeCell ref="B19:K19"/>
    <mergeCell ref="A21:L21"/>
    <mergeCell ref="G24:H24"/>
    <mergeCell ref="I24:J24"/>
    <mergeCell ref="C26:F26"/>
    <mergeCell ref="G26:H26"/>
    <mergeCell ref="I26:J26"/>
    <mergeCell ref="K26:L26"/>
    <mergeCell ref="C27:F27"/>
    <mergeCell ref="G27:H27"/>
    <mergeCell ref="I27:J27"/>
    <mergeCell ref="K27:L27"/>
    <mergeCell ref="C28:F28"/>
    <mergeCell ref="G28:H28"/>
    <mergeCell ref="I28:J28"/>
    <mergeCell ref="K28:L28"/>
    <mergeCell ref="C29:F29"/>
    <mergeCell ref="G29:H29"/>
    <mergeCell ref="I29:J29"/>
    <mergeCell ref="K29:L29"/>
    <mergeCell ref="C30:F30"/>
    <mergeCell ref="G30:H30"/>
    <mergeCell ref="I30:J30"/>
    <mergeCell ref="K30:L30"/>
    <mergeCell ref="C31:F31"/>
    <mergeCell ref="G31:H31"/>
    <mergeCell ref="I31:J31"/>
    <mergeCell ref="K31:L31"/>
    <mergeCell ref="C32:F32"/>
    <mergeCell ref="G32:H32"/>
    <mergeCell ref="I32:J32"/>
    <mergeCell ref="A37:L37"/>
    <mergeCell ref="C104:I104"/>
    <mergeCell ref="J104:K104"/>
    <mergeCell ref="J95:K95"/>
    <mergeCell ref="G95:H95"/>
    <mergeCell ref="J87:K87"/>
    <mergeCell ref="G87:H87"/>
    <mergeCell ref="F74:G74"/>
    <mergeCell ref="J100:K100"/>
    <mergeCell ref="G100:H100"/>
    <mergeCell ref="F85:G85"/>
    <mergeCell ref="F84:G84"/>
    <mergeCell ref="J77:K77"/>
    <mergeCell ref="C105:I105"/>
    <mergeCell ref="J105:K105"/>
    <mergeCell ref="G102:H102"/>
    <mergeCell ref="J102:K102"/>
    <mergeCell ref="A102:F102"/>
    <mergeCell ref="G77:H77"/>
    <mergeCell ref="F75:G75"/>
    <mergeCell ref="J48:K48"/>
    <mergeCell ref="G48:H48"/>
    <mergeCell ref="F46:G46"/>
    <mergeCell ref="F45:G45"/>
    <mergeCell ref="J67:K67"/>
    <mergeCell ref="G67:H67"/>
    <mergeCell ref="J57:K57"/>
    <mergeCell ref="G57:H57"/>
    <mergeCell ref="F55:G55"/>
    <mergeCell ref="F54:G54"/>
    <mergeCell ref="B2:C2"/>
    <mergeCell ref="B3:C3"/>
    <mergeCell ref="B4:C4"/>
    <mergeCell ref="H2:K2"/>
    <mergeCell ref="H3:K3"/>
    <mergeCell ref="H4:K4"/>
  </mergeCells>
  <pageMargins left="0.4" right="0.2" top="0.2" bottom="0.4" header="0.2" footer="0.2"/>
  <pageSetup paperSize="9" scale="59" fitToHeight="0" orientation="portrait" r:id="rId1"/>
  <headerFooter>
    <oddHeader>&amp;L&amp;8</oddHeader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K132"/>
  <sheetViews>
    <sheetView workbookViewId="0">
      <selection activeCell="A128" sqref="A128:AN128"/>
    </sheetView>
  </sheetViews>
  <sheetFormatPr defaultColWidth="9.140625" defaultRowHeight="12.75" x14ac:dyDescent="0.2"/>
  <cols>
    <col min="1" max="256" width="9.140625" customWidth="1"/>
  </cols>
  <sheetData>
    <row r="1" spans="1:133" x14ac:dyDescent="0.2">
      <c r="A1">
        <v>0</v>
      </c>
      <c r="B1" t="s">
        <v>0</v>
      </c>
      <c r="D1" t="s">
        <v>1</v>
      </c>
      <c r="F1">
        <v>0</v>
      </c>
      <c r="G1">
        <v>0</v>
      </c>
      <c r="H1">
        <v>0</v>
      </c>
      <c r="I1" t="s">
        <v>2</v>
      </c>
      <c r="J1" t="s">
        <v>3</v>
      </c>
      <c r="K1">
        <v>1</v>
      </c>
      <c r="L1">
        <v>54178</v>
      </c>
      <c r="M1">
        <v>10</v>
      </c>
      <c r="N1">
        <v>11</v>
      </c>
      <c r="O1">
        <v>3</v>
      </c>
      <c r="P1">
        <v>0</v>
      </c>
      <c r="Q1">
        <v>0</v>
      </c>
    </row>
    <row r="12" spans="1:133" x14ac:dyDescent="0.2">
      <c r="A12" s="1">
        <v>1</v>
      </c>
      <c r="B12" s="1">
        <v>127</v>
      </c>
      <c r="C12" s="1">
        <v>0</v>
      </c>
      <c r="D12" s="1">
        <f>ROW(A66)</f>
        <v>66</v>
      </c>
      <c r="E12" s="1">
        <v>0</v>
      </c>
      <c r="F12" s="1" t="s">
        <v>4</v>
      </c>
      <c r="G12" s="1" t="s">
        <v>5</v>
      </c>
      <c r="H12" s="1" t="s">
        <v>3</v>
      </c>
      <c r="I12" s="1">
        <v>0</v>
      </c>
      <c r="J12" s="1" t="s">
        <v>3</v>
      </c>
      <c r="K12" s="1">
        <v>0</v>
      </c>
      <c r="L12" s="1">
        <v>0</v>
      </c>
      <c r="M12" s="1">
        <v>2</v>
      </c>
      <c r="N12" s="1"/>
      <c r="O12" s="1">
        <v>0</v>
      </c>
      <c r="P12" s="1">
        <v>0</v>
      </c>
      <c r="Q12" s="1">
        <v>0</v>
      </c>
      <c r="R12" s="1">
        <v>0</v>
      </c>
      <c r="S12" s="1"/>
      <c r="T12" s="1">
        <v>1</v>
      </c>
      <c r="U12" s="1" t="s">
        <v>3</v>
      </c>
      <c r="V12" s="1">
        <v>0</v>
      </c>
      <c r="W12" s="1" t="s">
        <v>3</v>
      </c>
      <c r="X12" s="1" t="s">
        <v>3</v>
      </c>
      <c r="Y12" s="1" t="s">
        <v>3</v>
      </c>
      <c r="Z12" s="1" t="s">
        <v>3</v>
      </c>
      <c r="AA12" s="1" t="s">
        <v>3</v>
      </c>
      <c r="AB12" s="1" t="s">
        <v>3</v>
      </c>
      <c r="AC12" s="1" t="s">
        <v>3</v>
      </c>
      <c r="AD12" s="1" t="s">
        <v>3</v>
      </c>
      <c r="AE12" s="1" t="s">
        <v>3</v>
      </c>
      <c r="AF12" s="1" t="s">
        <v>3</v>
      </c>
      <c r="AG12" s="1" t="s">
        <v>3</v>
      </c>
      <c r="AH12" s="1" t="s">
        <v>3</v>
      </c>
      <c r="AI12" s="1" t="s">
        <v>3</v>
      </c>
      <c r="AJ12" s="1" t="s">
        <v>3</v>
      </c>
      <c r="AK12" s="1"/>
      <c r="AL12" s="1" t="s">
        <v>3</v>
      </c>
      <c r="AM12" s="1" t="s">
        <v>3</v>
      </c>
      <c r="AN12" s="1" t="s">
        <v>3</v>
      </c>
      <c r="AO12" s="1"/>
      <c r="AP12" s="1" t="s">
        <v>3</v>
      </c>
      <c r="AQ12" s="1" t="s">
        <v>3</v>
      </c>
      <c r="AR12" s="1" t="s">
        <v>3</v>
      </c>
      <c r="AS12" s="1"/>
      <c r="AT12" s="1"/>
      <c r="AU12" s="1"/>
      <c r="AV12" s="1"/>
      <c r="AW12" s="1"/>
      <c r="AX12" s="1" t="s">
        <v>3</v>
      </c>
      <c r="AY12" s="1" t="s">
        <v>3</v>
      </c>
      <c r="AZ12" s="1" t="s">
        <v>3</v>
      </c>
      <c r="BA12" s="1"/>
      <c r="BB12" s="1">
        <v>0</v>
      </c>
      <c r="BC12" s="1"/>
      <c r="BD12" s="1"/>
      <c r="BE12" s="1"/>
      <c r="BF12" s="1"/>
      <c r="BG12" s="1"/>
      <c r="BH12" s="1" t="s">
        <v>6</v>
      </c>
      <c r="BI12" s="1" t="s">
        <v>7</v>
      </c>
      <c r="BJ12" s="1">
        <v>1</v>
      </c>
      <c r="BK12" s="1">
        <v>1</v>
      </c>
      <c r="BL12" s="1">
        <v>0</v>
      </c>
      <c r="BM12" s="1">
        <v>0</v>
      </c>
      <c r="BN12" s="1">
        <v>1</v>
      </c>
      <c r="BO12" s="1">
        <v>0</v>
      </c>
      <c r="BP12" s="1">
        <v>6</v>
      </c>
      <c r="BQ12" s="1">
        <v>2</v>
      </c>
      <c r="BR12" s="1">
        <v>1</v>
      </c>
      <c r="BS12" s="1">
        <v>1</v>
      </c>
      <c r="BT12" s="1">
        <v>0</v>
      </c>
      <c r="BU12" s="1">
        <v>0</v>
      </c>
      <c r="BV12" s="1">
        <v>0</v>
      </c>
      <c r="BW12" s="1">
        <v>0</v>
      </c>
      <c r="BX12" s="1">
        <v>0</v>
      </c>
      <c r="BY12" s="1" t="s">
        <v>8</v>
      </c>
      <c r="BZ12" s="1" t="s">
        <v>9</v>
      </c>
      <c r="CA12" s="1" t="s">
        <v>10</v>
      </c>
      <c r="CB12" s="1" t="s">
        <v>10</v>
      </c>
      <c r="CC12" s="1" t="s">
        <v>10</v>
      </c>
      <c r="CD12" s="1" t="s">
        <v>10</v>
      </c>
      <c r="CE12" s="1" t="s">
        <v>11</v>
      </c>
      <c r="CF12" s="1">
        <v>0</v>
      </c>
      <c r="CG12" s="1">
        <v>0</v>
      </c>
      <c r="CH12" s="1">
        <v>8</v>
      </c>
      <c r="CI12" s="1" t="s">
        <v>3</v>
      </c>
      <c r="CJ12" s="1" t="s">
        <v>3</v>
      </c>
      <c r="CK12" s="1">
        <v>1</v>
      </c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>
        <v>0</v>
      </c>
    </row>
    <row r="15" spans="1:133" x14ac:dyDescent="0.2">
      <c r="A15" s="1">
        <v>15</v>
      </c>
      <c r="B15" s="1">
        <v>1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</row>
    <row r="18" spans="1:245" x14ac:dyDescent="0.2">
      <c r="A18" s="2">
        <v>52</v>
      </c>
      <c r="B18" s="2">
        <f t="shared" ref="B18:G18" si="0">B66</f>
        <v>127</v>
      </c>
      <c r="C18" s="2">
        <f t="shared" si="0"/>
        <v>1</v>
      </c>
      <c r="D18" s="2">
        <f t="shared" si="0"/>
        <v>12</v>
      </c>
      <c r="E18" s="2">
        <f t="shared" si="0"/>
        <v>0</v>
      </c>
      <c r="F18" s="2" t="str">
        <f t="shared" si="0"/>
        <v>Новый объект</v>
      </c>
      <c r="G18" s="2" t="str">
        <f t="shared" si="0"/>
        <v>Павловский Посад 2021</v>
      </c>
      <c r="H18" s="2"/>
      <c r="I18" s="2"/>
      <c r="J18" s="2"/>
      <c r="K18" s="2"/>
      <c r="L18" s="2"/>
      <c r="M18" s="2"/>
      <c r="N18" s="2"/>
      <c r="O18" s="2">
        <f t="shared" ref="O18:AT18" si="1">O66</f>
        <v>8173825.3899999997</v>
      </c>
      <c r="P18" s="2">
        <f t="shared" si="1"/>
        <v>6237329.1299999999</v>
      </c>
      <c r="Q18" s="2">
        <f t="shared" si="1"/>
        <v>167126.28</v>
      </c>
      <c r="R18" s="2">
        <f t="shared" si="1"/>
        <v>62859.66</v>
      </c>
      <c r="S18" s="2">
        <f t="shared" si="1"/>
        <v>1769369.98</v>
      </c>
      <c r="T18" s="2">
        <f t="shared" si="1"/>
        <v>0</v>
      </c>
      <c r="U18" s="2">
        <f t="shared" si="1"/>
        <v>6400.3322219999991</v>
      </c>
      <c r="V18" s="2">
        <f t="shared" si="1"/>
        <v>143.69573999999997</v>
      </c>
      <c r="W18" s="2">
        <f t="shared" si="1"/>
        <v>0</v>
      </c>
      <c r="X18" s="2">
        <f t="shared" si="1"/>
        <v>1809111.45</v>
      </c>
      <c r="Y18" s="2">
        <f t="shared" si="1"/>
        <v>1051558.8999999999</v>
      </c>
      <c r="Z18" s="2">
        <f t="shared" si="1"/>
        <v>0</v>
      </c>
      <c r="AA18" s="2">
        <f t="shared" si="1"/>
        <v>0</v>
      </c>
      <c r="AB18" s="2">
        <f t="shared" si="1"/>
        <v>0</v>
      </c>
      <c r="AC18" s="2">
        <f t="shared" si="1"/>
        <v>0</v>
      </c>
      <c r="AD18" s="2">
        <f t="shared" si="1"/>
        <v>0</v>
      </c>
      <c r="AE18" s="2">
        <f t="shared" si="1"/>
        <v>0</v>
      </c>
      <c r="AF18" s="2">
        <f t="shared" si="1"/>
        <v>0</v>
      </c>
      <c r="AG18" s="2">
        <f t="shared" si="1"/>
        <v>0</v>
      </c>
      <c r="AH18" s="2">
        <f t="shared" si="1"/>
        <v>0</v>
      </c>
      <c r="AI18" s="2">
        <f t="shared" si="1"/>
        <v>0</v>
      </c>
      <c r="AJ18" s="2">
        <f t="shared" si="1"/>
        <v>0</v>
      </c>
      <c r="AK18" s="2">
        <f t="shared" si="1"/>
        <v>0</v>
      </c>
      <c r="AL18" s="2">
        <f t="shared" si="1"/>
        <v>0</v>
      </c>
      <c r="AM18" s="2">
        <f t="shared" si="1"/>
        <v>0</v>
      </c>
      <c r="AN18" s="2">
        <f t="shared" si="1"/>
        <v>0</v>
      </c>
      <c r="AO18" s="2">
        <f t="shared" si="1"/>
        <v>0</v>
      </c>
      <c r="AP18" s="2">
        <f t="shared" si="1"/>
        <v>0</v>
      </c>
      <c r="AQ18" s="2">
        <f t="shared" si="1"/>
        <v>0</v>
      </c>
      <c r="AR18" s="2">
        <f t="shared" si="1"/>
        <v>11034495.74</v>
      </c>
      <c r="AS18" s="2">
        <f t="shared" si="1"/>
        <v>11034495.74</v>
      </c>
      <c r="AT18" s="2">
        <f t="shared" si="1"/>
        <v>0</v>
      </c>
      <c r="AU18" s="2">
        <f t="shared" ref="AU18:BZ18" si="2">AU66</f>
        <v>0</v>
      </c>
      <c r="AV18" s="2">
        <f t="shared" si="2"/>
        <v>6237329.1299999999</v>
      </c>
      <c r="AW18" s="2">
        <f t="shared" si="2"/>
        <v>6237329.1299999999</v>
      </c>
      <c r="AX18" s="2">
        <f t="shared" si="2"/>
        <v>0</v>
      </c>
      <c r="AY18" s="2">
        <f t="shared" si="2"/>
        <v>6237329.1299999999</v>
      </c>
      <c r="AZ18" s="2">
        <f t="shared" si="2"/>
        <v>0</v>
      </c>
      <c r="BA18" s="2">
        <f t="shared" si="2"/>
        <v>0</v>
      </c>
      <c r="BB18" s="2">
        <f t="shared" si="2"/>
        <v>0</v>
      </c>
      <c r="BC18" s="2">
        <f t="shared" si="2"/>
        <v>0</v>
      </c>
      <c r="BD18" s="2">
        <f t="shared" si="2"/>
        <v>50316.94</v>
      </c>
      <c r="BE18" s="2">
        <f t="shared" si="2"/>
        <v>0</v>
      </c>
      <c r="BF18" s="2">
        <f t="shared" si="2"/>
        <v>0</v>
      </c>
      <c r="BG18" s="2">
        <f t="shared" si="2"/>
        <v>0</v>
      </c>
      <c r="BH18" s="2">
        <f t="shared" si="2"/>
        <v>0</v>
      </c>
      <c r="BI18" s="2">
        <f t="shared" si="2"/>
        <v>0</v>
      </c>
      <c r="BJ18" s="2">
        <f t="shared" si="2"/>
        <v>0</v>
      </c>
      <c r="BK18" s="2">
        <f t="shared" si="2"/>
        <v>0</v>
      </c>
      <c r="BL18" s="2">
        <f t="shared" si="2"/>
        <v>0</v>
      </c>
      <c r="BM18" s="2">
        <f t="shared" si="2"/>
        <v>0</v>
      </c>
      <c r="BN18" s="2">
        <f t="shared" si="2"/>
        <v>0</v>
      </c>
      <c r="BO18" s="2">
        <f t="shared" si="2"/>
        <v>0</v>
      </c>
      <c r="BP18" s="2">
        <f t="shared" si="2"/>
        <v>0</v>
      </c>
      <c r="BQ18" s="2">
        <f t="shared" si="2"/>
        <v>0</v>
      </c>
      <c r="BR18" s="2">
        <f t="shared" si="2"/>
        <v>0</v>
      </c>
      <c r="BS18" s="2">
        <f t="shared" si="2"/>
        <v>0</v>
      </c>
      <c r="BT18" s="2">
        <f t="shared" si="2"/>
        <v>0</v>
      </c>
      <c r="BU18" s="2">
        <f t="shared" si="2"/>
        <v>0</v>
      </c>
      <c r="BV18" s="2">
        <f t="shared" si="2"/>
        <v>0</v>
      </c>
      <c r="BW18" s="2">
        <f t="shared" si="2"/>
        <v>0</v>
      </c>
      <c r="BX18" s="2">
        <f t="shared" si="2"/>
        <v>0</v>
      </c>
      <c r="BY18" s="2">
        <f t="shared" si="2"/>
        <v>0</v>
      </c>
      <c r="BZ18" s="2">
        <f t="shared" si="2"/>
        <v>0</v>
      </c>
      <c r="CA18" s="2">
        <f t="shared" ref="CA18:DF18" si="3">CA66</f>
        <v>0</v>
      </c>
      <c r="CB18" s="2">
        <f t="shared" si="3"/>
        <v>0</v>
      </c>
      <c r="CC18" s="2">
        <f t="shared" si="3"/>
        <v>0</v>
      </c>
      <c r="CD18" s="2">
        <f t="shared" si="3"/>
        <v>0</v>
      </c>
      <c r="CE18" s="2">
        <f t="shared" si="3"/>
        <v>0</v>
      </c>
      <c r="CF18" s="2">
        <f t="shared" si="3"/>
        <v>0</v>
      </c>
      <c r="CG18" s="2">
        <f t="shared" si="3"/>
        <v>0</v>
      </c>
      <c r="CH18" s="2">
        <f t="shared" si="3"/>
        <v>0</v>
      </c>
      <c r="CI18" s="2">
        <f t="shared" si="3"/>
        <v>0</v>
      </c>
      <c r="CJ18" s="2">
        <f t="shared" si="3"/>
        <v>0</v>
      </c>
      <c r="CK18" s="2">
        <f t="shared" si="3"/>
        <v>0</v>
      </c>
      <c r="CL18" s="2">
        <f t="shared" si="3"/>
        <v>0</v>
      </c>
      <c r="CM18" s="2">
        <f t="shared" si="3"/>
        <v>0</v>
      </c>
      <c r="CN18" s="2">
        <f t="shared" si="3"/>
        <v>0</v>
      </c>
      <c r="CO18" s="2">
        <f t="shared" si="3"/>
        <v>0</v>
      </c>
      <c r="CP18" s="2">
        <f t="shared" si="3"/>
        <v>0</v>
      </c>
      <c r="CQ18" s="2">
        <f t="shared" si="3"/>
        <v>0</v>
      </c>
      <c r="CR18" s="2">
        <f t="shared" si="3"/>
        <v>0</v>
      </c>
      <c r="CS18" s="2">
        <f t="shared" si="3"/>
        <v>0</v>
      </c>
      <c r="CT18" s="2">
        <f t="shared" si="3"/>
        <v>0</v>
      </c>
      <c r="CU18" s="2">
        <f t="shared" si="3"/>
        <v>0</v>
      </c>
      <c r="CV18" s="2">
        <f t="shared" si="3"/>
        <v>0</v>
      </c>
      <c r="CW18" s="2">
        <f t="shared" si="3"/>
        <v>0</v>
      </c>
      <c r="CX18" s="2">
        <f t="shared" si="3"/>
        <v>0</v>
      </c>
      <c r="CY18" s="2">
        <f t="shared" si="3"/>
        <v>0</v>
      </c>
      <c r="CZ18" s="2">
        <f t="shared" si="3"/>
        <v>0</v>
      </c>
      <c r="DA18" s="2">
        <f t="shared" si="3"/>
        <v>0</v>
      </c>
      <c r="DB18" s="2">
        <f t="shared" si="3"/>
        <v>0</v>
      </c>
      <c r="DC18" s="2">
        <f t="shared" si="3"/>
        <v>0</v>
      </c>
      <c r="DD18" s="2">
        <f t="shared" si="3"/>
        <v>0</v>
      </c>
      <c r="DE18" s="2">
        <f t="shared" si="3"/>
        <v>0</v>
      </c>
      <c r="DF18" s="2">
        <f t="shared" si="3"/>
        <v>0</v>
      </c>
      <c r="DG18" s="3">
        <f t="shared" ref="DG18:EL18" si="4">DG66</f>
        <v>0</v>
      </c>
      <c r="DH18" s="3">
        <f t="shared" si="4"/>
        <v>0</v>
      </c>
      <c r="DI18" s="3">
        <f t="shared" si="4"/>
        <v>0</v>
      </c>
      <c r="DJ18" s="3">
        <f t="shared" si="4"/>
        <v>0</v>
      </c>
      <c r="DK18" s="3">
        <f t="shared" si="4"/>
        <v>0</v>
      </c>
      <c r="DL18" s="3">
        <f t="shared" si="4"/>
        <v>0</v>
      </c>
      <c r="DM18" s="3">
        <f t="shared" si="4"/>
        <v>0</v>
      </c>
      <c r="DN18" s="3">
        <f t="shared" si="4"/>
        <v>0</v>
      </c>
      <c r="DO18" s="3">
        <f t="shared" si="4"/>
        <v>0</v>
      </c>
      <c r="DP18" s="3">
        <f t="shared" si="4"/>
        <v>0</v>
      </c>
      <c r="DQ18" s="3">
        <f t="shared" si="4"/>
        <v>0</v>
      </c>
      <c r="DR18" s="3">
        <f t="shared" si="4"/>
        <v>0</v>
      </c>
      <c r="DS18" s="3">
        <f t="shared" si="4"/>
        <v>0</v>
      </c>
      <c r="DT18" s="3">
        <f t="shared" si="4"/>
        <v>0</v>
      </c>
      <c r="DU18" s="3">
        <f t="shared" si="4"/>
        <v>0</v>
      </c>
      <c r="DV18" s="3">
        <f t="shared" si="4"/>
        <v>0</v>
      </c>
      <c r="DW18" s="3">
        <f t="shared" si="4"/>
        <v>0</v>
      </c>
      <c r="DX18" s="3">
        <f t="shared" si="4"/>
        <v>0</v>
      </c>
      <c r="DY18" s="3">
        <f t="shared" si="4"/>
        <v>0</v>
      </c>
      <c r="DZ18" s="3">
        <f t="shared" si="4"/>
        <v>0</v>
      </c>
      <c r="EA18" s="3">
        <f t="shared" si="4"/>
        <v>0</v>
      </c>
      <c r="EB18" s="3">
        <f t="shared" si="4"/>
        <v>0</v>
      </c>
      <c r="EC18" s="3">
        <f t="shared" si="4"/>
        <v>0</v>
      </c>
      <c r="ED18" s="3">
        <f t="shared" si="4"/>
        <v>0</v>
      </c>
      <c r="EE18" s="3">
        <f t="shared" si="4"/>
        <v>0</v>
      </c>
      <c r="EF18" s="3">
        <f t="shared" si="4"/>
        <v>0</v>
      </c>
      <c r="EG18" s="3">
        <f t="shared" si="4"/>
        <v>0</v>
      </c>
      <c r="EH18" s="3">
        <f t="shared" si="4"/>
        <v>0</v>
      </c>
      <c r="EI18" s="3">
        <f t="shared" si="4"/>
        <v>0</v>
      </c>
      <c r="EJ18" s="3">
        <f t="shared" si="4"/>
        <v>0</v>
      </c>
      <c r="EK18" s="3">
        <f t="shared" si="4"/>
        <v>0</v>
      </c>
      <c r="EL18" s="3">
        <f t="shared" si="4"/>
        <v>0</v>
      </c>
      <c r="EM18" s="3">
        <f t="shared" ref="EM18:FR18" si="5">EM66</f>
        <v>0</v>
      </c>
      <c r="EN18" s="3">
        <f t="shared" si="5"/>
        <v>0</v>
      </c>
      <c r="EO18" s="3">
        <f t="shared" si="5"/>
        <v>0</v>
      </c>
      <c r="EP18" s="3">
        <f t="shared" si="5"/>
        <v>0</v>
      </c>
      <c r="EQ18" s="3">
        <f t="shared" si="5"/>
        <v>0</v>
      </c>
      <c r="ER18" s="3">
        <f t="shared" si="5"/>
        <v>0</v>
      </c>
      <c r="ES18" s="3">
        <f t="shared" si="5"/>
        <v>0</v>
      </c>
      <c r="ET18" s="3">
        <f t="shared" si="5"/>
        <v>0</v>
      </c>
      <c r="EU18" s="3">
        <f t="shared" si="5"/>
        <v>0</v>
      </c>
      <c r="EV18" s="3">
        <f t="shared" si="5"/>
        <v>0</v>
      </c>
      <c r="EW18" s="3">
        <f t="shared" si="5"/>
        <v>0</v>
      </c>
      <c r="EX18" s="3">
        <f t="shared" si="5"/>
        <v>0</v>
      </c>
      <c r="EY18" s="3">
        <f t="shared" si="5"/>
        <v>0</v>
      </c>
      <c r="EZ18" s="3">
        <f t="shared" si="5"/>
        <v>0</v>
      </c>
      <c r="FA18" s="3">
        <f t="shared" si="5"/>
        <v>0</v>
      </c>
      <c r="FB18" s="3">
        <f t="shared" si="5"/>
        <v>0</v>
      </c>
      <c r="FC18" s="3">
        <f t="shared" si="5"/>
        <v>0</v>
      </c>
      <c r="FD18" s="3">
        <f t="shared" si="5"/>
        <v>0</v>
      </c>
      <c r="FE18" s="3">
        <f t="shared" si="5"/>
        <v>0</v>
      </c>
      <c r="FF18" s="3">
        <f t="shared" si="5"/>
        <v>0</v>
      </c>
      <c r="FG18" s="3">
        <f t="shared" si="5"/>
        <v>0</v>
      </c>
      <c r="FH18" s="3">
        <f t="shared" si="5"/>
        <v>0</v>
      </c>
      <c r="FI18" s="3">
        <f t="shared" si="5"/>
        <v>0</v>
      </c>
      <c r="FJ18" s="3">
        <f t="shared" si="5"/>
        <v>0</v>
      </c>
      <c r="FK18" s="3">
        <f t="shared" si="5"/>
        <v>0</v>
      </c>
      <c r="FL18" s="3">
        <f t="shared" si="5"/>
        <v>0</v>
      </c>
      <c r="FM18" s="3">
        <f t="shared" si="5"/>
        <v>0</v>
      </c>
      <c r="FN18" s="3">
        <f t="shared" si="5"/>
        <v>0</v>
      </c>
      <c r="FO18" s="3">
        <f t="shared" si="5"/>
        <v>0</v>
      </c>
      <c r="FP18" s="3">
        <f t="shared" si="5"/>
        <v>0</v>
      </c>
      <c r="FQ18" s="3">
        <f t="shared" si="5"/>
        <v>0</v>
      </c>
      <c r="FR18" s="3">
        <f t="shared" si="5"/>
        <v>0</v>
      </c>
      <c r="FS18" s="3">
        <f t="shared" ref="FS18:GX18" si="6">FS66</f>
        <v>0</v>
      </c>
      <c r="FT18" s="3">
        <f t="shared" si="6"/>
        <v>0</v>
      </c>
      <c r="FU18" s="3">
        <f t="shared" si="6"/>
        <v>0</v>
      </c>
      <c r="FV18" s="3">
        <f t="shared" si="6"/>
        <v>0</v>
      </c>
      <c r="FW18" s="3">
        <f t="shared" si="6"/>
        <v>0</v>
      </c>
      <c r="FX18" s="3">
        <f t="shared" si="6"/>
        <v>0</v>
      </c>
      <c r="FY18" s="3">
        <f t="shared" si="6"/>
        <v>0</v>
      </c>
      <c r="FZ18" s="3">
        <f t="shared" si="6"/>
        <v>0</v>
      </c>
      <c r="GA18" s="3">
        <f t="shared" si="6"/>
        <v>0</v>
      </c>
      <c r="GB18" s="3">
        <f t="shared" si="6"/>
        <v>0</v>
      </c>
      <c r="GC18" s="3">
        <f t="shared" si="6"/>
        <v>0</v>
      </c>
      <c r="GD18" s="3">
        <f t="shared" si="6"/>
        <v>0</v>
      </c>
      <c r="GE18" s="3">
        <f t="shared" si="6"/>
        <v>0</v>
      </c>
      <c r="GF18" s="3">
        <f t="shared" si="6"/>
        <v>0</v>
      </c>
      <c r="GG18" s="3">
        <f t="shared" si="6"/>
        <v>0</v>
      </c>
      <c r="GH18" s="3">
        <f t="shared" si="6"/>
        <v>0</v>
      </c>
      <c r="GI18" s="3">
        <f t="shared" si="6"/>
        <v>0</v>
      </c>
      <c r="GJ18" s="3">
        <f t="shared" si="6"/>
        <v>0</v>
      </c>
      <c r="GK18" s="3">
        <f t="shared" si="6"/>
        <v>0</v>
      </c>
      <c r="GL18" s="3">
        <f t="shared" si="6"/>
        <v>0</v>
      </c>
      <c r="GM18" s="3">
        <f t="shared" si="6"/>
        <v>0</v>
      </c>
      <c r="GN18" s="3">
        <f t="shared" si="6"/>
        <v>0</v>
      </c>
      <c r="GO18" s="3">
        <f t="shared" si="6"/>
        <v>0</v>
      </c>
      <c r="GP18" s="3">
        <f t="shared" si="6"/>
        <v>0</v>
      </c>
      <c r="GQ18" s="3">
        <f t="shared" si="6"/>
        <v>0</v>
      </c>
      <c r="GR18" s="3">
        <f t="shared" si="6"/>
        <v>0</v>
      </c>
      <c r="GS18" s="3">
        <f t="shared" si="6"/>
        <v>0</v>
      </c>
      <c r="GT18" s="3">
        <f t="shared" si="6"/>
        <v>0</v>
      </c>
      <c r="GU18" s="3">
        <f t="shared" si="6"/>
        <v>0</v>
      </c>
      <c r="GV18" s="3">
        <f t="shared" si="6"/>
        <v>0</v>
      </c>
      <c r="GW18" s="3">
        <f t="shared" si="6"/>
        <v>0</v>
      </c>
      <c r="GX18" s="3">
        <f t="shared" si="6"/>
        <v>0</v>
      </c>
    </row>
    <row r="20" spans="1:245" x14ac:dyDescent="0.2">
      <c r="A20" s="1">
        <v>3</v>
      </c>
      <c r="B20" s="1">
        <v>1</v>
      </c>
      <c r="C20" s="1"/>
      <c r="D20" s="1">
        <f>ROW(A34)</f>
        <v>34</v>
      </c>
      <c r="E20" s="1"/>
      <c r="F20" s="1" t="s">
        <v>12</v>
      </c>
      <c r="G20" s="1" t="s">
        <v>12</v>
      </c>
      <c r="H20" s="1" t="s">
        <v>3</v>
      </c>
      <c r="I20" s="1">
        <v>0</v>
      </c>
      <c r="J20" s="1" t="s">
        <v>3</v>
      </c>
      <c r="K20" s="1">
        <v>0</v>
      </c>
      <c r="L20" s="1" t="s">
        <v>3</v>
      </c>
      <c r="M20" s="1" t="s">
        <v>3</v>
      </c>
      <c r="N20" s="1"/>
      <c r="O20" s="1"/>
      <c r="P20" s="1"/>
      <c r="Q20" s="1"/>
      <c r="R20" s="1"/>
      <c r="S20" s="1">
        <v>0</v>
      </c>
      <c r="T20" s="1"/>
      <c r="U20" s="1" t="s">
        <v>3</v>
      </c>
      <c r="V20" s="1">
        <v>0</v>
      </c>
      <c r="W20" s="1"/>
      <c r="X20" s="1"/>
      <c r="Y20" s="1"/>
      <c r="Z20" s="1"/>
      <c r="AA20" s="1"/>
      <c r="AB20" s="1" t="s">
        <v>3</v>
      </c>
      <c r="AC20" s="1" t="s">
        <v>3</v>
      </c>
      <c r="AD20" s="1" t="s">
        <v>3</v>
      </c>
      <c r="AE20" s="1" t="s">
        <v>3</v>
      </c>
      <c r="AF20" s="1" t="s">
        <v>3</v>
      </c>
      <c r="AG20" s="1" t="s">
        <v>3</v>
      </c>
      <c r="AH20" s="1"/>
      <c r="AI20" s="1"/>
      <c r="AJ20" s="1"/>
      <c r="AK20" s="1"/>
      <c r="AL20" s="1"/>
      <c r="AM20" s="1"/>
      <c r="AN20" s="1"/>
      <c r="AO20" s="1"/>
      <c r="AP20" s="1" t="s">
        <v>3</v>
      </c>
      <c r="AQ20" s="1" t="s">
        <v>3</v>
      </c>
      <c r="AR20" s="1" t="s">
        <v>3</v>
      </c>
      <c r="AS20" s="1"/>
      <c r="AT20" s="1"/>
      <c r="AU20" s="1"/>
      <c r="AV20" s="1"/>
      <c r="AW20" s="1"/>
      <c r="AX20" s="1"/>
      <c r="AY20" s="1"/>
      <c r="AZ20" s="1" t="s">
        <v>3</v>
      </c>
      <c r="BA20" s="1"/>
      <c r="BB20" s="1" t="s">
        <v>3</v>
      </c>
      <c r="BC20" s="1" t="s">
        <v>3</v>
      </c>
      <c r="BD20" s="1" t="s">
        <v>3</v>
      </c>
      <c r="BE20" s="1" t="s">
        <v>3</v>
      </c>
      <c r="BF20" s="1" t="s">
        <v>3</v>
      </c>
      <c r="BG20" s="1" t="s">
        <v>3</v>
      </c>
      <c r="BH20" s="1" t="s">
        <v>3</v>
      </c>
      <c r="BI20" s="1" t="s">
        <v>3</v>
      </c>
      <c r="BJ20" s="1" t="s">
        <v>3</v>
      </c>
      <c r="BK20" s="1" t="s">
        <v>3</v>
      </c>
      <c r="BL20" s="1" t="s">
        <v>3</v>
      </c>
      <c r="BM20" s="1" t="s">
        <v>3</v>
      </c>
      <c r="BN20" s="1" t="s">
        <v>3</v>
      </c>
      <c r="BO20" s="1" t="s">
        <v>3</v>
      </c>
      <c r="BP20" s="1" t="s">
        <v>3</v>
      </c>
      <c r="BQ20" s="1"/>
      <c r="BR20" s="1"/>
      <c r="BS20" s="1"/>
      <c r="BT20" s="1"/>
      <c r="BU20" s="1"/>
      <c r="BV20" s="1"/>
      <c r="BW20" s="1"/>
      <c r="BX20" s="1">
        <v>0</v>
      </c>
      <c r="BY20" s="1"/>
      <c r="BZ20" s="1"/>
      <c r="CA20" s="1"/>
      <c r="CB20" s="1"/>
      <c r="CC20" s="1"/>
      <c r="CD20" s="1"/>
      <c r="CE20" s="1"/>
      <c r="CF20" s="1">
        <v>0</v>
      </c>
      <c r="CG20" s="1">
        <v>0</v>
      </c>
      <c r="CH20" s="1"/>
      <c r="CI20" s="1" t="s">
        <v>3</v>
      </c>
      <c r="CJ20" s="1" t="s">
        <v>3</v>
      </c>
      <c r="CK20" t="s">
        <v>3</v>
      </c>
      <c r="CL20" t="s">
        <v>3</v>
      </c>
      <c r="CM20" t="s">
        <v>3</v>
      </c>
      <c r="CN20" t="s">
        <v>3</v>
      </c>
      <c r="CO20" t="s">
        <v>3</v>
      </c>
      <c r="CP20" t="s">
        <v>3</v>
      </c>
      <c r="CQ20" t="s">
        <v>3</v>
      </c>
    </row>
    <row r="22" spans="1:245" x14ac:dyDescent="0.2">
      <c r="A22" s="2">
        <v>52</v>
      </c>
      <c r="B22" s="2">
        <f t="shared" ref="B22:G22" si="7">B34</f>
        <v>1</v>
      </c>
      <c r="C22" s="2">
        <f t="shared" si="7"/>
        <v>3</v>
      </c>
      <c r="D22" s="2">
        <f t="shared" si="7"/>
        <v>20</v>
      </c>
      <c r="E22" s="2">
        <f t="shared" si="7"/>
        <v>0</v>
      </c>
      <c r="F22" s="2" t="str">
        <f t="shared" si="7"/>
        <v>Новая локальная смета</v>
      </c>
      <c r="G22" s="2" t="str">
        <f t="shared" si="7"/>
        <v>Новая локальная смета</v>
      </c>
      <c r="H22" s="2"/>
      <c r="I22" s="2"/>
      <c r="J22" s="2"/>
      <c r="K22" s="2"/>
      <c r="L22" s="2"/>
      <c r="M22" s="2"/>
      <c r="N22" s="2"/>
      <c r="O22" s="2">
        <f t="shared" ref="O22:AT22" si="8">O34</f>
        <v>8173825.3899999997</v>
      </c>
      <c r="P22" s="2">
        <f t="shared" si="8"/>
        <v>6237329.1299999999</v>
      </c>
      <c r="Q22" s="2">
        <f t="shared" si="8"/>
        <v>167126.28</v>
      </c>
      <c r="R22" s="2">
        <f t="shared" si="8"/>
        <v>62859.66</v>
      </c>
      <c r="S22" s="2">
        <f t="shared" si="8"/>
        <v>1769369.98</v>
      </c>
      <c r="T22" s="2">
        <f t="shared" si="8"/>
        <v>0</v>
      </c>
      <c r="U22" s="2">
        <f t="shared" si="8"/>
        <v>6400.3322219999991</v>
      </c>
      <c r="V22" s="2">
        <f t="shared" si="8"/>
        <v>143.69573999999997</v>
      </c>
      <c r="W22" s="2">
        <f t="shared" si="8"/>
        <v>0</v>
      </c>
      <c r="X22" s="2">
        <f t="shared" si="8"/>
        <v>1809111.45</v>
      </c>
      <c r="Y22" s="2">
        <f t="shared" si="8"/>
        <v>1051558.8999999999</v>
      </c>
      <c r="Z22" s="2">
        <f t="shared" si="8"/>
        <v>0</v>
      </c>
      <c r="AA22" s="2">
        <f t="shared" si="8"/>
        <v>0</v>
      </c>
      <c r="AB22" s="2">
        <f t="shared" si="8"/>
        <v>8173825.3899999997</v>
      </c>
      <c r="AC22" s="2">
        <f t="shared" si="8"/>
        <v>6237329.1299999999</v>
      </c>
      <c r="AD22" s="2">
        <f t="shared" si="8"/>
        <v>167126.28</v>
      </c>
      <c r="AE22" s="2">
        <f t="shared" si="8"/>
        <v>62859.66</v>
      </c>
      <c r="AF22" s="2">
        <f t="shared" si="8"/>
        <v>1769369.98</v>
      </c>
      <c r="AG22" s="2">
        <f t="shared" si="8"/>
        <v>0</v>
      </c>
      <c r="AH22" s="2">
        <f t="shared" si="8"/>
        <v>6400.3322219999991</v>
      </c>
      <c r="AI22" s="2">
        <f t="shared" si="8"/>
        <v>143.69573999999997</v>
      </c>
      <c r="AJ22" s="2">
        <f t="shared" si="8"/>
        <v>0</v>
      </c>
      <c r="AK22" s="2">
        <f t="shared" si="8"/>
        <v>1809111.45</v>
      </c>
      <c r="AL22" s="2">
        <f t="shared" si="8"/>
        <v>1051558.8999999999</v>
      </c>
      <c r="AM22" s="2">
        <f t="shared" si="8"/>
        <v>0</v>
      </c>
      <c r="AN22" s="2">
        <f t="shared" si="8"/>
        <v>0</v>
      </c>
      <c r="AO22" s="2">
        <f t="shared" si="8"/>
        <v>0</v>
      </c>
      <c r="AP22" s="2">
        <f t="shared" si="8"/>
        <v>0</v>
      </c>
      <c r="AQ22" s="2">
        <f t="shared" si="8"/>
        <v>0</v>
      </c>
      <c r="AR22" s="2">
        <f t="shared" si="8"/>
        <v>11034495.74</v>
      </c>
      <c r="AS22" s="2">
        <f t="shared" si="8"/>
        <v>11034495.74</v>
      </c>
      <c r="AT22" s="2">
        <f t="shared" si="8"/>
        <v>0</v>
      </c>
      <c r="AU22" s="2">
        <f t="shared" ref="AU22:BZ22" si="9">AU34</f>
        <v>0</v>
      </c>
      <c r="AV22" s="2">
        <f t="shared" si="9"/>
        <v>6237329.1299999999</v>
      </c>
      <c r="AW22" s="2">
        <f t="shared" si="9"/>
        <v>6237329.1299999999</v>
      </c>
      <c r="AX22" s="2">
        <f t="shared" si="9"/>
        <v>0</v>
      </c>
      <c r="AY22" s="2">
        <f t="shared" si="9"/>
        <v>6237329.1299999999</v>
      </c>
      <c r="AZ22" s="2">
        <f t="shared" si="9"/>
        <v>0</v>
      </c>
      <c r="BA22" s="2">
        <f t="shared" si="9"/>
        <v>0</v>
      </c>
      <c r="BB22" s="2">
        <f t="shared" si="9"/>
        <v>0</v>
      </c>
      <c r="BC22" s="2">
        <f t="shared" si="9"/>
        <v>0</v>
      </c>
      <c r="BD22" s="2">
        <f t="shared" si="9"/>
        <v>50316.94</v>
      </c>
      <c r="BE22" s="2">
        <f t="shared" si="9"/>
        <v>0</v>
      </c>
      <c r="BF22" s="2">
        <f t="shared" si="9"/>
        <v>0</v>
      </c>
      <c r="BG22" s="2">
        <f t="shared" si="9"/>
        <v>0</v>
      </c>
      <c r="BH22" s="2">
        <f t="shared" si="9"/>
        <v>0</v>
      </c>
      <c r="BI22" s="2">
        <f t="shared" si="9"/>
        <v>0</v>
      </c>
      <c r="BJ22" s="2">
        <f t="shared" si="9"/>
        <v>0</v>
      </c>
      <c r="BK22" s="2">
        <f t="shared" si="9"/>
        <v>0</v>
      </c>
      <c r="BL22" s="2">
        <f t="shared" si="9"/>
        <v>0</v>
      </c>
      <c r="BM22" s="2">
        <f t="shared" si="9"/>
        <v>0</v>
      </c>
      <c r="BN22" s="2">
        <f t="shared" si="9"/>
        <v>0</v>
      </c>
      <c r="BO22" s="2">
        <f t="shared" si="9"/>
        <v>0</v>
      </c>
      <c r="BP22" s="2">
        <f t="shared" si="9"/>
        <v>0</v>
      </c>
      <c r="BQ22" s="2">
        <f t="shared" si="9"/>
        <v>0</v>
      </c>
      <c r="BR22" s="2">
        <f t="shared" si="9"/>
        <v>0</v>
      </c>
      <c r="BS22" s="2">
        <f t="shared" si="9"/>
        <v>0</v>
      </c>
      <c r="BT22" s="2">
        <f t="shared" si="9"/>
        <v>0</v>
      </c>
      <c r="BU22" s="2">
        <f t="shared" si="9"/>
        <v>0</v>
      </c>
      <c r="BV22" s="2">
        <f t="shared" si="9"/>
        <v>0</v>
      </c>
      <c r="BW22" s="2">
        <f t="shared" si="9"/>
        <v>0</v>
      </c>
      <c r="BX22" s="2">
        <f t="shared" si="9"/>
        <v>0</v>
      </c>
      <c r="BY22" s="2">
        <f t="shared" si="9"/>
        <v>0</v>
      </c>
      <c r="BZ22" s="2">
        <f t="shared" si="9"/>
        <v>0</v>
      </c>
      <c r="CA22" s="2">
        <f t="shared" ref="CA22:DF22" si="10">CA34</f>
        <v>11034495.74</v>
      </c>
      <c r="CB22" s="2">
        <f t="shared" si="10"/>
        <v>11034495.74</v>
      </c>
      <c r="CC22" s="2">
        <f t="shared" si="10"/>
        <v>0</v>
      </c>
      <c r="CD22" s="2">
        <f t="shared" si="10"/>
        <v>0</v>
      </c>
      <c r="CE22" s="2">
        <f t="shared" si="10"/>
        <v>6237329.1299999999</v>
      </c>
      <c r="CF22" s="2">
        <f t="shared" si="10"/>
        <v>6237329.1299999999</v>
      </c>
      <c r="CG22" s="2">
        <f t="shared" si="10"/>
        <v>0</v>
      </c>
      <c r="CH22" s="2">
        <f t="shared" si="10"/>
        <v>6237329.1299999999</v>
      </c>
      <c r="CI22" s="2">
        <f t="shared" si="10"/>
        <v>0</v>
      </c>
      <c r="CJ22" s="2">
        <f t="shared" si="10"/>
        <v>0</v>
      </c>
      <c r="CK22" s="2">
        <f t="shared" si="10"/>
        <v>0</v>
      </c>
      <c r="CL22" s="2">
        <f t="shared" si="10"/>
        <v>0</v>
      </c>
      <c r="CM22" s="2">
        <f t="shared" si="10"/>
        <v>50316.94</v>
      </c>
      <c r="CN22" s="2">
        <f t="shared" si="10"/>
        <v>0</v>
      </c>
      <c r="CO22" s="2">
        <f t="shared" si="10"/>
        <v>0</v>
      </c>
      <c r="CP22" s="2">
        <f t="shared" si="10"/>
        <v>0</v>
      </c>
      <c r="CQ22" s="2">
        <f t="shared" si="10"/>
        <v>0</v>
      </c>
      <c r="CR22" s="2">
        <f t="shared" si="10"/>
        <v>0</v>
      </c>
      <c r="CS22" s="2">
        <f t="shared" si="10"/>
        <v>0</v>
      </c>
      <c r="CT22" s="2">
        <f t="shared" si="10"/>
        <v>0</v>
      </c>
      <c r="CU22" s="2">
        <f t="shared" si="10"/>
        <v>0</v>
      </c>
      <c r="CV22" s="2">
        <f t="shared" si="10"/>
        <v>0</v>
      </c>
      <c r="CW22" s="2">
        <f t="shared" si="10"/>
        <v>0</v>
      </c>
      <c r="CX22" s="2">
        <f t="shared" si="10"/>
        <v>0</v>
      </c>
      <c r="CY22" s="2">
        <f t="shared" si="10"/>
        <v>0</v>
      </c>
      <c r="CZ22" s="2">
        <f t="shared" si="10"/>
        <v>0</v>
      </c>
      <c r="DA22" s="2">
        <f t="shared" si="10"/>
        <v>0</v>
      </c>
      <c r="DB22" s="2">
        <f t="shared" si="10"/>
        <v>0</v>
      </c>
      <c r="DC22" s="2">
        <f t="shared" si="10"/>
        <v>0</v>
      </c>
      <c r="DD22" s="2">
        <f t="shared" si="10"/>
        <v>0</v>
      </c>
      <c r="DE22" s="2">
        <f t="shared" si="10"/>
        <v>0</v>
      </c>
      <c r="DF22" s="2">
        <f t="shared" si="10"/>
        <v>0</v>
      </c>
      <c r="DG22" s="3">
        <f t="shared" ref="DG22:EL22" si="11">DG34</f>
        <v>0</v>
      </c>
      <c r="DH22" s="3">
        <f t="shared" si="11"/>
        <v>0</v>
      </c>
      <c r="DI22" s="3">
        <f t="shared" si="11"/>
        <v>0</v>
      </c>
      <c r="DJ22" s="3">
        <f t="shared" si="11"/>
        <v>0</v>
      </c>
      <c r="DK22" s="3">
        <f t="shared" si="11"/>
        <v>0</v>
      </c>
      <c r="DL22" s="3">
        <f t="shared" si="11"/>
        <v>0</v>
      </c>
      <c r="DM22" s="3">
        <f t="shared" si="11"/>
        <v>0</v>
      </c>
      <c r="DN22" s="3">
        <f t="shared" si="11"/>
        <v>0</v>
      </c>
      <c r="DO22" s="3">
        <f t="shared" si="11"/>
        <v>0</v>
      </c>
      <c r="DP22" s="3">
        <f t="shared" si="11"/>
        <v>0</v>
      </c>
      <c r="DQ22" s="3">
        <f t="shared" si="11"/>
        <v>0</v>
      </c>
      <c r="DR22" s="3">
        <f t="shared" si="11"/>
        <v>0</v>
      </c>
      <c r="DS22" s="3">
        <f t="shared" si="11"/>
        <v>0</v>
      </c>
      <c r="DT22" s="3">
        <f t="shared" si="11"/>
        <v>0</v>
      </c>
      <c r="DU22" s="3">
        <f t="shared" si="11"/>
        <v>0</v>
      </c>
      <c r="DV22" s="3">
        <f t="shared" si="11"/>
        <v>0</v>
      </c>
      <c r="DW22" s="3">
        <f t="shared" si="11"/>
        <v>0</v>
      </c>
      <c r="DX22" s="3">
        <f t="shared" si="11"/>
        <v>0</v>
      </c>
      <c r="DY22" s="3">
        <f t="shared" si="11"/>
        <v>0</v>
      </c>
      <c r="DZ22" s="3">
        <f t="shared" si="11"/>
        <v>0</v>
      </c>
      <c r="EA22" s="3">
        <f t="shared" si="11"/>
        <v>0</v>
      </c>
      <c r="EB22" s="3">
        <f t="shared" si="11"/>
        <v>0</v>
      </c>
      <c r="EC22" s="3">
        <f t="shared" si="11"/>
        <v>0</v>
      </c>
      <c r="ED22" s="3">
        <f t="shared" si="11"/>
        <v>0</v>
      </c>
      <c r="EE22" s="3">
        <f t="shared" si="11"/>
        <v>0</v>
      </c>
      <c r="EF22" s="3">
        <f t="shared" si="11"/>
        <v>0</v>
      </c>
      <c r="EG22" s="3">
        <f t="shared" si="11"/>
        <v>0</v>
      </c>
      <c r="EH22" s="3">
        <f t="shared" si="11"/>
        <v>0</v>
      </c>
      <c r="EI22" s="3">
        <f t="shared" si="11"/>
        <v>0</v>
      </c>
      <c r="EJ22" s="3">
        <f t="shared" si="11"/>
        <v>0</v>
      </c>
      <c r="EK22" s="3">
        <f t="shared" si="11"/>
        <v>0</v>
      </c>
      <c r="EL22" s="3">
        <f t="shared" si="11"/>
        <v>0</v>
      </c>
      <c r="EM22" s="3">
        <f t="shared" ref="EM22:FR22" si="12">EM34</f>
        <v>0</v>
      </c>
      <c r="EN22" s="3">
        <f t="shared" si="12"/>
        <v>0</v>
      </c>
      <c r="EO22" s="3">
        <f t="shared" si="12"/>
        <v>0</v>
      </c>
      <c r="EP22" s="3">
        <f t="shared" si="12"/>
        <v>0</v>
      </c>
      <c r="EQ22" s="3">
        <f t="shared" si="12"/>
        <v>0</v>
      </c>
      <c r="ER22" s="3">
        <f t="shared" si="12"/>
        <v>0</v>
      </c>
      <c r="ES22" s="3">
        <f t="shared" si="12"/>
        <v>0</v>
      </c>
      <c r="ET22" s="3">
        <f t="shared" si="12"/>
        <v>0</v>
      </c>
      <c r="EU22" s="3">
        <f t="shared" si="12"/>
        <v>0</v>
      </c>
      <c r="EV22" s="3">
        <f t="shared" si="12"/>
        <v>0</v>
      </c>
      <c r="EW22" s="3">
        <f t="shared" si="12"/>
        <v>0</v>
      </c>
      <c r="EX22" s="3">
        <f t="shared" si="12"/>
        <v>0</v>
      </c>
      <c r="EY22" s="3">
        <f t="shared" si="12"/>
        <v>0</v>
      </c>
      <c r="EZ22" s="3">
        <f t="shared" si="12"/>
        <v>0</v>
      </c>
      <c r="FA22" s="3">
        <f t="shared" si="12"/>
        <v>0</v>
      </c>
      <c r="FB22" s="3">
        <f t="shared" si="12"/>
        <v>0</v>
      </c>
      <c r="FC22" s="3">
        <f t="shared" si="12"/>
        <v>0</v>
      </c>
      <c r="FD22" s="3">
        <f t="shared" si="12"/>
        <v>0</v>
      </c>
      <c r="FE22" s="3">
        <f t="shared" si="12"/>
        <v>0</v>
      </c>
      <c r="FF22" s="3">
        <f t="shared" si="12"/>
        <v>0</v>
      </c>
      <c r="FG22" s="3">
        <f t="shared" si="12"/>
        <v>0</v>
      </c>
      <c r="FH22" s="3">
        <f t="shared" si="12"/>
        <v>0</v>
      </c>
      <c r="FI22" s="3">
        <f t="shared" si="12"/>
        <v>0</v>
      </c>
      <c r="FJ22" s="3">
        <f t="shared" si="12"/>
        <v>0</v>
      </c>
      <c r="FK22" s="3">
        <f t="shared" si="12"/>
        <v>0</v>
      </c>
      <c r="FL22" s="3">
        <f t="shared" si="12"/>
        <v>0</v>
      </c>
      <c r="FM22" s="3">
        <f t="shared" si="12"/>
        <v>0</v>
      </c>
      <c r="FN22" s="3">
        <f t="shared" si="12"/>
        <v>0</v>
      </c>
      <c r="FO22" s="3">
        <f t="shared" si="12"/>
        <v>0</v>
      </c>
      <c r="FP22" s="3">
        <f t="shared" si="12"/>
        <v>0</v>
      </c>
      <c r="FQ22" s="3">
        <f t="shared" si="12"/>
        <v>0</v>
      </c>
      <c r="FR22" s="3">
        <f t="shared" si="12"/>
        <v>0</v>
      </c>
      <c r="FS22" s="3">
        <f t="shared" ref="FS22:GX22" si="13">FS34</f>
        <v>0</v>
      </c>
      <c r="FT22" s="3">
        <f t="shared" si="13"/>
        <v>0</v>
      </c>
      <c r="FU22" s="3">
        <f t="shared" si="13"/>
        <v>0</v>
      </c>
      <c r="FV22" s="3">
        <f t="shared" si="13"/>
        <v>0</v>
      </c>
      <c r="FW22" s="3">
        <f t="shared" si="13"/>
        <v>0</v>
      </c>
      <c r="FX22" s="3">
        <f t="shared" si="13"/>
        <v>0</v>
      </c>
      <c r="FY22" s="3">
        <f t="shared" si="13"/>
        <v>0</v>
      </c>
      <c r="FZ22" s="3">
        <f t="shared" si="13"/>
        <v>0</v>
      </c>
      <c r="GA22" s="3">
        <f t="shared" si="13"/>
        <v>0</v>
      </c>
      <c r="GB22" s="3">
        <f t="shared" si="13"/>
        <v>0</v>
      </c>
      <c r="GC22" s="3">
        <f t="shared" si="13"/>
        <v>0</v>
      </c>
      <c r="GD22" s="3">
        <f t="shared" si="13"/>
        <v>0</v>
      </c>
      <c r="GE22" s="3">
        <f t="shared" si="13"/>
        <v>0</v>
      </c>
      <c r="GF22" s="3">
        <f t="shared" si="13"/>
        <v>0</v>
      </c>
      <c r="GG22" s="3">
        <f t="shared" si="13"/>
        <v>0</v>
      </c>
      <c r="GH22" s="3">
        <f t="shared" si="13"/>
        <v>0</v>
      </c>
      <c r="GI22" s="3">
        <f t="shared" si="13"/>
        <v>0</v>
      </c>
      <c r="GJ22" s="3">
        <f t="shared" si="13"/>
        <v>0</v>
      </c>
      <c r="GK22" s="3">
        <f t="shared" si="13"/>
        <v>0</v>
      </c>
      <c r="GL22" s="3">
        <f t="shared" si="13"/>
        <v>0</v>
      </c>
      <c r="GM22" s="3">
        <f t="shared" si="13"/>
        <v>0</v>
      </c>
      <c r="GN22" s="3">
        <f t="shared" si="13"/>
        <v>0</v>
      </c>
      <c r="GO22" s="3">
        <f t="shared" si="13"/>
        <v>0</v>
      </c>
      <c r="GP22" s="3">
        <f t="shared" si="13"/>
        <v>0</v>
      </c>
      <c r="GQ22" s="3">
        <f t="shared" si="13"/>
        <v>0</v>
      </c>
      <c r="GR22" s="3">
        <f t="shared" si="13"/>
        <v>0</v>
      </c>
      <c r="GS22" s="3">
        <f t="shared" si="13"/>
        <v>0</v>
      </c>
      <c r="GT22" s="3">
        <f t="shared" si="13"/>
        <v>0</v>
      </c>
      <c r="GU22" s="3">
        <f t="shared" si="13"/>
        <v>0</v>
      </c>
      <c r="GV22" s="3">
        <f t="shared" si="13"/>
        <v>0</v>
      </c>
      <c r="GW22" s="3">
        <f t="shared" si="13"/>
        <v>0</v>
      </c>
      <c r="GX22" s="3">
        <f t="shared" si="13"/>
        <v>0</v>
      </c>
    </row>
    <row r="24" spans="1:245" x14ac:dyDescent="0.2">
      <c r="A24">
        <v>17</v>
      </c>
      <c r="B24">
        <v>1</v>
      </c>
      <c r="C24">
        <f>ROW(SmtRes!A5)</f>
        <v>5</v>
      </c>
      <c r="D24">
        <f>ROW(EtalonRes!A5)</f>
        <v>5</v>
      </c>
      <c r="E24" t="s">
        <v>13</v>
      </c>
      <c r="F24" t="s">
        <v>14</v>
      </c>
      <c r="G24" t="s">
        <v>15</v>
      </c>
      <c r="H24" t="s">
        <v>16</v>
      </c>
      <c r="I24">
        <f>ROUND(310/100,9)</f>
        <v>3.1</v>
      </c>
      <c r="J24">
        <v>0</v>
      </c>
      <c r="O24">
        <f t="shared" ref="O24:O32" si="14">ROUND(CP24,2)</f>
        <v>68833.279999999999</v>
      </c>
      <c r="P24">
        <f t="shared" ref="P24:P32" si="15">ROUND(CQ24*I24,2)</f>
        <v>6170.81</v>
      </c>
      <c r="Q24">
        <f t="shared" ref="Q24:Q32" si="16">ROUND(CR24*I24,2)</f>
        <v>520.44000000000005</v>
      </c>
      <c r="R24">
        <f t="shared" ref="R24:R32" si="17">ROUND(CS24*I24,2)</f>
        <v>0</v>
      </c>
      <c r="S24">
        <f t="shared" ref="S24:S32" si="18">ROUND(CT24*I24,2)</f>
        <v>62142.03</v>
      </c>
      <c r="T24">
        <f t="shared" ref="T24:T32" si="19">ROUND(CU24*I24,2)</f>
        <v>0</v>
      </c>
      <c r="U24">
        <f t="shared" ref="U24:U32" si="20">CV24*I24</f>
        <v>217.62</v>
      </c>
      <c r="V24">
        <f t="shared" ref="V24:V32" si="21">CW24*I24</f>
        <v>0</v>
      </c>
      <c r="W24">
        <f t="shared" ref="W24:W32" si="22">ROUND(CX24*I24,2)</f>
        <v>0</v>
      </c>
      <c r="X24">
        <f t="shared" ref="X24:X32" si="23">ROUND(CY24,2)</f>
        <v>68356.23</v>
      </c>
      <c r="Y24">
        <f t="shared" ref="Y24:Y32" si="24">ROUND(CZ24,2)</f>
        <v>42256.58</v>
      </c>
      <c r="AA24">
        <v>31375913</v>
      </c>
      <c r="AB24">
        <f t="shared" ref="AB24:AB32" si="25">ROUND((AC24+AD24+AF24),6)</f>
        <v>999.94</v>
      </c>
      <c r="AC24">
        <f t="shared" ref="AC24:AC32" si="26">ROUND((ES24),6)</f>
        <v>377.72</v>
      </c>
      <c r="AD24">
        <f t="shared" ref="AD24:AD31" si="27">ROUND((((ET24)-(EU24))+AE24),6)</f>
        <v>15.69</v>
      </c>
      <c r="AE24">
        <f t="shared" ref="AE24:AF31" si="28">ROUND((EU24),6)</f>
        <v>0</v>
      </c>
      <c r="AF24">
        <f t="shared" si="28"/>
        <v>606.53</v>
      </c>
      <c r="AG24">
        <f t="shared" ref="AG24:AG32" si="29">ROUND((AP24),6)</f>
        <v>0</v>
      </c>
      <c r="AH24">
        <f t="shared" ref="AH24:AH32" si="30">(EW24)</f>
        <v>70.2</v>
      </c>
      <c r="AI24">
        <f t="shared" ref="AI24:AI32" si="31">(EX24)</f>
        <v>0</v>
      </c>
      <c r="AJ24">
        <f t="shared" ref="AJ24:AJ32" si="32">(AS24)</f>
        <v>0</v>
      </c>
      <c r="AK24">
        <v>999.94</v>
      </c>
      <c r="AL24">
        <v>377.72</v>
      </c>
      <c r="AM24">
        <v>15.69</v>
      </c>
      <c r="AN24">
        <v>0</v>
      </c>
      <c r="AO24">
        <v>606.53</v>
      </c>
      <c r="AP24">
        <v>0</v>
      </c>
      <c r="AQ24">
        <v>70.2</v>
      </c>
      <c r="AR24">
        <v>0</v>
      </c>
      <c r="AS24">
        <v>0</v>
      </c>
      <c r="AT24">
        <v>110</v>
      </c>
      <c r="AU24">
        <v>68</v>
      </c>
      <c r="AV24">
        <v>1</v>
      </c>
      <c r="AW24">
        <v>1</v>
      </c>
      <c r="AZ24">
        <v>1</v>
      </c>
      <c r="BA24">
        <v>33.049999999999997</v>
      </c>
      <c r="BB24">
        <v>10.7</v>
      </c>
      <c r="BC24">
        <v>5.27</v>
      </c>
      <c r="BD24" t="s">
        <v>3</v>
      </c>
      <c r="BE24" t="s">
        <v>3</v>
      </c>
      <c r="BF24" t="s">
        <v>3</v>
      </c>
      <c r="BG24" t="s">
        <v>3</v>
      </c>
      <c r="BH24">
        <v>0</v>
      </c>
      <c r="BI24">
        <v>1</v>
      </c>
      <c r="BJ24" t="s">
        <v>17</v>
      </c>
      <c r="BM24">
        <v>8001</v>
      </c>
      <c r="BN24">
        <v>0</v>
      </c>
      <c r="BO24" t="s">
        <v>14</v>
      </c>
      <c r="BP24">
        <v>1</v>
      </c>
      <c r="BQ24">
        <v>2</v>
      </c>
      <c r="BR24">
        <v>0</v>
      </c>
      <c r="BS24">
        <v>33.049999999999997</v>
      </c>
      <c r="BT24">
        <v>1</v>
      </c>
      <c r="BU24">
        <v>1</v>
      </c>
      <c r="BV24">
        <v>1</v>
      </c>
      <c r="BW24">
        <v>1</v>
      </c>
      <c r="BX24">
        <v>1</v>
      </c>
      <c r="BY24" t="s">
        <v>3</v>
      </c>
      <c r="BZ24">
        <v>122</v>
      </c>
      <c r="CA24">
        <v>80</v>
      </c>
      <c r="CE24">
        <v>0</v>
      </c>
      <c r="CF24">
        <v>0</v>
      </c>
      <c r="CG24">
        <v>0</v>
      </c>
      <c r="CM24">
        <v>0</v>
      </c>
      <c r="CN24" t="s">
        <v>3</v>
      </c>
      <c r="CO24">
        <v>0</v>
      </c>
      <c r="CP24">
        <f t="shared" ref="CP24:CP32" si="33">(P24+Q24+S24)</f>
        <v>68833.279999999999</v>
      </c>
      <c r="CQ24">
        <f t="shared" ref="CQ24:CQ32" si="34">AC24*BC24</f>
        <v>1990.5844</v>
      </c>
      <c r="CR24">
        <f t="shared" ref="CR24:CR32" si="35">AD24*BB24</f>
        <v>167.88299999999998</v>
      </c>
      <c r="CS24">
        <f t="shared" ref="CS24:CS32" si="36">AE24*BS24</f>
        <v>0</v>
      </c>
      <c r="CT24">
        <f t="shared" ref="CT24:CT32" si="37">AF24*BA24</f>
        <v>20045.816499999997</v>
      </c>
      <c r="CU24">
        <f t="shared" ref="CU24:CU32" si="38">AG24</f>
        <v>0</v>
      </c>
      <c r="CV24">
        <f t="shared" ref="CV24:CV32" si="39">AH24</f>
        <v>70.2</v>
      </c>
      <c r="CW24">
        <f t="shared" ref="CW24:CW32" si="40">AI24</f>
        <v>0</v>
      </c>
      <c r="CX24">
        <f t="shared" ref="CX24:CX32" si="41">AJ24</f>
        <v>0</v>
      </c>
      <c r="CY24">
        <f t="shared" ref="CY24:CY32" si="42">(((S24+R24)*AT24)/100)</f>
        <v>68356.232999999993</v>
      </c>
      <c r="CZ24">
        <f t="shared" ref="CZ24:CZ32" si="43">(((S24+R24)*AU24)/100)</f>
        <v>42256.580399999999</v>
      </c>
      <c r="DC24" t="s">
        <v>3</v>
      </c>
      <c r="DD24" t="s">
        <v>3</v>
      </c>
      <c r="DE24" t="s">
        <v>3</v>
      </c>
      <c r="DF24" t="s">
        <v>3</v>
      </c>
      <c r="DG24" t="s">
        <v>3</v>
      </c>
      <c r="DH24" t="s">
        <v>3</v>
      </c>
      <c r="DI24" t="s">
        <v>3</v>
      </c>
      <c r="DJ24" t="s">
        <v>3</v>
      </c>
      <c r="DK24" t="s">
        <v>3</v>
      </c>
      <c r="DL24" t="s">
        <v>3</v>
      </c>
      <c r="DM24" t="s">
        <v>3</v>
      </c>
      <c r="DN24">
        <v>0</v>
      </c>
      <c r="DO24">
        <v>0</v>
      </c>
      <c r="DP24">
        <v>1</v>
      </c>
      <c r="DQ24">
        <v>1</v>
      </c>
      <c r="DU24">
        <v>1013</v>
      </c>
      <c r="DV24" t="s">
        <v>16</v>
      </c>
      <c r="DW24" t="s">
        <v>16</v>
      </c>
      <c r="DX24">
        <v>1</v>
      </c>
      <c r="DZ24" t="s">
        <v>3</v>
      </c>
      <c r="EA24" t="s">
        <v>3</v>
      </c>
      <c r="EB24" t="s">
        <v>3</v>
      </c>
      <c r="EC24" t="s">
        <v>3</v>
      </c>
      <c r="EE24">
        <v>31192290</v>
      </c>
      <c r="EF24">
        <v>2</v>
      </c>
      <c r="EG24" t="s">
        <v>18</v>
      </c>
      <c r="EH24">
        <v>0</v>
      </c>
      <c r="EI24" t="s">
        <v>3</v>
      </c>
      <c r="EJ24">
        <v>1</v>
      </c>
      <c r="EK24">
        <v>8001</v>
      </c>
      <c r="EL24" t="s">
        <v>19</v>
      </c>
      <c r="EM24" t="s">
        <v>20</v>
      </c>
      <c r="EO24" t="s">
        <v>3</v>
      </c>
      <c r="EQ24">
        <v>0</v>
      </c>
      <c r="ER24">
        <v>999.94</v>
      </c>
      <c r="ES24">
        <v>377.72</v>
      </c>
      <c r="ET24">
        <v>15.69</v>
      </c>
      <c r="EU24">
        <v>0</v>
      </c>
      <c r="EV24">
        <v>606.53</v>
      </c>
      <c r="EW24">
        <v>70.2</v>
      </c>
      <c r="EX24">
        <v>0</v>
      </c>
      <c r="EY24">
        <v>0</v>
      </c>
      <c r="FQ24">
        <v>0</v>
      </c>
      <c r="FR24">
        <f t="shared" ref="FR24:FR32" si="44">ROUND(IF(AND(BH24=3,BI24=3),P24,0),2)</f>
        <v>0</v>
      </c>
      <c r="FS24">
        <v>0</v>
      </c>
      <c r="FT24" t="s">
        <v>21</v>
      </c>
      <c r="FU24" t="s">
        <v>22</v>
      </c>
      <c r="FX24">
        <v>109.8</v>
      </c>
      <c r="FY24">
        <v>68</v>
      </c>
      <c r="GA24" t="s">
        <v>3</v>
      </c>
      <c r="GD24">
        <v>1</v>
      </c>
      <c r="GF24">
        <v>-492791783</v>
      </c>
      <c r="GG24">
        <v>2</v>
      </c>
      <c r="GH24">
        <v>1</v>
      </c>
      <c r="GI24">
        <v>2</v>
      </c>
      <c r="GJ24">
        <v>0</v>
      </c>
      <c r="GK24">
        <v>0</v>
      </c>
      <c r="GL24">
        <f t="shared" ref="GL24:GL32" si="45">ROUND(IF(AND(BH24=3,BI24=3,FS24&lt;&gt;0),P24,0),2)</f>
        <v>0</v>
      </c>
      <c r="GM24">
        <f t="shared" ref="GM24:GM32" si="46">ROUND(O24+X24+Y24,2)+GX24</f>
        <v>179446.09</v>
      </c>
      <c r="GN24">
        <f t="shared" ref="GN24:GN32" si="47">IF(OR(BI24=0,BI24=1),ROUND(O24+X24+Y24,2),0)</f>
        <v>179446.09</v>
      </c>
      <c r="GO24">
        <f t="shared" ref="GO24:GO32" si="48">IF(BI24=2,ROUND(O24+X24+Y24,2),0)</f>
        <v>0</v>
      </c>
      <c r="GP24">
        <f t="shared" ref="GP24:GP32" si="49">IF(BI24=4,ROUND(O24+X24+Y24,2)+GX24,0)</f>
        <v>0</v>
      </c>
      <c r="GR24">
        <v>0</v>
      </c>
      <c r="GS24">
        <v>3</v>
      </c>
      <c r="GT24">
        <v>0</v>
      </c>
      <c r="GU24" t="s">
        <v>3</v>
      </c>
      <c r="GV24">
        <f t="shared" ref="GV24:GV32" si="50">ROUND((GT24),6)</f>
        <v>0</v>
      </c>
      <c r="GW24">
        <v>1</v>
      </c>
      <c r="GX24">
        <f t="shared" ref="GX24:GX32" si="51">ROUND(HC24*I24,2)</f>
        <v>0</v>
      </c>
      <c r="HA24">
        <v>0</v>
      </c>
      <c r="HB24">
        <v>0</v>
      </c>
      <c r="HC24">
        <f t="shared" ref="HC24:HC32" si="52">GV24*GW24</f>
        <v>0</v>
      </c>
      <c r="HE24" t="s">
        <v>3</v>
      </c>
      <c r="HF24" t="s">
        <v>3</v>
      </c>
      <c r="IK24">
        <v>0</v>
      </c>
    </row>
    <row r="25" spans="1:245" x14ac:dyDescent="0.2">
      <c r="A25">
        <v>17</v>
      </c>
      <c r="B25">
        <v>1</v>
      </c>
      <c r="C25">
        <f>ROW(SmtRes!A8)</f>
        <v>8</v>
      </c>
      <c r="D25">
        <f>ROW(EtalonRes!A8)</f>
        <v>8</v>
      </c>
      <c r="E25" t="s">
        <v>23</v>
      </c>
      <c r="F25" t="s">
        <v>24</v>
      </c>
      <c r="G25" t="s">
        <v>25</v>
      </c>
      <c r="H25" t="s">
        <v>26</v>
      </c>
      <c r="I25">
        <f>ROUND(1337.3/100,9)</f>
        <v>13.372999999999999</v>
      </c>
      <c r="J25">
        <v>0</v>
      </c>
      <c r="O25">
        <f t="shared" si="14"/>
        <v>666028.68999999994</v>
      </c>
      <c r="P25">
        <f t="shared" si="15"/>
        <v>0</v>
      </c>
      <c r="Q25">
        <f t="shared" si="16"/>
        <v>48307.47</v>
      </c>
      <c r="R25">
        <f t="shared" si="17"/>
        <v>46182.239999999998</v>
      </c>
      <c r="S25">
        <f t="shared" si="18"/>
        <v>617721.22</v>
      </c>
      <c r="T25">
        <f t="shared" si="19"/>
        <v>0</v>
      </c>
      <c r="U25">
        <f t="shared" si="20"/>
        <v>2310.3194799999997</v>
      </c>
      <c r="V25">
        <f t="shared" si="21"/>
        <v>103.50702</v>
      </c>
      <c r="W25">
        <f t="shared" si="22"/>
        <v>0</v>
      </c>
      <c r="X25">
        <f t="shared" si="23"/>
        <v>657264.43000000005</v>
      </c>
      <c r="Y25">
        <f t="shared" si="24"/>
        <v>398342.08</v>
      </c>
      <c r="AA25">
        <v>31375913</v>
      </c>
      <c r="AB25">
        <f t="shared" si="25"/>
        <v>1639.58</v>
      </c>
      <c r="AC25">
        <f t="shared" si="26"/>
        <v>0</v>
      </c>
      <c r="AD25">
        <f t="shared" si="27"/>
        <v>241.95</v>
      </c>
      <c r="AE25">
        <f t="shared" si="28"/>
        <v>104.49</v>
      </c>
      <c r="AF25">
        <f t="shared" si="28"/>
        <v>1397.63</v>
      </c>
      <c r="AG25">
        <f t="shared" si="29"/>
        <v>0</v>
      </c>
      <c r="AH25">
        <f t="shared" si="30"/>
        <v>172.76</v>
      </c>
      <c r="AI25">
        <f t="shared" si="31"/>
        <v>7.74</v>
      </c>
      <c r="AJ25">
        <f t="shared" si="32"/>
        <v>0</v>
      </c>
      <c r="AK25">
        <v>1639.58</v>
      </c>
      <c r="AL25">
        <v>0</v>
      </c>
      <c r="AM25">
        <v>241.95</v>
      </c>
      <c r="AN25">
        <v>104.49</v>
      </c>
      <c r="AO25">
        <v>1397.63</v>
      </c>
      <c r="AP25">
        <v>0</v>
      </c>
      <c r="AQ25">
        <v>172.76</v>
      </c>
      <c r="AR25">
        <v>7.74</v>
      </c>
      <c r="AS25">
        <v>0</v>
      </c>
      <c r="AT25">
        <v>99</v>
      </c>
      <c r="AU25">
        <v>60</v>
      </c>
      <c r="AV25">
        <v>1</v>
      </c>
      <c r="AW25">
        <v>1</v>
      </c>
      <c r="AZ25">
        <v>1</v>
      </c>
      <c r="BA25">
        <v>33.049999999999997</v>
      </c>
      <c r="BB25">
        <v>14.93</v>
      </c>
      <c r="BC25">
        <v>1</v>
      </c>
      <c r="BD25" t="s">
        <v>3</v>
      </c>
      <c r="BE25" t="s">
        <v>3</v>
      </c>
      <c r="BF25" t="s">
        <v>3</v>
      </c>
      <c r="BG25" t="s">
        <v>3</v>
      </c>
      <c r="BH25">
        <v>0</v>
      </c>
      <c r="BI25">
        <v>1</v>
      </c>
      <c r="BJ25" t="s">
        <v>27</v>
      </c>
      <c r="BM25">
        <v>46001</v>
      </c>
      <c r="BN25">
        <v>0</v>
      </c>
      <c r="BO25" t="s">
        <v>24</v>
      </c>
      <c r="BP25">
        <v>1</v>
      </c>
      <c r="BQ25">
        <v>2</v>
      </c>
      <c r="BR25">
        <v>0</v>
      </c>
      <c r="BS25">
        <v>33.049999999999997</v>
      </c>
      <c r="BT25">
        <v>1</v>
      </c>
      <c r="BU25">
        <v>1</v>
      </c>
      <c r="BV25">
        <v>1</v>
      </c>
      <c r="BW25">
        <v>1</v>
      </c>
      <c r="BX25">
        <v>1</v>
      </c>
      <c r="BY25" t="s">
        <v>3</v>
      </c>
      <c r="BZ25">
        <v>110</v>
      </c>
      <c r="CA25">
        <v>70</v>
      </c>
      <c r="CE25">
        <v>0</v>
      </c>
      <c r="CF25">
        <v>0</v>
      </c>
      <c r="CG25">
        <v>0</v>
      </c>
      <c r="CM25">
        <v>0</v>
      </c>
      <c r="CN25" t="s">
        <v>3</v>
      </c>
      <c r="CO25">
        <v>0</v>
      </c>
      <c r="CP25">
        <f t="shared" si="33"/>
        <v>666028.68999999994</v>
      </c>
      <c r="CQ25">
        <f t="shared" si="34"/>
        <v>0</v>
      </c>
      <c r="CR25">
        <f t="shared" si="35"/>
        <v>3612.3134999999997</v>
      </c>
      <c r="CS25">
        <f t="shared" si="36"/>
        <v>3453.3944999999994</v>
      </c>
      <c r="CT25">
        <f t="shared" si="37"/>
        <v>46191.671499999997</v>
      </c>
      <c r="CU25">
        <f t="shared" si="38"/>
        <v>0</v>
      </c>
      <c r="CV25">
        <f t="shared" si="39"/>
        <v>172.76</v>
      </c>
      <c r="CW25">
        <f t="shared" si="40"/>
        <v>7.74</v>
      </c>
      <c r="CX25">
        <f t="shared" si="41"/>
        <v>0</v>
      </c>
      <c r="CY25">
        <f t="shared" si="42"/>
        <v>657264.42539999995</v>
      </c>
      <c r="CZ25">
        <f t="shared" si="43"/>
        <v>398342.07599999994</v>
      </c>
      <c r="DC25" t="s">
        <v>3</v>
      </c>
      <c r="DD25" t="s">
        <v>3</v>
      </c>
      <c r="DE25" t="s">
        <v>3</v>
      </c>
      <c r="DF25" t="s">
        <v>3</v>
      </c>
      <c r="DG25" t="s">
        <v>3</v>
      </c>
      <c r="DH25" t="s">
        <v>3</v>
      </c>
      <c r="DI25" t="s">
        <v>3</v>
      </c>
      <c r="DJ25" t="s">
        <v>3</v>
      </c>
      <c r="DK25" t="s">
        <v>3</v>
      </c>
      <c r="DL25" t="s">
        <v>3</v>
      </c>
      <c r="DM25" t="s">
        <v>3</v>
      </c>
      <c r="DN25">
        <v>0</v>
      </c>
      <c r="DO25">
        <v>0</v>
      </c>
      <c r="DP25">
        <v>1</v>
      </c>
      <c r="DQ25">
        <v>1</v>
      </c>
      <c r="DU25">
        <v>1005</v>
      </c>
      <c r="DV25" t="s">
        <v>26</v>
      </c>
      <c r="DW25" t="s">
        <v>26</v>
      </c>
      <c r="DX25">
        <v>100</v>
      </c>
      <c r="DZ25" t="s">
        <v>3</v>
      </c>
      <c r="EA25" t="s">
        <v>3</v>
      </c>
      <c r="EB25" t="s">
        <v>3</v>
      </c>
      <c r="EC25" t="s">
        <v>3</v>
      </c>
      <c r="EE25">
        <v>31192360</v>
      </c>
      <c r="EF25">
        <v>2</v>
      </c>
      <c r="EG25" t="s">
        <v>18</v>
      </c>
      <c r="EH25">
        <v>0</v>
      </c>
      <c r="EI25" t="s">
        <v>3</v>
      </c>
      <c r="EJ25">
        <v>1</v>
      </c>
      <c r="EK25">
        <v>46001</v>
      </c>
      <c r="EL25" t="s">
        <v>28</v>
      </c>
      <c r="EM25" t="s">
        <v>29</v>
      </c>
      <c r="EO25" t="s">
        <v>3</v>
      </c>
      <c r="EQ25">
        <v>0</v>
      </c>
      <c r="ER25">
        <v>1639.58</v>
      </c>
      <c r="ES25">
        <v>0</v>
      </c>
      <c r="ET25">
        <v>241.95</v>
      </c>
      <c r="EU25">
        <v>104.49</v>
      </c>
      <c r="EV25">
        <v>1397.63</v>
      </c>
      <c r="EW25">
        <v>172.76</v>
      </c>
      <c r="EX25">
        <v>7.74</v>
      </c>
      <c r="EY25">
        <v>0</v>
      </c>
      <c r="FQ25">
        <v>0</v>
      </c>
      <c r="FR25">
        <f t="shared" si="44"/>
        <v>0</v>
      </c>
      <c r="FS25">
        <v>0</v>
      </c>
      <c r="FT25" t="s">
        <v>21</v>
      </c>
      <c r="FU25" t="s">
        <v>22</v>
      </c>
      <c r="FX25">
        <v>99</v>
      </c>
      <c r="FY25">
        <v>59.5</v>
      </c>
      <c r="GA25" t="s">
        <v>3</v>
      </c>
      <c r="GD25">
        <v>1</v>
      </c>
      <c r="GF25">
        <v>1059998747</v>
      </c>
      <c r="GG25">
        <v>2</v>
      </c>
      <c r="GH25">
        <v>1</v>
      </c>
      <c r="GI25">
        <v>2</v>
      </c>
      <c r="GJ25">
        <v>0</v>
      </c>
      <c r="GK25">
        <v>0</v>
      </c>
      <c r="GL25">
        <f t="shared" si="45"/>
        <v>0</v>
      </c>
      <c r="GM25">
        <f t="shared" si="46"/>
        <v>1721635.2</v>
      </c>
      <c r="GN25">
        <f t="shared" si="47"/>
        <v>1721635.2</v>
      </c>
      <c r="GO25">
        <f t="shared" si="48"/>
        <v>0</v>
      </c>
      <c r="GP25">
        <f t="shared" si="49"/>
        <v>0</v>
      </c>
      <c r="GR25">
        <v>0</v>
      </c>
      <c r="GS25">
        <v>3</v>
      </c>
      <c r="GT25">
        <v>0</v>
      </c>
      <c r="GU25" t="s">
        <v>3</v>
      </c>
      <c r="GV25">
        <f t="shared" si="50"/>
        <v>0</v>
      </c>
      <c r="GW25">
        <v>1</v>
      </c>
      <c r="GX25">
        <f t="shared" si="51"/>
        <v>0</v>
      </c>
      <c r="HA25">
        <v>0</v>
      </c>
      <c r="HB25">
        <v>0</v>
      </c>
      <c r="HC25">
        <f t="shared" si="52"/>
        <v>0</v>
      </c>
      <c r="HE25" t="s">
        <v>3</v>
      </c>
      <c r="HF25" t="s">
        <v>3</v>
      </c>
      <c r="IK25">
        <v>0</v>
      </c>
    </row>
    <row r="26" spans="1:245" x14ac:dyDescent="0.2">
      <c r="A26">
        <v>17</v>
      </c>
      <c r="B26">
        <v>1</v>
      </c>
      <c r="C26">
        <f>ROW(SmtRes!A14)</f>
        <v>14</v>
      </c>
      <c r="D26">
        <f>ROW(EtalonRes!A14)</f>
        <v>14</v>
      </c>
      <c r="E26" t="s">
        <v>30</v>
      </c>
      <c r="F26" t="s">
        <v>31</v>
      </c>
      <c r="G26" t="s">
        <v>32</v>
      </c>
      <c r="H26" t="s">
        <v>33</v>
      </c>
      <c r="I26">
        <f>ROUND(761/100,9)</f>
        <v>7.61</v>
      </c>
      <c r="J26">
        <v>0</v>
      </c>
      <c r="O26">
        <f t="shared" si="14"/>
        <v>273064.84000000003</v>
      </c>
      <c r="P26">
        <f t="shared" si="15"/>
        <v>0</v>
      </c>
      <c r="Q26">
        <f t="shared" si="16"/>
        <v>8546.2199999999993</v>
      </c>
      <c r="R26">
        <f t="shared" si="17"/>
        <v>6046.31</v>
      </c>
      <c r="S26">
        <f t="shared" si="18"/>
        <v>264518.62</v>
      </c>
      <c r="T26">
        <f t="shared" si="19"/>
        <v>0</v>
      </c>
      <c r="U26">
        <f t="shared" si="20"/>
        <v>979.63529999999992</v>
      </c>
      <c r="V26">
        <f t="shared" si="21"/>
        <v>16.361499999999999</v>
      </c>
      <c r="W26">
        <f t="shared" si="22"/>
        <v>0</v>
      </c>
      <c r="X26">
        <f t="shared" si="23"/>
        <v>221863.24</v>
      </c>
      <c r="Y26">
        <f t="shared" si="24"/>
        <v>167750.26</v>
      </c>
      <c r="AA26">
        <v>31375913</v>
      </c>
      <c r="AB26">
        <f t="shared" si="25"/>
        <v>1145.54</v>
      </c>
      <c r="AC26">
        <f t="shared" si="26"/>
        <v>0</v>
      </c>
      <c r="AD26">
        <f t="shared" si="27"/>
        <v>93.82</v>
      </c>
      <c r="AE26">
        <f t="shared" si="28"/>
        <v>24.04</v>
      </c>
      <c r="AF26">
        <f t="shared" si="28"/>
        <v>1051.72</v>
      </c>
      <c r="AG26">
        <f t="shared" si="29"/>
        <v>0</v>
      </c>
      <c r="AH26">
        <f t="shared" si="30"/>
        <v>128.72999999999999</v>
      </c>
      <c r="AI26">
        <f t="shared" si="31"/>
        <v>2.15</v>
      </c>
      <c r="AJ26">
        <f t="shared" si="32"/>
        <v>0</v>
      </c>
      <c r="AK26">
        <v>1145.54</v>
      </c>
      <c r="AL26">
        <v>0</v>
      </c>
      <c r="AM26">
        <v>93.82</v>
      </c>
      <c r="AN26">
        <v>24.04</v>
      </c>
      <c r="AO26">
        <v>1051.72</v>
      </c>
      <c r="AP26">
        <v>0</v>
      </c>
      <c r="AQ26">
        <v>128.72999999999999</v>
      </c>
      <c r="AR26">
        <v>2.15</v>
      </c>
      <c r="AS26">
        <v>0</v>
      </c>
      <c r="AT26">
        <v>82</v>
      </c>
      <c r="AU26">
        <v>62</v>
      </c>
      <c r="AV26">
        <v>1</v>
      </c>
      <c r="AW26">
        <v>1</v>
      </c>
      <c r="AZ26">
        <v>1</v>
      </c>
      <c r="BA26">
        <v>33.049999999999997</v>
      </c>
      <c r="BB26">
        <v>11.97</v>
      </c>
      <c r="BC26">
        <v>1</v>
      </c>
      <c r="BD26" t="s">
        <v>3</v>
      </c>
      <c r="BE26" t="s">
        <v>3</v>
      </c>
      <c r="BF26" t="s">
        <v>3</v>
      </c>
      <c r="BG26" t="s">
        <v>3</v>
      </c>
      <c r="BH26">
        <v>0</v>
      </c>
      <c r="BI26">
        <v>1</v>
      </c>
      <c r="BJ26" t="s">
        <v>34</v>
      </c>
      <c r="BM26">
        <v>56001</v>
      </c>
      <c r="BN26">
        <v>0</v>
      </c>
      <c r="BO26" t="s">
        <v>31</v>
      </c>
      <c r="BP26">
        <v>1</v>
      </c>
      <c r="BQ26">
        <v>6</v>
      </c>
      <c r="BR26">
        <v>0</v>
      </c>
      <c r="BS26">
        <v>33.049999999999997</v>
      </c>
      <c r="BT26">
        <v>1</v>
      </c>
      <c r="BU26">
        <v>1</v>
      </c>
      <c r="BV26">
        <v>1</v>
      </c>
      <c r="BW26">
        <v>1</v>
      </c>
      <c r="BX26">
        <v>1</v>
      </c>
      <c r="BY26" t="s">
        <v>3</v>
      </c>
      <c r="BZ26">
        <v>82</v>
      </c>
      <c r="CA26">
        <v>62</v>
      </c>
      <c r="CE26">
        <v>0</v>
      </c>
      <c r="CF26">
        <v>0</v>
      </c>
      <c r="CG26">
        <v>0</v>
      </c>
      <c r="CM26">
        <v>0</v>
      </c>
      <c r="CN26" t="s">
        <v>3</v>
      </c>
      <c r="CO26">
        <v>0</v>
      </c>
      <c r="CP26">
        <f t="shared" si="33"/>
        <v>273064.83999999997</v>
      </c>
      <c r="CQ26">
        <f t="shared" si="34"/>
        <v>0</v>
      </c>
      <c r="CR26">
        <f t="shared" si="35"/>
        <v>1123.0254</v>
      </c>
      <c r="CS26">
        <f t="shared" si="36"/>
        <v>794.52199999999993</v>
      </c>
      <c r="CT26">
        <f t="shared" si="37"/>
        <v>34759.345999999998</v>
      </c>
      <c r="CU26">
        <f t="shared" si="38"/>
        <v>0</v>
      </c>
      <c r="CV26">
        <f t="shared" si="39"/>
        <v>128.72999999999999</v>
      </c>
      <c r="CW26">
        <f t="shared" si="40"/>
        <v>2.15</v>
      </c>
      <c r="CX26">
        <f t="shared" si="41"/>
        <v>0</v>
      </c>
      <c r="CY26">
        <f t="shared" si="42"/>
        <v>221863.24259999997</v>
      </c>
      <c r="CZ26">
        <f t="shared" si="43"/>
        <v>167750.25659999999</v>
      </c>
      <c r="DC26" t="s">
        <v>3</v>
      </c>
      <c r="DD26" t="s">
        <v>3</v>
      </c>
      <c r="DE26" t="s">
        <v>3</v>
      </c>
      <c r="DF26" t="s">
        <v>3</v>
      </c>
      <c r="DG26" t="s">
        <v>3</v>
      </c>
      <c r="DH26" t="s">
        <v>3</v>
      </c>
      <c r="DI26" t="s">
        <v>3</v>
      </c>
      <c r="DJ26" t="s">
        <v>3</v>
      </c>
      <c r="DK26" t="s">
        <v>3</v>
      </c>
      <c r="DL26" t="s">
        <v>3</v>
      </c>
      <c r="DM26" t="s">
        <v>3</v>
      </c>
      <c r="DN26">
        <v>0</v>
      </c>
      <c r="DO26">
        <v>0</v>
      </c>
      <c r="DP26">
        <v>1</v>
      </c>
      <c r="DQ26">
        <v>1</v>
      </c>
      <c r="DU26">
        <v>1013</v>
      </c>
      <c r="DV26" t="s">
        <v>33</v>
      </c>
      <c r="DW26" t="s">
        <v>33</v>
      </c>
      <c r="DX26">
        <v>1</v>
      </c>
      <c r="DZ26" t="s">
        <v>3</v>
      </c>
      <c r="EA26" t="s">
        <v>3</v>
      </c>
      <c r="EB26" t="s">
        <v>3</v>
      </c>
      <c r="EC26" t="s">
        <v>3</v>
      </c>
      <c r="EE26">
        <v>31192370</v>
      </c>
      <c r="EF26">
        <v>6</v>
      </c>
      <c r="EG26" t="s">
        <v>35</v>
      </c>
      <c r="EH26">
        <v>0</v>
      </c>
      <c r="EI26" t="s">
        <v>3</v>
      </c>
      <c r="EJ26">
        <v>1</v>
      </c>
      <c r="EK26">
        <v>56001</v>
      </c>
      <c r="EL26" t="s">
        <v>36</v>
      </c>
      <c r="EM26" t="s">
        <v>37</v>
      </c>
      <c r="EO26" t="s">
        <v>3</v>
      </c>
      <c r="EQ26">
        <v>0</v>
      </c>
      <c r="ER26">
        <v>1145.54</v>
      </c>
      <c r="ES26">
        <v>0</v>
      </c>
      <c r="ET26">
        <v>93.82</v>
      </c>
      <c r="EU26">
        <v>24.04</v>
      </c>
      <c r="EV26">
        <v>1051.72</v>
      </c>
      <c r="EW26">
        <v>128.72999999999999</v>
      </c>
      <c r="EX26">
        <v>2.15</v>
      </c>
      <c r="EY26">
        <v>0</v>
      </c>
      <c r="FQ26">
        <v>0</v>
      </c>
      <c r="FR26">
        <f t="shared" si="44"/>
        <v>0</v>
      </c>
      <c r="FS26">
        <v>0</v>
      </c>
      <c r="FX26">
        <v>82</v>
      </c>
      <c r="FY26">
        <v>62</v>
      </c>
      <c r="GA26" t="s">
        <v>3</v>
      </c>
      <c r="GD26">
        <v>1</v>
      </c>
      <c r="GF26">
        <v>1691037270</v>
      </c>
      <c r="GG26">
        <v>2</v>
      </c>
      <c r="GH26">
        <v>1</v>
      </c>
      <c r="GI26">
        <v>2</v>
      </c>
      <c r="GJ26">
        <v>0</v>
      </c>
      <c r="GK26">
        <v>0</v>
      </c>
      <c r="GL26">
        <f t="shared" si="45"/>
        <v>0</v>
      </c>
      <c r="GM26">
        <f t="shared" si="46"/>
        <v>662678.34</v>
      </c>
      <c r="GN26">
        <f t="shared" si="47"/>
        <v>662678.34</v>
      </c>
      <c r="GO26">
        <f t="shared" si="48"/>
        <v>0</v>
      </c>
      <c r="GP26">
        <f t="shared" si="49"/>
        <v>0</v>
      </c>
      <c r="GR26">
        <v>0</v>
      </c>
      <c r="GS26">
        <v>3</v>
      </c>
      <c r="GT26">
        <v>0</v>
      </c>
      <c r="GU26" t="s">
        <v>3</v>
      </c>
      <c r="GV26">
        <f t="shared" si="50"/>
        <v>0</v>
      </c>
      <c r="GW26">
        <v>1</v>
      </c>
      <c r="GX26">
        <f t="shared" si="51"/>
        <v>0</v>
      </c>
      <c r="HA26">
        <v>0</v>
      </c>
      <c r="HB26">
        <v>0</v>
      </c>
      <c r="HC26">
        <f t="shared" si="52"/>
        <v>0</v>
      </c>
      <c r="HE26" t="s">
        <v>3</v>
      </c>
      <c r="HF26" t="s">
        <v>3</v>
      </c>
      <c r="IK26">
        <v>0</v>
      </c>
    </row>
    <row r="27" spans="1:245" x14ac:dyDescent="0.2">
      <c r="A27">
        <v>18</v>
      </c>
      <c r="B27">
        <v>1</v>
      </c>
      <c r="C27">
        <v>14</v>
      </c>
      <c r="E27" t="s">
        <v>38</v>
      </c>
      <c r="F27" t="s">
        <v>39</v>
      </c>
      <c r="G27" t="s">
        <v>40</v>
      </c>
      <c r="H27" t="s">
        <v>41</v>
      </c>
      <c r="I27">
        <f>I26*J27</f>
        <v>81.122600000000006</v>
      </c>
      <c r="J27">
        <v>10.66</v>
      </c>
      <c r="O27">
        <f t="shared" si="14"/>
        <v>0</v>
      </c>
      <c r="P27">
        <f t="shared" si="15"/>
        <v>0</v>
      </c>
      <c r="Q27">
        <f t="shared" si="16"/>
        <v>0</v>
      </c>
      <c r="R27">
        <f t="shared" si="17"/>
        <v>0</v>
      </c>
      <c r="S27">
        <f t="shared" si="18"/>
        <v>0</v>
      </c>
      <c r="T27">
        <f t="shared" si="19"/>
        <v>0</v>
      </c>
      <c r="U27">
        <f t="shared" si="20"/>
        <v>0</v>
      </c>
      <c r="V27">
        <f t="shared" si="21"/>
        <v>0</v>
      </c>
      <c r="W27">
        <f t="shared" si="22"/>
        <v>0</v>
      </c>
      <c r="X27">
        <f t="shared" si="23"/>
        <v>0</v>
      </c>
      <c r="Y27">
        <f t="shared" si="24"/>
        <v>0</v>
      </c>
      <c r="AA27">
        <v>31375913</v>
      </c>
      <c r="AB27">
        <f t="shared" si="25"/>
        <v>0</v>
      </c>
      <c r="AC27">
        <f t="shared" si="26"/>
        <v>0</v>
      </c>
      <c r="AD27">
        <f t="shared" si="27"/>
        <v>0</v>
      </c>
      <c r="AE27">
        <f t="shared" si="28"/>
        <v>0</v>
      </c>
      <c r="AF27">
        <f t="shared" si="28"/>
        <v>0</v>
      </c>
      <c r="AG27">
        <f t="shared" si="29"/>
        <v>0</v>
      </c>
      <c r="AH27">
        <f t="shared" si="30"/>
        <v>0</v>
      </c>
      <c r="AI27">
        <f t="shared" si="31"/>
        <v>0</v>
      </c>
      <c r="AJ27">
        <f t="shared" si="32"/>
        <v>0</v>
      </c>
      <c r="AK27">
        <v>0</v>
      </c>
      <c r="AL27">
        <v>0</v>
      </c>
      <c r="AM27">
        <v>0</v>
      </c>
      <c r="AN27">
        <v>0</v>
      </c>
      <c r="AO27">
        <v>0</v>
      </c>
      <c r="AP27">
        <v>0</v>
      </c>
      <c r="AQ27">
        <v>0</v>
      </c>
      <c r="AR27">
        <v>0</v>
      </c>
      <c r="AS27">
        <v>0</v>
      </c>
      <c r="AT27">
        <v>82</v>
      </c>
      <c r="AU27">
        <v>62</v>
      </c>
      <c r="AV27">
        <v>1</v>
      </c>
      <c r="AW27">
        <v>1</v>
      </c>
      <c r="AZ27">
        <v>1</v>
      </c>
      <c r="BA27">
        <v>1</v>
      </c>
      <c r="BB27">
        <v>1</v>
      </c>
      <c r="BC27">
        <v>1</v>
      </c>
      <c r="BD27" t="s">
        <v>3</v>
      </c>
      <c r="BE27" t="s">
        <v>3</v>
      </c>
      <c r="BF27" t="s">
        <v>3</v>
      </c>
      <c r="BG27" t="s">
        <v>3</v>
      </c>
      <c r="BH27">
        <v>3</v>
      </c>
      <c r="BI27">
        <v>1</v>
      </c>
      <c r="BJ27" t="s">
        <v>42</v>
      </c>
      <c r="BM27">
        <v>56001</v>
      </c>
      <c r="BN27">
        <v>0</v>
      </c>
      <c r="BO27" t="s">
        <v>3</v>
      </c>
      <c r="BP27">
        <v>0</v>
      </c>
      <c r="BQ27">
        <v>6</v>
      </c>
      <c r="BR27">
        <v>0</v>
      </c>
      <c r="BS27">
        <v>1</v>
      </c>
      <c r="BT27">
        <v>1</v>
      </c>
      <c r="BU27">
        <v>1</v>
      </c>
      <c r="BV27">
        <v>1</v>
      </c>
      <c r="BW27">
        <v>1</v>
      </c>
      <c r="BX27">
        <v>1</v>
      </c>
      <c r="BY27" t="s">
        <v>3</v>
      </c>
      <c r="BZ27">
        <v>82</v>
      </c>
      <c r="CA27">
        <v>62</v>
      </c>
      <c r="CE27">
        <v>0</v>
      </c>
      <c r="CF27">
        <v>0</v>
      </c>
      <c r="CG27">
        <v>0</v>
      </c>
      <c r="CM27">
        <v>0</v>
      </c>
      <c r="CN27" t="s">
        <v>3</v>
      </c>
      <c r="CO27">
        <v>0</v>
      </c>
      <c r="CP27">
        <f t="shared" si="33"/>
        <v>0</v>
      </c>
      <c r="CQ27">
        <f t="shared" si="34"/>
        <v>0</v>
      </c>
      <c r="CR27">
        <f t="shared" si="35"/>
        <v>0</v>
      </c>
      <c r="CS27">
        <f t="shared" si="36"/>
        <v>0</v>
      </c>
      <c r="CT27">
        <f t="shared" si="37"/>
        <v>0</v>
      </c>
      <c r="CU27">
        <f t="shared" si="38"/>
        <v>0</v>
      </c>
      <c r="CV27">
        <f t="shared" si="39"/>
        <v>0</v>
      </c>
      <c r="CW27">
        <f t="shared" si="40"/>
        <v>0</v>
      </c>
      <c r="CX27">
        <f t="shared" si="41"/>
        <v>0</v>
      </c>
      <c r="CY27">
        <f t="shared" si="42"/>
        <v>0</v>
      </c>
      <c r="CZ27">
        <f t="shared" si="43"/>
        <v>0</v>
      </c>
      <c r="DC27" t="s">
        <v>3</v>
      </c>
      <c r="DD27" t="s">
        <v>3</v>
      </c>
      <c r="DE27" t="s">
        <v>3</v>
      </c>
      <c r="DF27" t="s">
        <v>3</v>
      </c>
      <c r="DG27" t="s">
        <v>3</v>
      </c>
      <c r="DH27" t="s">
        <v>3</v>
      </c>
      <c r="DI27" t="s">
        <v>3</v>
      </c>
      <c r="DJ27" t="s">
        <v>3</v>
      </c>
      <c r="DK27" t="s">
        <v>3</v>
      </c>
      <c r="DL27" t="s">
        <v>3</v>
      </c>
      <c r="DM27" t="s">
        <v>3</v>
      </c>
      <c r="DN27">
        <v>0</v>
      </c>
      <c r="DO27">
        <v>0</v>
      </c>
      <c r="DP27">
        <v>1</v>
      </c>
      <c r="DQ27">
        <v>1</v>
      </c>
      <c r="DU27">
        <v>1009</v>
      </c>
      <c r="DV27" t="s">
        <v>41</v>
      </c>
      <c r="DW27" t="s">
        <v>41</v>
      </c>
      <c r="DX27">
        <v>1000</v>
      </c>
      <c r="DZ27" t="s">
        <v>3</v>
      </c>
      <c r="EA27" t="s">
        <v>3</v>
      </c>
      <c r="EB27" t="s">
        <v>3</v>
      </c>
      <c r="EC27" t="s">
        <v>3</v>
      </c>
      <c r="EE27">
        <v>31192370</v>
      </c>
      <c r="EF27">
        <v>6</v>
      </c>
      <c r="EG27" t="s">
        <v>35</v>
      </c>
      <c r="EH27">
        <v>0</v>
      </c>
      <c r="EI27" t="s">
        <v>3</v>
      </c>
      <c r="EJ27">
        <v>1</v>
      </c>
      <c r="EK27">
        <v>56001</v>
      </c>
      <c r="EL27" t="s">
        <v>36</v>
      </c>
      <c r="EM27" t="s">
        <v>37</v>
      </c>
      <c r="EO27" t="s">
        <v>3</v>
      </c>
      <c r="EQ27">
        <v>0</v>
      </c>
      <c r="ER27">
        <v>0</v>
      </c>
      <c r="ES27">
        <v>0</v>
      </c>
      <c r="ET27">
        <v>0</v>
      </c>
      <c r="EU27">
        <v>0</v>
      </c>
      <c r="EV27">
        <v>0</v>
      </c>
      <c r="EW27">
        <v>0</v>
      </c>
      <c r="EX27">
        <v>0</v>
      </c>
      <c r="FQ27">
        <v>0</v>
      </c>
      <c r="FR27">
        <f t="shared" si="44"/>
        <v>0</v>
      </c>
      <c r="FS27">
        <v>0</v>
      </c>
      <c r="FX27">
        <v>82</v>
      </c>
      <c r="FY27">
        <v>62</v>
      </c>
      <c r="GA27" t="s">
        <v>3</v>
      </c>
      <c r="GD27">
        <v>1</v>
      </c>
      <c r="GF27">
        <v>1876412176</v>
      </c>
      <c r="GG27">
        <v>2</v>
      </c>
      <c r="GH27">
        <v>1</v>
      </c>
      <c r="GI27">
        <v>-2</v>
      </c>
      <c r="GJ27">
        <v>0</v>
      </c>
      <c r="GK27">
        <v>0</v>
      </c>
      <c r="GL27">
        <f t="shared" si="45"/>
        <v>0</v>
      </c>
      <c r="GM27">
        <f t="shared" si="46"/>
        <v>0</v>
      </c>
      <c r="GN27">
        <f t="shared" si="47"/>
        <v>0</v>
      </c>
      <c r="GO27">
        <f t="shared" si="48"/>
        <v>0</v>
      </c>
      <c r="GP27">
        <f t="shared" si="49"/>
        <v>0</v>
      </c>
      <c r="GR27">
        <v>0</v>
      </c>
      <c r="GS27">
        <v>3</v>
      </c>
      <c r="GT27">
        <v>0</v>
      </c>
      <c r="GU27" t="s">
        <v>3</v>
      </c>
      <c r="GV27">
        <f t="shared" si="50"/>
        <v>0</v>
      </c>
      <c r="GW27">
        <v>1</v>
      </c>
      <c r="GX27">
        <f t="shared" si="51"/>
        <v>0</v>
      </c>
      <c r="HA27">
        <v>0</v>
      </c>
      <c r="HB27">
        <v>0</v>
      </c>
      <c r="HC27">
        <f t="shared" si="52"/>
        <v>0</v>
      </c>
      <c r="HE27" t="s">
        <v>3</v>
      </c>
      <c r="HF27" t="s">
        <v>3</v>
      </c>
      <c r="IK27">
        <v>0</v>
      </c>
    </row>
    <row r="28" spans="1:245" x14ac:dyDescent="0.2">
      <c r="A28">
        <v>17</v>
      </c>
      <c r="B28">
        <v>1</v>
      </c>
      <c r="C28">
        <f>ROW(SmtRes!A27)</f>
        <v>27</v>
      </c>
      <c r="D28">
        <f>ROW(EtalonRes!A27)</f>
        <v>27</v>
      </c>
      <c r="E28" t="s">
        <v>43</v>
      </c>
      <c r="F28" t="s">
        <v>44</v>
      </c>
      <c r="G28" t="s">
        <v>45</v>
      </c>
      <c r="H28" t="s">
        <v>46</v>
      </c>
      <c r="I28">
        <f>ROUND(1337.3/100,9)</f>
        <v>13.372999999999999</v>
      </c>
      <c r="J28">
        <v>0</v>
      </c>
      <c r="O28">
        <f t="shared" si="14"/>
        <v>6927065.1299999999</v>
      </c>
      <c r="P28">
        <f t="shared" si="15"/>
        <v>6130866.1299999999</v>
      </c>
      <c r="Q28">
        <f t="shared" si="16"/>
        <v>71713.66</v>
      </c>
      <c r="R28">
        <f t="shared" si="17"/>
        <v>10501.39</v>
      </c>
      <c r="S28">
        <f t="shared" si="18"/>
        <v>724485.34</v>
      </c>
      <c r="T28">
        <f t="shared" si="19"/>
        <v>0</v>
      </c>
      <c r="U28">
        <f t="shared" si="20"/>
        <v>2508.1061500000001</v>
      </c>
      <c r="V28">
        <f t="shared" si="21"/>
        <v>23.536479999999997</v>
      </c>
      <c r="W28">
        <f t="shared" si="22"/>
        <v>0</v>
      </c>
      <c r="X28">
        <f t="shared" si="23"/>
        <v>779085.93</v>
      </c>
      <c r="Y28">
        <f t="shared" si="24"/>
        <v>396892.83</v>
      </c>
      <c r="AA28">
        <v>31375913</v>
      </c>
      <c r="AB28">
        <f t="shared" si="25"/>
        <v>318300.28999999998</v>
      </c>
      <c r="AC28">
        <f t="shared" si="26"/>
        <v>316173.15000000002</v>
      </c>
      <c r="AD28">
        <f t="shared" si="27"/>
        <v>487.95</v>
      </c>
      <c r="AE28">
        <f t="shared" si="28"/>
        <v>23.76</v>
      </c>
      <c r="AF28">
        <f t="shared" si="28"/>
        <v>1639.19</v>
      </c>
      <c r="AG28">
        <f t="shared" si="29"/>
        <v>0</v>
      </c>
      <c r="AH28">
        <f t="shared" si="30"/>
        <v>187.55</v>
      </c>
      <c r="AI28">
        <f t="shared" si="31"/>
        <v>1.76</v>
      </c>
      <c r="AJ28">
        <f t="shared" si="32"/>
        <v>0</v>
      </c>
      <c r="AK28">
        <v>318300.28999999998</v>
      </c>
      <c r="AL28">
        <v>316173.15000000002</v>
      </c>
      <c r="AM28">
        <v>487.95</v>
      </c>
      <c r="AN28">
        <v>23.76</v>
      </c>
      <c r="AO28">
        <v>1639.19</v>
      </c>
      <c r="AP28">
        <v>0</v>
      </c>
      <c r="AQ28">
        <v>187.55</v>
      </c>
      <c r="AR28">
        <v>1.76</v>
      </c>
      <c r="AS28">
        <v>0</v>
      </c>
      <c r="AT28">
        <v>106</v>
      </c>
      <c r="AU28">
        <v>54</v>
      </c>
      <c r="AV28">
        <v>1</v>
      </c>
      <c r="AW28">
        <v>1</v>
      </c>
      <c r="AZ28">
        <v>1</v>
      </c>
      <c r="BA28">
        <v>33.049999999999997</v>
      </c>
      <c r="BB28">
        <v>10.99</v>
      </c>
      <c r="BC28">
        <v>1.45</v>
      </c>
      <c r="BD28" t="s">
        <v>3</v>
      </c>
      <c r="BE28" t="s">
        <v>3</v>
      </c>
      <c r="BF28" t="s">
        <v>3</v>
      </c>
      <c r="BG28" t="s">
        <v>3</v>
      </c>
      <c r="BH28">
        <v>0</v>
      </c>
      <c r="BI28">
        <v>1</v>
      </c>
      <c r="BJ28" t="s">
        <v>47</v>
      </c>
      <c r="BM28">
        <v>10001</v>
      </c>
      <c r="BN28">
        <v>0</v>
      </c>
      <c r="BO28" t="s">
        <v>44</v>
      </c>
      <c r="BP28">
        <v>1</v>
      </c>
      <c r="BQ28">
        <v>2</v>
      </c>
      <c r="BR28">
        <v>0</v>
      </c>
      <c r="BS28">
        <v>33.049999999999997</v>
      </c>
      <c r="BT28">
        <v>1</v>
      </c>
      <c r="BU28">
        <v>1</v>
      </c>
      <c r="BV28">
        <v>1</v>
      </c>
      <c r="BW28">
        <v>1</v>
      </c>
      <c r="BX28">
        <v>1</v>
      </c>
      <c r="BY28" t="s">
        <v>3</v>
      </c>
      <c r="BZ28">
        <v>118</v>
      </c>
      <c r="CA28">
        <v>63</v>
      </c>
      <c r="CE28">
        <v>0</v>
      </c>
      <c r="CF28">
        <v>0</v>
      </c>
      <c r="CG28">
        <v>0</v>
      </c>
      <c r="CM28">
        <v>0</v>
      </c>
      <c r="CN28" t="s">
        <v>3</v>
      </c>
      <c r="CO28">
        <v>0</v>
      </c>
      <c r="CP28">
        <f t="shared" si="33"/>
        <v>6927065.1299999999</v>
      </c>
      <c r="CQ28">
        <f t="shared" si="34"/>
        <v>458451.0675</v>
      </c>
      <c r="CR28">
        <f t="shared" si="35"/>
        <v>5362.5704999999998</v>
      </c>
      <c r="CS28">
        <f t="shared" si="36"/>
        <v>785.26800000000003</v>
      </c>
      <c r="CT28">
        <f t="shared" si="37"/>
        <v>54175.229499999994</v>
      </c>
      <c r="CU28">
        <f t="shared" si="38"/>
        <v>0</v>
      </c>
      <c r="CV28">
        <f t="shared" si="39"/>
        <v>187.55</v>
      </c>
      <c r="CW28">
        <f t="shared" si="40"/>
        <v>1.76</v>
      </c>
      <c r="CX28">
        <f t="shared" si="41"/>
        <v>0</v>
      </c>
      <c r="CY28">
        <f t="shared" si="42"/>
        <v>779085.9338</v>
      </c>
      <c r="CZ28">
        <f t="shared" si="43"/>
        <v>396892.83420000004</v>
      </c>
      <c r="DC28" t="s">
        <v>3</v>
      </c>
      <c r="DD28" t="s">
        <v>3</v>
      </c>
      <c r="DE28" t="s">
        <v>3</v>
      </c>
      <c r="DF28" t="s">
        <v>3</v>
      </c>
      <c r="DG28" t="s">
        <v>3</v>
      </c>
      <c r="DH28" t="s">
        <v>3</v>
      </c>
      <c r="DI28" t="s">
        <v>3</v>
      </c>
      <c r="DJ28" t="s">
        <v>3</v>
      </c>
      <c r="DK28" t="s">
        <v>3</v>
      </c>
      <c r="DL28" t="s">
        <v>3</v>
      </c>
      <c r="DM28" t="s">
        <v>3</v>
      </c>
      <c r="DN28">
        <v>0</v>
      </c>
      <c r="DO28">
        <v>0</v>
      </c>
      <c r="DP28">
        <v>1</v>
      </c>
      <c r="DQ28">
        <v>1</v>
      </c>
      <c r="DU28">
        <v>1013</v>
      </c>
      <c r="DV28" t="s">
        <v>46</v>
      </c>
      <c r="DW28" t="s">
        <v>46</v>
      </c>
      <c r="DX28">
        <v>1</v>
      </c>
      <c r="DZ28" t="s">
        <v>3</v>
      </c>
      <c r="EA28" t="s">
        <v>3</v>
      </c>
      <c r="EB28" t="s">
        <v>3</v>
      </c>
      <c r="EC28" t="s">
        <v>3</v>
      </c>
      <c r="EE28">
        <v>31192292</v>
      </c>
      <c r="EF28">
        <v>2</v>
      </c>
      <c r="EG28" t="s">
        <v>18</v>
      </c>
      <c r="EH28">
        <v>0</v>
      </c>
      <c r="EI28" t="s">
        <v>3</v>
      </c>
      <c r="EJ28">
        <v>1</v>
      </c>
      <c r="EK28">
        <v>10001</v>
      </c>
      <c r="EL28" t="s">
        <v>48</v>
      </c>
      <c r="EM28" t="s">
        <v>49</v>
      </c>
      <c r="EO28" t="s">
        <v>3</v>
      </c>
      <c r="EQ28">
        <v>0</v>
      </c>
      <c r="ER28">
        <v>318300.28999999998</v>
      </c>
      <c r="ES28">
        <v>316173.15000000002</v>
      </c>
      <c r="ET28">
        <v>487.95</v>
      </c>
      <c r="EU28">
        <v>23.76</v>
      </c>
      <c r="EV28">
        <v>1639.19</v>
      </c>
      <c r="EW28">
        <v>187.55</v>
      </c>
      <c r="EX28">
        <v>1.76</v>
      </c>
      <c r="EY28">
        <v>0</v>
      </c>
      <c r="FQ28">
        <v>0</v>
      </c>
      <c r="FR28">
        <f t="shared" si="44"/>
        <v>0</v>
      </c>
      <c r="FS28">
        <v>0</v>
      </c>
      <c r="FT28" t="s">
        <v>21</v>
      </c>
      <c r="FU28" t="s">
        <v>22</v>
      </c>
      <c r="FX28">
        <v>106.2</v>
      </c>
      <c r="FY28">
        <v>53.55</v>
      </c>
      <c r="GA28" t="s">
        <v>3</v>
      </c>
      <c r="GD28">
        <v>1</v>
      </c>
      <c r="GF28">
        <v>-1340475114</v>
      </c>
      <c r="GG28">
        <v>2</v>
      </c>
      <c r="GH28">
        <v>1</v>
      </c>
      <c r="GI28">
        <v>2</v>
      </c>
      <c r="GJ28">
        <v>0</v>
      </c>
      <c r="GK28">
        <v>0</v>
      </c>
      <c r="GL28">
        <f t="shared" si="45"/>
        <v>0</v>
      </c>
      <c r="GM28">
        <f t="shared" si="46"/>
        <v>8103043.8899999997</v>
      </c>
      <c r="GN28">
        <f t="shared" si="47"/>
        <v>8103043.8899999997</v>
      </c>
      <c r="GO28">
        <f t="shared" si="48"/>
        <v>0</v>
      </c>
      <c r="GP28">
        <f t="shared" si="49"/>
        <v>0</v>
      </c>
      <c r="GR28">
        <v>0</v>
      </c>
      <c r="GS28">
        <v>3</v>
      </c>
      <c r="GT28">
        <v>0</v>
      </c>
      <c r="GU28" t="s">
        <v>3</v>
      </c>
      <c r="GV28">
        <f t="shared" si="50"/>
        <v>0</v>
      </c>
      <c r="GW28">
        <v>1</v>
      </c>
      <c r="GX28">
        <f t="shared" si="51"/>
        <v>0</v>
      </c>
      <c r="HA28">
        <v>0</v>
      </c>
      <c r="HB28">
        <v>0</v>
      </c>
      <c r="HC28">
        <f t="shared" si="52"/>
        <v>0</v>
      </c>
      <c r="HE28" t="s">
        <v>3</v>
      </c>
      <c r="HF28" t="s">
        <v>3</v>
      </c>
      <c r="IK28">
        <v>0</v>
      </c>
    </row>
    <row r="29" spans="1:245" x14ac:dyDescent="0.2">
      <c r="A29">
        <v>17</v>
      </c>
      <c r="B29">
        <v>1</v>
      </c>
      <c r="C29">
        <f>ROW(SmtRes!A34)</f>
        <v>34</v>
      </c>
      <c r="D29">
        <f>ROW(EtalonRes!A34)</f>
        <v>34</v>
      </c>
      <c r="E29" t="s">
        <v>50</v>
      </c>
      <c r="F29" t="s">
        <v>51</v>
      </c>
      <c r="G29" t="s">
        <v>52</v>
      </c>
      <c r="H29" t="s">
        <v>53</v>
      </c>
      <c r="I29">
        <f>ROUND(145.37/100,9)</f>
        <v>1.4537</v>
      </c>
      <c r="J29">
        <v>0</v>
      </c>
      <c r="O29">
        <f t="shared" si="14"/>
        <v>146853.21</v>
      </c>
      <c r="P29">
        <f t="shared" si="15"/>
        <v>100292.19</v>
      </c>
      <c r="Q29">
        <f t="shared" si="16"/>
        <v>353.47</v>
      </c>
      <c r="R29">
        <f t="shared" si="17"/>
        <v>129.72</v>
      </c>
      <c r="S29">
        <f t="shared" si="18"/>
        <v>46207.55</v>
      </c>
      <c r="T29">
        <f t="shared" si="19"/>
        <v>0</v>
      </c>
      <c r="U29">
        <f t="shared" si="20"/>
        <v>163.904675</v>
      </c>
      <c r="V29">
        <f t="shared" si="21"/>
        <v>0.29074</v>
      </c>
      <c r="W29">
        <f t="shared" si="22"/>
        <v>0</v>
      </c>
      <c r="X29">
        <f t="shared" si="23"/>
        <v>50044.25</v>
      </c>
      <c r="Y29">
        <f t="shared" si="24"/>
        <v>25485.5</v>
      </c>
      <c r="AA29">
        <v>31375913</v>
      </c>
      <c r="AB29">
        <f t="shared" si="25"/>
        <v>9875.73</v>
      </c>
      <c r="AC29">
        <f t="shared" si="26"/>
        <v>8890.59</v>
      </c>
      <c r="AD29">
        <f t="shared" si="27"/>
        <v>23.38</v>
      </c>
      <c r="AE29">
        <f t="shared" si="28"/>
        <v>2.7</v>
      </c>
      <c r="AF29">
        <f t="shared" si="28"/>
        <v>961.76</v>
      </c>
      <c r="AG29">
        <f t="shared" si="29"/>
        <v>0</v>
      </c>
      <c r="AH29">
        <f t="shared" si="30"/>
        <v>112.75</v>
      </c>
      <c r="AI29">
        <f t="shared" si="31"/>
        <v>0.2</v>
      </c>
      <c r="AJ29">
        <f t="shared" si="32"/>
        <v>0</v>
      </c>
      <c r="AK29">
        <v>9875.73</v>
      </c>
      <c r="AL29">
        <v>8890.59</v>
      </c>
      <c r="AM29">
        <v>23.38</v>
      </c>
      <c r="AN29">
        <v>2.7</v>
      </c>
      <c r="AO29">
        <v>961.76</v>
      </c>
      <c r="AP29">
        <v>0</v>
      </c>
      <c r="AQ29">
        <v>112.75</v>
      </c>
      <c r="AR29">
        <v>0.2</v>
      </c>
      <c r="AS29">
        <v>0</v>
      </c>
      <c r="AT29">
        <v>108</v>
      </c>
      <c r="AU29">
        <v>55</v>
      </c>
      <c r="AV29">
        <v>1</v>
      </c>
      <c r="AW29">
        <v>1</v>
      </c>
      <c r="AZ29">
        <v>1</v>
      </c>
      <c r="BA29">
        <v>33.049999999999997</v>
      </c>
      <c r="BB29">
        <v>10.4</v>
      </c>
      <c r="BC29">
        <v>7.76</v>
      </c>
      <c r="BD29" t="s">
        <v>3</v>
      </c>
      <c r="BE29" t="s">
        <v>3</v>
      </c>
      <c r="BF29" t="s">
        <v>3</v>
      </c>
      <c r="BG29" t="s">
        <v>3</v>
      </c>
      <c r="BH29">
        <v>0</v>
      </c>
      <c r="BI29">
        <v>1</v>
      </c>
      <c r="BJ29" t="s">
        <v>54</v>
      </c>
      <c r="BM29">
        <v>12001</v>
      </c>
      <c r="BN29">
        <v>0</v>
      </c>
      <c r="BO29" t="s">
        <v>51</v>
      </c>
      <c r="BP29">
        <v>1</v>
      </c>
      <c r="BQ29">
        <v>2</v>
      </c>
      <c r="BR29">
        <v>0</v>
      </c>
      <c r="BS29">
        <v>33.049999999999997</v>
      </c>
      <c r="BT29">
        <v>1</v>
      </c>
      <c r="BU29">
        <v>1</v>
      </c>
      <c r="BV29">
        <v>1</v>
      </c>
      <c r="BW29">
        <v>1</v>
      </c>
      <c r="BX29">
        <v>1</v>
      </c>
      <c r="BY29" t="s">
        <v>3</v>
      </c>
      <c r="BZ29">
        <v>120</v>
      </c>
      <c r="CA29">
        <v>65</v>
      </c>
      <c r="CE29">
        <v>0</v>
      </c>
      <c r="CF29">
        <v>0</v>
      </c>
      <c r="CG29">
        <v>0</v>
      </c>
      <c r="CM29">
        <v>0</v>
      </c>
      <c r="CN29" t="s">
        <v>3</v>
      </c>
      <c r="CO29">
        <v>0</v>
      </c>
      <c r="CP29">
        <f t="shared" si="33"/>
        <v>146853.21000000002</v>
      </c>
      <c r="CQ29">
        <f t="shared" si="34"/>
        <v>68990.978399999993</v>
      </c>
      <c r="CR29">
        <f t="shared" si="35"/>
        <v>243.15199999999999</v>
      </c>
      <c r="CS29">
        <f t="shared" si="36"/>
        <v>89.234999999999999</v>
      </c>
      <c r="CT29">
        <f t="shared" si="37"/>
        <v>31786.167999999998</v>
      </c>
      <c r="CU29">
        <f t="shared" si="38"/>
        <v>0</v>
      </c>
      <c r="CV29">
        <f t="shared" si="39"/>
        <v>112.75</v>
      </c>
      <c r="CW29">
        <f t="shared" si="40"/>
        <v>0.2</v>
      </c>
      <c r="CX29">
        <f t="shared" si="41"/>
        <v>0</v>
      </c>
      <c r="CY29">
        <f t="shared" si="42"/>
        <v>50044.251600000003</v>
      </c>
      <c r="CZ29">
        <f t="shared" si="43"/>
        <v>25485.498500000002</v>
      </c>
      <c r="DC29" t="s">
        <v>3</v>
      </c>
      <c r="DD29" t="s">
        <v>3</v>
      </c>
      <c r="DE29" t="s">
        <v>3</v>
      </c>
      <c r="DF29" t="s">
        <v>3</v>
      </c>
      <c r="DG29" t="s">
        <v>3</v>
      </c>
      <c r="DH29" t="s">
        <v>3</v>
      </c>
      <c r="DI29" t="s">
        <v>3</v>
      </c>
      <c r="DJ29" t="s">
        <v>3</v>
      </c>
      <c r="DK29" t="s">
        <v>3</v>
      </c>
      <c r="DL29" t="s">
        <v>3</v>
      </c>
      <c r="DM29" t="s">
        <v>3</v>
      </c>
      <c r="DN29">
        <v>0</v>
      </c>
      <c r="DO29">
        <v>0</v>
      </c>
      <c r="DP29">
        <v>1</v>
      </c>
      <c r="DQ29">
        <v>1</v>
      </c>
      <c r="DU29">
        <v>1013</v>
      </c>
      <c r="DV29" t="s">
        <v>53</v>
      </c>
      <c r="DW29" t="s">
        <v>53</v>
      </c>
      <c r="DX29">
        <v>1</v>
      </c>
      <c r="DZ29" t="s">
        <v>3</v>
      </c>
      <c r="EA29" t="s">
        <v>3</v>
      </c>
      <c r="EB29" t="s">
        <v>3</v>
      </c>
      <c r="EC29" t="s">
        <v>3</v>
      </c>
      <c r="EE29">
        <v>31192294</v>
      </c>
      <c r="EF29">
        <v>2</v>
      </c>
      <c r="EG29" t="s">
        <v>18</v>
      </c>
      <c r="EH29">
        <v>0</v>
      </c>
      <c r="EI29" t="s">
        <v>3</v>
      </c>
      <c r="EJ29">
        <v>1</v>
      </c>
      <c r="EK29">
        <v>12001</v>
      </c>
      <c r="EL29" t="s">
        <v>55</v>
      </c>
      <c r="EM29" t="s">
        <v>56</v>
      </c>
      <c r="EO29" t="s">
        <v>3</v>
      </c>
      <c r="EQ29">
        <v>0</v>
      </c>
      <c r="ER29">
        <v>9875.73</v>
      </c>
      <c r="ES29">
        <v>8890.59</v>
      </c>
      <c r="ET29">
        <v>23.38</v>
      </c>
      <c r="EU29">
        <v>2.7</v>
      </c>
      <c r="EV29">
        <v>961.76</v>
      </c>
      <c r="EW29">
        <v>112.75</v>
      </c>
      <c r="EX29">
        <v>0.2</v>
      </c>
      <c r="EY29">
        <v>0</v>
      </c>
      <c r="FQ29">
        <v>0</v>
      </c>
      <c r="FR29">
        <f t="shared" si="44"/>
        <v>0</v>
      </c>
      <c r="FS29">
        <v>0</v>
      </c>
      <c r="FT29" t="s">
        <v>21</v>
      </c>
      <c r="FU29" t="s">
        <v>22</v>
      </c>
      <c r="FX29">
        <v>108</v>
      </c>
      <c r="FY29">
        <v>55.25</v>
      </c>
      <c r="GA29" t="s">
        <v>3</v>
      </c>
      <c r="GD29">
        <v>1</v>
      </c>
      <c r="GF29">
        <v>1856318167</v>
      </c>
      <c r="GG29">
        <v>2</v>
      </c>
      <c r="GH29">
        <v>1</v>
      </c>
      <c r="GI29">
        <v>2</v>
      </c>
      <c r="GJ29">
        <v>0</v>
      </c>
      <c r="GK29">
        <v>0</v>
      </c>
      <c r="GL29">
        <f t="shared" si="45"/>
        <v>0</v>
      </c>
      <c r="GM29">
        <f t="shared" si="46"/>
        <v>222382.96</v>
      </c>
      <c r="GN29">
        <f t="shared" si="47"/>
        <v>222382.96</v>
      </c>
      <c r="GO29">
        <f t="shared" si="48"/>
        <v>0</v>
      </c>
      <c r="GP29">
        <f t="shared" si="49"/>
        <v>0</v>
      </c>
      <c r="GR29">
        <v>0</v>
      </c>
      <c r="GS29">
        <v>3</v>
      </c>
      <c r="GT29">
        <v>0</v>
      </c>
      <c r="GU29" t="s">
        <v>3</v>
      </c>
      <c r="GV29">
        <f t="shared" si="50"/>
        <v>0</v>
      </c>
      <c r="GW29">
        <v>1</v>
      </c>
      <c r="GX29">
        <f t="shared" si="51"/>
        <v>0</v>
      </c>
      <c r="HA29">
        <v>0</v>
      </c>
      <c r="HB29">
        <v>0</v>
      </c>
      <c r="HC29">
        <f t="shared" si="52"/>
        <v>0</v>
      </c>
      <c r="HE29" t="s">
        <v>3</v>
      </c>
      <c r="HF29" t="s">
        <v>3</v>
      </c>
      <c r="IK29">
        <v>0</v>
      </c>
    </row>
    <row r="30" spans="1:245" x14ac:dyDescent="0.2">
      <c r="A30">
        <v>17</v>
      </c>
      <c r="B30">
        <v>1</v>
      </c>
      <c r="C30">
        <f>ROW(SmtRes!A36)</f>
        <v>36</v>
      </c>
      <c r="D30">
        <f>ROW(EtalonRes!A36)</f>
        <v>36</v>
      </c>
      <c r="E30" t="s">
        <v>57</v>
      </c>
      <c r="F30" t="s">
        <v>58</v>
      </c>
      <c r="G30" t="s">
        <v>59</v>
      </c>
      <c r="H30" t="s">
        <v>60</v>
      </c>
      <c r="I30">
        <f>ROUND(81.13/100,9)</f>
        <v>0.81130000000000002</v>
      </c>
      <c r="J30">
        <v>0</v>
      </c>
      <c r="O30">
        <f t="shared" si="14"/>
        <v>41663.300000000003</v>
      </c>
      <c r="P30">
        <f t="shared" si="15"/>
        <v>0</v>
      </c>
      <c r="Q30">
        <f t="shared" si="16"/>
        <v>0</v>
      </c>
      <c r="R30">
        <f t="shared" si="17"/>
        <v>0</v>
      </c>
      <c r="S30">
        <f t="shared" si="18"/>
        <v>41663.300000000003</v>
      </c>
      <c r="T30">
        <f t="shared" si="19"/>
        <v>0</v>
      </c>
      <c r="U30">
        <f t="shared" si="20"/>
        <v>173.877816</v>
      </c>
      <c r="V30">
        <f t="shared" si="21"/>
        <v>0</v>
      </c>
      <c r="W30">
        <f t="shared" si="22"/>
        <v>0</v>
      </c>
      <c r="X30">
        <f t="shared" si="23"/>
        <v>32497.37</v>
      </c>
      <c r="Y30">
        <f t="shared" si="24"/>
        <v>20831.650000000001</v>
      </c>
      <c r="AA30">
        <v>31375913</v>
      </c>
      <c r="AB30">
        <f t="shared" si="25"/>
        <v>1553.82</v>
      </c>
      <c r="AC30">
        <f t="shared" si="26"/>
        <v>0</v>
      </c>
      <c r="AD30">
        <f t="shared" si="27"/>
        <v>0</v>
      </c>
      <c r="AE30">
        <f t="shared" si="28"/>
        <v>0</v>
      </c>
      <c r="AF30">
        <f t="shared" si="28"/>
        <v>1553.82</v>
      </c>
      <c r="AG30">
        <f t="shared" si="29"/>
        <v>0</v>
      </c>
      <c r="AH30">
        <f t="shared" si="30"/>
        <v>214.32</v>
      </c>
      <c r="AI30">
        <f t="shared" si="31"/>
        <v>0</v>
      </c>
      <c r="AJ30">
        <f t="shared" si="32"/>
        <v>0</v>
      </c>
      <c r="AK30">
        <v>1553.82</v>
      </c>
      <c r="AL30">
        <v>0</v>
      </c>
      <c r="AM30">
        <v>0</v>
      </c>
      <c r="AN30">
        <v>0</v>
      </c>
      <c r="AO30">
        <v>1553.82</v>
      </c>
      <c r="AP30">
        <v>0</v>
      </c>
      <c r="AQ30">
        <v>214.32</v>
      </c>
      <c r="AR30">
        <v>0</v>
      </c>
      <c r="AS30">
        <v>0</v>
      </c>
      <c r="AT30">
        <v>78</v>
      </c>
      <c r="AU30">
        <v>50</v>
      </c>
      <c r="AV30">
        <v>1</v>
      </c>
      <c r="AW30">
        <v>1</v>
      </c>
      <c r="AZ30">
        <v>1</v>
      </c>
      <c r="BA30">
        <v>33.049999999999997</v>
      </c>
      <c r="BB30">
        <v>1</v>
      </c>
      <c r="BC30">
        <v>1</v>
      </c>
      <c r="BD30" t="s">
        <v>3</v>
      </c>
      <c r="BE30" t="s">
        <v>3</v>
      </c>
      <c r="BF30" t="s">
        <v>3</v>
      </c>
      <c r="BG30" t="s">
        <v>3</v>
      </c>
      <c r="BH30">
        <v>0</v>
      </c>
      <c r="BI30">
        <v>1</v>
      </c>
      <c r="BJ30" t="s">
        <v>61</v>
      </c>
      <c r="BM30">
        <v>69001</v>
      </c>
      <c r="BN30">
        <v>0</v>
      </c>
      <c r="BO30" t="s">
        <v>58</v>
      </c>
      <c r="BP30">
        <v>1</v>
      </c>
      <c r="BQ30">
        <v>6</v>
      </c>
      <c r="BR30">
        <v>0</v>
      </c>
      <c r="BS30">
        <v>33.049999999999997</v>
      </c>
      <c r="BT30">
        <v>1</v>
      </c>
      <c r="BU30">
        <v>1</v>
      </c>
      <c r="BV30">
        <v>1</v>
      </c>
      <c r="BW30">
        <v>1</v>
      </c>
      <c r="BX30">
        <v>1</v>
      </c>
      <c r="BY30" t="s">
        <v>3</v>
      </c>
      <c r="BZ30">
        <v>78</v>
      </c>
      <c r="CA30">
        <v>50</v>
      </c>
      <c r="CE30">
        <v>0</v>
      </c>
      <c r="CF30">
        <v>0</v>
      </c>
      <c r="CG30">
        <v>0</v>
      </c>
      <c r="CM30">
        <v>0</v>
      </c>
      <c r="CN30" t="s">
        <v>3</v>
      </c>
      <c r="CO30">
        <v>0</v>
      </c>
      <c r="CP30">
        <f t="shared" si="33"/>
        <v>41663.300000000003</v>
      </c>
      <c r="CQ30">
        <f t="shared" si="34"/>
        <v>0</v>
      </c>
      <c r="CR30">
        <f t="shared" si="35"/>
        <v>0</v>
      </c>
      <c r="CS30">
        <f t="shared" si="36"/>
        <v>0</v>
      </c>
      <c r="CT30">
        <f t="shared" si="37"/>
        <v>51353.750999999997</v>
      </c>
      <c r="CU30">
        <f t="shared" si="38"/>
        <v>0</v>
      </c>
      <c r="CV30">
        <f t="shared" si="39"/>
        <v>214.32</v>
      </c>
      <c r="CW30">
        <f t="shared" si="40"/>
        <v>0</v>
      </c>
      <c r="CX30">
        <f t="shared" si="41"/>
        <v>0</v>
      </c>
      <c r="CY30">
        <f t="shared" si="42"/>
        <v>32497.374000000003</v>
      </c>
      <c r="CZ30">
        <f t="shared" si="43"/>
        <v>20831.650000000001</v>
      </c>
      <c r="DC30" t="s">
        <v>3</v>
      </c>
      <c r="DD30" t="s">
        <v>3</v>
      </c>
      <c r="DE30" t="s">
        <v>3</v>
      </c>
      <c r="DF30" t="s">
        <v>3</v>
      </c>
      <c r="DG30" t="s">
        <v>3</v>
      </c>
      <c r="DH30" t="s">
        <v>3</v>
      </c>
      <c r="DI30" t="s">
        <v>3</v>
      </c>
      <c r="DJ30" t="s">
        <v>3</v>
      </c>
      <c r="DK30" t="s">
        <v>3</v>
      </c>
      <c r="DL30" t="s">
        <v>3</v>
      </c>
      <c r="DM30" t="s">
        <v>3</v>
      </c>
      <c r="DN30">
        <v>0</v>
      </c>
      <c r="DO30">
        <v>0</v>
      </c>
      <c r="DP30">
        <v>1</v>
      </c>
      <c r="DQ30">
        <v>1</v>
      </c>
      <c r="DU30">
        <v>1013</v>
      </c>
      <c r="DV30" t="s">
        <v>60</v>
      </c>
      <c r="DW30" t="s">
        <v>60</v>
      </c>
      <c r="DX30">
        <v>1</v>
      </c>
      <c r="DZ30" t="s">
        <v>3</v>
      </c>
      <c r="EA30" t="s">
        <v>3</v>
      </c>
      <c r="EB30" t="s">
        <v>3</v>
      </c>
      <c r="EC30" t="s">
        <v>3</v>
      </c>
      <c r="EE30">
        <v>31192419</v>
      </c>
      <c r="EF30">
        <v>6</v>
      </c>
      <c r="EG30" t="s">
        <v>35</v>
      </c>
      <c r="EH30">
        <v>0</v>
      </c>
      <c r="EI30" t="s">
        <v>3</v>
      </c>
      <c r="EJ30">
        <v>1</v>
      </c>
      <c r="EK30">
        <v>69001</v>
      </c>
      <c r="EL30" t="s">
        <v>62</v>
      </c>
      <c r="EM30" t="s">
        <v>63</v>
      </c>
      <c r="EO30" t="s">
        <v>3</v>
      </c>
      <c r="EQ30">
        <v>0</v>
      </c>
      <c r="ER30">
        <v>1553.82</v>
      </c>
      <c r="ES30">
        <v>0</v>
      </c>
      <c r="ET30">
        <v>0</v>
      </c>
      <c r="EU30">
        <v>0</v>
      </c>
      <c r="EV30">
        <v>1553.82</v>
      </c>
      <c r="EW30">
        <v>214.32</v>
      </c>
      <c r="EX30">
        <v>0</v>
      </c>
      <c r="EY30">
        <v>0</v>
      </c>
      <c r="FQ30">
        <v>0</v>
      </c>
      <c r="FR30">
        <f t="shared" si="44"/>
        <v>0</v>
      </c>
      <c r="FS30">
        <v>0</v>
      </c>
      <c r="FX30">
        <v>78</v>
      </c>
      <c r="FY30">
        <v>50</v>
      </c>
      <c r="GA30" t="s">
        <v>3</v>
      </c>
      <c r="GD30">
        <v>1</v>
      </c>
      <c r="GF30">
        <v>1757366708</v>
      </c>
      <c r="GG30">
        <v>2</v>
      </c>
      <c r="GH30">
        <v>1</v>
      </c>
      <c r="GI30">
        <v>2</v>
      </c>
      <c r="GJ30">
        <v>0</v>
      </c>
      <c r="GK30">
        <v>0</v>
      </c>
      <c r="GL30">
        <f t="shared" si="45"/>
        <v>0</v>
      </c>
      <c r="GM30">
        <f t="shared" si="46"/>
        <v>94992.320000000007</v>
      </c>
      <c r="GN30">
        <f t="shared" si="47"/>
        <v>94992.320000000007</v>
      </c>
      <c r="GO30">
        <f t="shared" si="48"/>
        <v>0</v>
      </c>
      <c r="GP30">
        <f t="shared" si="49"/>
        <v>0</v>
      </c>
      <c r="GR30">
        <v>0</v>
      </c>
      <c r="GS30">
        <v>3</v>
      </c>
      <c r="GT30">
        <v>0</v>
      </c>
      <c r="GU30" t="s">
        <v>3</v>
      </c>
      <c r="GV30">
        <f t="shared" si="50"/>
        <v>0</v>
      </c>
      <c r="GW30">
        <v>1</v>
      </c>
      <c r="GX30">
        <f t="shared" si="51"/>
        <v>0</v>
      </c>
      <c r="HA30">
        <v>0</v>
      </c>
      <c r="HB30">
        <v>0</v>
      </c>
      <c r="HC30">
        <f t="shared" si="52"/>
        <v>0</v>
      </c>
      <c r="HE30" t="s">
        <v>3</v>
      </c>
      <c r="HF30" t="s">
        <v>3</v>
      </c>
      <c r="IK30">
        <v>0</v>
      </c>
    </row>
    <row r="31" spans="1:245" x14ac:dyDescent="0.2">
      <c r="A31">
        <v>18</v>
      </c>
      <c r="B31">
        <v>1</v>
      </c>
      <c r="C31">
        <v>36</v>
      </c>
      <c r="E31" t="s">
        <v>64</v>
      </c>
      <c r="F31" t="s">
        <v>39</v>
      </c>
      <c r="G31" t="s">
        <v>40</v>
      </c>
      <c r="H31" t="s">
        <v>41</v>
      </c>
      <c r="I31">
        <f>I30*J31</f>
        <v>81.13</v>
      </c>
      <c r="J31">
        <v>99.999999999999986</v>
      </c>
      <c r="O31">
        <f t="shared" si="14"/>
        <v>0</v>
      </c>
      <c r="P31">
        <f t="shared" si="15"/>
        <v>0</v>
      </c>
      <c r="Q31">
        <f t="shared" si="16"/>
        <v>0</v>
      </c>
      <c r="R31">
        <f t="shared" si="17"/>
        <v>0</v>
      </c>
      <c r="S31">
        <f t="shared" si="18"/>
        <v>0</v>
      </c>
      <c r="T31">
        <f t="shared" si="19"/>
        <v>0</v>
      </c>
      <c r="U31">
        <f t="shared" si="20"/>
        <v>0</v>
      </c>
      <c r="V31">
        <f t="shared" si="21"/>
        <v>0</v>
      </c>
      <c r="W31">
        <f t="shared" si="22"/>
        <v>0</v>
      </c>
      <c r="X31">
        <f t="shared" si="23"/>
        <v>0</v>
      </c>
      <c r="Y31">
        <f t="shared" si="24"/>
        <v>0</v>
      </c>
      <c r="AA31">
        <v>31375913</v>
      </c>
      <c r="AB31">
        <f t="shared" si="25"/>
        <v>0</v>
      </c>
      <c r="AC31">
        <f t="shared" si="26"/>
        <v>0</v>
      </c>
      <c r="AD31">
        <f t="shared" si="27"/>
        <v>0</v>
      </c>
      <c r="AE31">
        <f t="shared" si="28"/>
        <v>0</v>
      </c>
      <c r="AF31">
        <f t="shared" si="28"/>
        <v>0</v>
      </c>
      <c r="AG31">
        <f t="shared" si="29"/>
        <v>0</v>
      </c>
      <c r="AH31">
        <f t="shared" si="30"/>
        <v>0</v>
      </c>
      <c r="AI31">
        <f t="shared" si="31"/>
        <v>0</v>
      </c>
      <c r="AJ31">
        <f t="shared" si="32"/>
        <v>0</v>
      </c>
      <c r="AK31">
        <v>0</v>
      </c>
      <c r="AL31">
        <v>0</v>
      </c>
      <c r="AM31">
        <v>0</v>
      </c>
      <c r="AN31">
        <v>0</v>
      </c>
      <c r="AO31">
        <v>0</v>
      </c>
      <c r="AP31">
        <v>0</v>
      </c>
      <c r="AQ31">
        <v>0</v>
      </c>
      <c r="AR31">
        <v>0</v>
      </c>
      <c r="AS31">
        <v>0</v>
      </c>
      <c r="AT31">
        <v>78</v>
      </c>
      <c r="AU31">
        <v>50</v>
      </c>
      <c r="AV31">
        <v>1</v>
      </c>
      <c r="AW31">
        <v>1</v>
      </c>
      <c r="AZ31">
        <v>1</v>
      </c>
      <c r="BA31">
        <v>1</v>
      </c>
      <c r="BB31">
        <v>1</v>
      </c>
      <c r="BC31">
        <v>1</v>
      </c>
      <c r="BD31" t="s">
        <v>3</v>
      </c>
      <c r="BE31" t="s">
        <v>3</v>
      </c>
      <c r="BF31" t="s">
        <v>3</v>
      </c>
      <c r="BG31" t="s">
        <v>3</v>
      </c>
      <c r="BH31">
        <v>3</v>
      </c>
      <c r="BI31">
        <v>1</v>
      </c>
      <c r="BJ31" t="s">
        <v>42</v>
      </c>
      <c r="BM31">
        <v>69001</v>
      </c>
      <c r="BN31">
        <v>0</v>
      </c>
      <c r="BO31" t="s">
        <v>3</v>
      </c>
      <c r="BP31">
        <v>0</v>
      </c>
      <c r="BQ31">
        <v>6</v>
      </c>
      <c r="BR31">
        <v>0</v>
      </c>
      <c r="BS31">
        <v>1</v>
      </c>
      <c r="BT31">
        <v>1</v>
      </c>
      <c r="BU31">
        <v>1</v>
      </c>
      <c r="BV31">
        <v>1</v>
      </c>
      <c r="BW31">
        <v>1</v>
      </c>
      <c r="BX31">
        <v>1</v>
      </c>
      <c r="BY31" t="s">
        <v>3</v>
      </c>
      <c r="BZ31">
        <v>78</v>
      </c>
      <c r="CA31">
        <v>50</v>
      </c>
      <c r="CE31">
        <v>0</v>
      </c>
      <c r="CF31">
        <v>0</v>
      </c>
      <c r="CG31">
        <v>0</v>
      </c>
      <c r="CM31">
        <v>0</v>
      </c>
      <c r="CN31" t="s">
        <v>3</v>
      </c>
      <c r="CO31">
        <v>0</v>
      </c>
      <c r="CP31">
        <f t="shared" si="33"/>
        <v>0</v>
      </c>
      <c r="CQ31">
        <f t="shared" si="34"/>
        <v>0</v>
      </c>
      <c r="CR31">
        <f t="shared" si="35"/>
        <v>0</v>
      </c>
      <c r="CS31">
        <f t="shared" si="36"/>
        <v>0</v>
      </c>
      <c r="CT31">
        <f t="shared" si="37"/>
        <v>0</v>
      </c>
      <c r="CU31">
        <f t="shared" si="38"/>
        <v>0</v>
      </c>
      <c r="CV31">
        <f t="shared" si="39"/>
        <v>0</v>
      </c>
      <c r="CW31">
        <f t="shared" si="40"/>
        <v>0</v>
      </c>
      <c r="CX31">
        <f t="shared" si="41"/>
        <v>0</v>
      </c>
      <c r="CY31">
        <f t="shared" si="42"/>
        <v>0</v>
      </c>
      <c r="CZ31">
        <f t="shared" si="43"/>
        <v>0</v>
      </c>
      <c r="DC31" t="s">
        <v>3</v>
      </c>
      <c r="DD31" t="s">
        <v>3</v>
      </c>
      <c r="DE31" t="s">
        <v>3</v>
      </c>
      <c r="DF31" t="s">
        <v>3</v>
      </c>
      <c r="DG31" t="s">
        <v>3</v>
      </c>
      <c r="DH31" t="s">
        <v>3</v>
      </c>
      <c r="DI31" t="s">
        <v>3</v>
      </c>
      <c r="DJ31" t="s">
        <v>3</v>
      </c>
      <c r="DK31" t="s">
        <v>3</v>
      </c>
      <c r="DL31" t="s">
        <v>3</v>
      </c>
      <c r="DM31" t="s">
        <v>3</v>
      </c>
      <c r="DN31">
        <v>0</v>
      </c>
      <c r="DO31">
        <v>0</v>
      </c>
      <c r="DP31">
        <v>1</v>
      </c>
      <c r="DQ31">
        <v>1</v>
      </c>
      <c r="DU31">
        <v>1009</v>
      </c>
      <c r="DV31" t="s">
        <v>41</v>
      </c>
      <c r="DW31" t="s">
        <v>41</v>
      </c>
      <c r="DX31">
        <v>1000</v>
      </c>
      <c r="DZ31" t="s">
        <v>3</v>
      </c>
      <c r="EA31" t="s">
        <v>3</v>
      </c>
      <c r="EB31" t="s">
        <v>3</v>
      </c>
      <c r="EC31" t="s">
        <v>3</v>
      </c>
      <c r="EE31">
        <v>31192419</v>
      </c>
      <c r="EF31">
        <v>6</v>
      </c>
      <c r="EG31" t="s">
        <v>35</v>
      </c>
      <c r="EH31">
        <v>0</v>
      </c>
      <c r="EI31" t="s">
        <v>3</v>
      </c>
      <c r="EJ31">
        <v>1</v>
      </c>
      <c r="EK31">
        <v>69001</v>
      </c>
      <c r="EL31" t="s">
        <v>62</v>
      </c>
      <c r="EM31" t="s">
        <v>63</v>
      </c>
      <c r="EO31" t="s">
        <v>3</v>
      </c>
      <c r="EQ31">
        <v>0</v>
      </c>
      <c r="ER31">
        <v>0</v>
      </c>
      <c r="ES31">
        <v>0</v>
      </c>
      <c r="ET31">
        <v>0</v>
      </c>
      <c r="EU31">
        <v>0</v>
      </c>
      <c r="EV31">
        <v>0</v>
      </c>
      <c r="EW31">
        <v>0</v>
      </c>
      <c r="EX31">
        <v>0</v>
      </c>
      <c r="FQ31">
        <v>0</v>
      </c>
      <c r="FR31">
        <f t="shared" si="44"/>
        <v>0</v>
      </c>
      <c r="FS31">
        <v>0</v>
      </c>
      <c r="FX31">
        <v>78</v>
      </c>
      <c r="FY31">
        <v>50</v>
      </c>
      <c r="GA31" t="s">
        <v>3</v>
      </c>
      <c r="GD31">
        <v>1</v>
      </c>
      <c r="GF31">
        <v>1876412176</v>
      </c>
      <c r="GG31">
        <v>2</v>
      </c>
      <c r="GH31">
        <v>1</v>
      </c>
      <c r="GI31">
        <v>-2</v>
      </c>
      <c r="GJ31">
        <v>0</v>
      </c>
      <c r="GK31">
        <v>0</v>
      </c>
      <c r="GL31">
        <f t="shared" si="45"/>
        <v>0</v>
      </c>
      <c r="GM31">
        <f t="shared" si="46"/>
        <v>0</v>
      </c>
      <c r="GN31">
        <f t="shared" si="47"/>
        <v>0</v>
      </c>
      <c r="GO31">
        <f t="shared" si="48"/>
        <v>0</v>
      </c>
      <c r="GP31">
        <f t="shared" si="49"/>
        <v>0</v>
      </c>
      <c r="GR31">
        <v>0</v>
      </c>
      <c r="GS31">
        <v>3</v>
      </c>
      <c r="GT31">
        <v>0</v>
      </c>
      <c r="GU31" t="s">
        <v>3</v>
      </c>
      <c r="GV31">
        <f t="shared" si="50"/>
        <v>0</v>
      </c>
      <c r="GW31">
        <v>1</v>
      </c>
      <c r="GX31">
        <f t="shared" si="51"/>
        <v>0</v>
      </c>
      <c r="HA31">
        <v>0</v>
      </c>
      <c r="HB31">
        <v>0</v>
      </c>
      <c r="HC31">
        <f t="shared" si="52"/>
        <v>0</v>
      </c>
      <c r="HE31" t="s">
        <v>3</v>
      </c>
      <c r="HF31" t="s">
        <v>3</v>
      </c>
      <c r="IK31">
        <v>0</v>
      </c>
    </row>
    <row r="32" spans="1:245" x14ac:dyDescent="0.2">
      <c r="A32">
        <v>17</v>
      </c>
      <c r="B32">
        <v>1</v>
      </c>
      <c r="C32">
        <f>ROW(SmtRes!A38)</f>
        <v>38</v>
      </c>
      <c r="D32">
        <f>ROW(EtalonRes!A38)</f>
        <v>38</v>
      </c>
      <c r="E32" t="s">
        <v>65</v>
      </c>
      <c r="F32" t="s">
        <v>66</v>
      </c>
      <c r="G32" t="s">
        <v>67</v>
      </c>
      <c r="H32" t="s">
        <v>68</v>
      </c>
      <c r="I32">
        <v>81.13</v>
      </c>
      <c r="J32">
        <v>0</v>
      </c>
      <c r="O32">
        <f t="shared" si="14"/>
        <v>50316.94</v>
      </c>
      <c r="P32">
        <f t="shared" si="15"/>
        <v>0</v>
      </c>
      <c r="Q32">
        <f t="shared" si="16"/>
        <v>37685.019999999997</v>
      </c>
      <c r="R32">
        <f t="shared" si="17"/>
        <v>0</v>
      </c>
      <c r="S32">
        <f t="shared" si="18"/>
        <v>12631.92</v>
      </c>
      <c r="T32">
        <f t="shared" si="19"/>
        <v>0</v>
      </c>
      <c r="U32">
        <f t="shared" si="20"/>
        <v>46.868800999999998</v>
      </c>
      <c r="V32">
        <f t="shared" si="21"/>
        <v>0</v>
      </c>
      <c r="W32">
        <f t="shared" si="22"/>
        <v>0</v>
      </c>
      <c r="X32">
        <f t="shared" si="23"/>
        <v>0</v>
      </c>
      <c r="Y32">
        <f t="shared" si="24"/>
        <v>0</v>
      </c>
      <c r="AA32">
        <v>31375913</v>
      </c>
      <c r="AB32">
        <f t="shared" si="25"/>
        <v>42.98</v>
      </c>
      <c r="AC32">
        <f t="shared" si="26"/>
        <v>0</v>
      </c>
      <c r="AD32">
        <f>ROUND(((ET32)+ROUND(((EU32)*1.6),2)),6)</f>
        <v>32.19</v>
      </c>
      <c r="AE32">
        <f>ROUND(((EU32)+ROUND(((EU32)*1.6),2)),6)</f>
        <v>0</v>
      </c>
      <c r="AF32">
        <f>ROUND(((EV32)+ROUND(((EV32)*1.6),2)),6)</f>
        <v>10.79</v>
      </c>
      <c r="AG32">
        <f t="shared" si="29"/>
        <v>0</v>
      </c>
      <c r="AH32">
        <f t="shared" si="30"/>
        <v>0.57769999999999999</v>
      </c>
      <c r="AI32">
        <f t="shared" si="31"/>
        <v>0</v>
      </c>
      <c r="AJ32">
        <f t="shared" si="32"/>
        <v>0</v>
      </c>
      <c r="AK32">
        <v>42.98</v>
      </c>
      <c r="AL32">
        <v>0</v>
      </c>
      <c r="AM32">
        <v>32.19</v>
      </c>
      <c r="AN32">
        <v>0</v>
      </c>
      <c r="AO32">
        <v>4.1500000000000004</v>
      </c>
      <c r="AP32">
        <v>0</v>
      </c>
      <c r="AQ32">
        <v>0.57769999999999999</v>
      </c>
      <c r="AR32">
        <v>0</v>
      </c>
      <c r="AS32">
        <v>0</v>
      </c>
      <c r="AT32">
        <v>0</v>
      </c>
      <c r="AU32">
        <v>0</v>
      </c>
      <c r="AV32">
        <v>1</v>
      </c>
      <c r="AW32">
        <v>1</v>
      </c>
      <c r="AZ32">
        <v>1</v>
      </c>
      <c r="BA32">
        <v>14.43</v>
      </c>
      <c r="BB32">
        <v>14.43</v>
      </c>
      <c r="BC32">
        <v>1</v>
      </c>
      <c r="BD32" t="s">
        <v>3</v>
      </c>
      <c r="BE32" t="s">
        <v>3</v>
      </c>
      <c r="BF32" t="s">
        <v>3</v>
      </c>
      <c r="BG32" t="s">
        <v>3</v>
      </c>
      <c r="BH32">
        <v>0</v>
      </c>
      <c r="BI32">
        <v>1</v>
      </c>
      <c r="BJ32" t="s">
        <v>69</v>
      </c>
      <c r="BM32">
        <v>700004</v>
      </c>
      <c r="BN32">
        <v>0</v>
      </c>
      <c r="BO32" t="s">
        <v>3</v>
      </c>
      <c r="BP32">
        <v>0</v>
      </c>
      <c r="BQ32">
        <v>19</v>
      </c>
      <c r="BR32">
        <v>0</v>
      </c>
      <c r="BS32">
        <v>14.43</v>
      </c>
      <c r="BT32">
        <v>1</v>
      </c>
      <c r="BU32">
        <v>1</v>
      </c>
      <c r="BV32">
        <v>1</v>
      </c>
      <c r="BW32">
        <v>1</v>
      </c>
      <c r="BX32">
        <v>1</v>
      </c>
      <c r="BY32" t="s">
        <v>3</v>
      </c>
      <c r="BZ32">
        <v>0</v>
      </c>
      <c r="CA32">
        <v>0</v>
      </c>
      <c r="CE32">
        <v>0</v>
      </c>
      <c r="CF32">
        <v>0</v>
      </c>
      <c r="CG32">
        <v>0</v>
      </c>
      <c r="CM32">
        <v>0</v>
      </c>
      <c r="CN32" t="s">
        <v>3</v>
      </c>
      <c r="CO32">
        <v>0</v>
      </c>
      <c r="CP32">
        <f t="shared" si="33"/>
        <v>50316.939999999995</v>
      </c>
      <c r="CQ32">
        <f t="shared" si="34"/>
        <v>0</v>
      </c>
      <c r="CR32">
        <f t="shared" si="35"/>
        <v>464.50169999999997</v>
      </c>
      <c r="CS32">
        <f t="shared" si="36"/>
        <v>0</v>
      </c>
      <c r="CT32">
        <f t="shared" si="37"/>
        <v>155.69969999999998</v>
      </c>
      <c r="CU32">
        <f t="shared" si="38"/>
        <v>0</v>
      </c>
      <c r="CV32">
        <f t="shared" si="39"/>
        <v>0.57769999999999999</v>
      </c>
      <c r="CW32">
        <f t="shared" si="40"/>
        <v>0</v>
      </c>
      <c r="CX32">
        <f t="shared" si="41"/>
        <v>0</v>
      </c>
      <c r="CY32">
        <f t="shared" si="42"/>
        <v>0</v>
      </c>
      <c r="CZ32">
        <f t="shared" si="43"/>
        <v>0</v>
      </c>
      <c r="DC32" t="s">
        <v>3</v>
      </c>
      <c r="DD32" t="s">
        <v>3</v>
      </c>
      <c r="DE32" t="s">
        <v>3</v>
      </c>
      <c r="DF32" t="s">
        <v>3</v>
      </c>
      <c r="DG32" t="s">
        <v>3</v>
      </c>
      <c r="DH32" t="s">
        <v>3</v>
      </c>
      <c r="DI32" t="s">
        <v>3</v>
      </c>
      <c r="DJ32" t="s">
        <v>3</v>
      </c>
      <c r="DK32" t="s">
        <v>3</v>
      </c>
      <c r="DL32" t="s">
        <v>3</v>
      </c>
      <c r="DM32" t="s">
        <v>3</v>
      </c>
      <c r="DN32">
        <v>0</v>
      </c>
      <c r="DO32">
        <v>0</v>
      </c>
      <c r="DP32">
        <v>1</v>
      </c>
      <c r="DQ32">
        <v>1</v>
      </c>
      <c r="DU32">
        <v>1013</v>
      </c>
      <c r="DV32" t="s">
        <v>68</v>
      </c>
      <c r="DW32" t="s">
        <v>68</v>
      </c>
      <c r="DX32">
        <v>1</v>
      </c>
      <c r="DZ32" t="s">
        <v>3</v>
      </c>
      <c r="EA32" t="s">
        <v>3</v>
      </c>
      <c r="EB32" t="s">
        <v>3</v>
      </c>
      <c r="EC32" t="s">
        <v>3</v>
      </c>
      <c r="EE32">
        <v>31192480</v>
      </c>
      <c r="EF32">
        <v>19</v>
      </c>
      <c r="EG32" t="s">
        <v>70</v>
      </c>
      <c r="EH32">
        <v>0</v>
      </c>
      <c r="EI32" t="s">
        <v>3</v>
      </c>
      <c r="EJ32">
        <v>1</v>
      </c>
      <c r="EK32">
        <v>700004</v>
      </c>
      <c r="EL32" t="s">
        <v>71</v>
      </c>
      <c r="EM32" t="s">
        <v>72</v>
      </c>
      <c r="EO32" t="s">
        <v>3</v>
      </c>
      <c r="EQ32">
        <v>0</v>
      </c>
      <c r="ER32">
        <v>42.98</v>
      </c>
      <c r="ES32">
        <v>0</v>
      </c>
      <c r="ET32">
        <v>32.19</v>
      </c>
      <c r="EU32">
        <v>0</v>
      </c>
      <c r="EV32">
        <v>4.1500000000000004</v>
      </c>
      <c r="EW32">
        <v>0.57769999999999999</v>
      </c>
      <c r="EX32">
        <v>0</v>
      </c>
      <c r="EY32">
        <v>0</v>
      </c>
      <c r="FQ32">
        <v>0</v>
      </c>
      <c r="FR32">
        <f t="shared" si="44"/>
        <v>0</v>
      </c>
      <c r="FS32">
        <v>0</v>
      </c>
      <c r="FX32">
        <v>0</v>
      </c>
      <c r="FY32">
        <v>0</v>
      </c>
      <c r="GA32" t="s">
        <v>3</v>
      </c>
      <c r="GD32">
        <v>1</v>
      </c>
      <c r="GF32">
        <v>560240545</v>
      </c>
      <c r="GG32">
        <v>2</v>
      </c>
      <c r="GH32">
        <v>1</v>
      </c>
      <c r="GI32">
        <v>2</v>
      </c>
      <c r="GJ32">
        <v>0</v>
      </c>
      <c r="GK32">
        <v>0</v>
      </c>
      <c r="GL32">
        <f t="shared" si="45"/>
        <v>0</v>
      </c>
      <c r="GM32">
        <f t="shared" si="46"/>
        <v>50316.94</v>
      </c>
      <c r="GN32">
        <f t="shared" si="47"/>
        <v>50316.94</v>
      </c>
      <c r="GO32">
        <f t="shared" si="48"/>
        <v>0</v>
      </c>
      <c r="GP32">
        <f t="shared" si="49"/>
        <v>0</v>
      </c>
      <c r="GR32">
        <v>0</v>
      </c>
      <c r="GS32">
        <v>3</v>
      </c>
      <c r="GT32">
        <v>0</v>
      </c>
      <c r="GU32" t="s">
        <v>3</v>
      </c>
      <c r="GV32">
        <f t="shared" si="50"/>
        <v>0</v>
      </c>
      <c r="GW32">
        <v>1</v>
      </c>
      <c r="GX32">
        <f t="shared" si="51"/>
        <v>0</v>
      </c>
      <c r="HA32">
        <v>0</v>
      </c>
      <c r="HB32">
        <v>0</v>
      </c>
      <c r="HC32">
        <f t="shared" si="52"/>
        <v>0</v>
      </c>
      <c r="HD32">
        <f>GM32</f>
        <v>50316.94</v>
      </c>
      <c r="HE32" t="s">
        <v>3</v>
      </c>
      <c r="HF32" t="s">
        <v>3</v>
      </c>
      <c r="IK32">
        <v>0</v>
      </c>
    </row>
    <row r="34" spans="1:206" x14ac:dyDescent="0.2">
      <c r="A34" s="2">
        <v>51</v>
      </c>
      <c r="B34" s="2">
        <f>B20</f>
        <v>1</v>
      </c>
      <c r="C34" s="2">
        <f>A20</f>
        <v>3</v>
      </c>
      <c r="D34" s="2">
        <f>ROW(A20)</f>
        <v>20</v>
      </c>
      <c r="E34" s="2"/>
      <c r="F34" s="2" t="str">
        <f>IF(F20&lt;&gt;"",F20,"")</f>
        <v>Новая локальная смета</v>
      </c>
      <c r="G34" s="2" t="str">
        <f>IF(G20&lt;&gt;"",G20,"")</f>
        <v>Новая локальная смета</v>
      </c>
      <c r="H34" s="2">
        <v>0</v>
      </c>
      <c r="I34" s="2"/>
      <c r="J34" s="2"/>
      <c r="K34" s="2"/>
      <c r="L34" s="2"/>
      <c r="M34" s="2"/>
      <c r="N34" s="2"/>
      <c r="O34" s="2">
        <f t="shared" ref="O34:T34" si="53">ROUND(AB34,2)</f>
        <v>8173825.3899999997</v>
      </c>
      <c r="P34" s="2">
        <f t="shared" si="53"/>
        <v>6237329.1299999999</v>
      </c>
      <c r="Q34" s="2">
        <f t="shared" si="53"/>
        <v>167126.28</v>
      </c>
      <c r="R34" s="2">
        <f t="shared" si="53"/>
        <v>62859.66</v>
      </c>
      <c r="S34" s="2">
        <f t="shared" si="53"/>
        <v>1769369.98</v>
      </c>
      <c r="T34" s="2">
        <f t="shared" si="53"/>
        <v>0</v>
      </c>
      <c r="U34" s="2">
        <f>AH34</f>
        <v>6400.3322219999991</v>
      </c>
      <c r="V34" s="2">
        <f>AI34</f>
        <v>143.69573999999997</v>
      </c>
      <c r="W34" s="2">
        <f>ROUND(AJ34,2)</f>
        <v>0</v>
      </c>
      <c r="X34" s="2">
        <f>ROUND(AK34,2)</f>
        <v>1809111.45</v>
      </c>
      <c r="Y34" s="2">
        <f>ROUND(AL34,2)</f>
        <v>1051558.8999999999</v>
      </c>
      <c r="Z34" s="2"/>
      <c r="AA34" s="2"/>
      <c r="AB34" s="2">
        <f>ROUND(SUMIF(AA24:AA32,"=31375913",O24:O32),2)</f>
        <v>8173825.3899999997</v>
      </c>
      <c r="AC34" s="2">
        <f>ROUND(SUMIF(AA24:AA32,"=31375913",P24:P32),2)</f>
        <v>6237329.1299999999</v>
      </c>
      <c r="AD34" s="2">
        <f>ROUND(SUMIF(AA24:AA32,"=31375913",Q24:Q32),2)</f>
        <v>167126.28</v>
      </c>
      <c r="AE34" s="2">
        <f>ROUND(SUMIF(AA24:AA32,"=31375913",R24:R32),2)</f>
        <v>62859.66</v>
      </c>
      <c r="AF34" s="2">
        <f>ROUND(SUMIF(AA24:AA32,"=31375913",S24:S32),2)</f>
        <v>1769369.98</v>
      </c>
      <c r="AG34" s="2">
        <f>ROUND(SUMIF(AA24:AA32,"=31375913",T24:T32),2)</f>
        <v>0</v>
      </c>
      <c r="AH34" s="2">
        <f>SUMIF(AA24:AA32,"=31375913",U24:U32)</f>
        <v>6400.3322219999991</v>
      </c>
      <c r="AI34" s="2">
        <f>SUMIF(AA24:AA32,"=31375913",V24:V32)</f>
        <v>143.69573999999997</v>
      </c>
      <c r="AJ34" s="2">
        <f>ROUND(SUMIF(AA24:AA32,"=31375913",W24:W32),2)</f>
        <v>0</v>
      </c>
      <c r="AK34" s="2">
        <f>ROUND(SUMIF(AA24:AA32,"=31375913",X24:X32),2)</f>
        <v>1809111.45</v>
      </c>
      <c r="AL34" s="2">
        <f>ROUND(SUMIF(AA24:AA32,"=31375913",Y24:Y32),2)</f>
        <v>1051558.8999999999</v>
      </c>
      <c r="AM34" s="2"/>
      <c r="AN34" s="2"/>
      <c r="AO34" s="2">
        <f t="shared" ref="AO34:BD34" si="54">ROUND(BX34,2)</f>
        <v>0</v>
      </c>
      <c r="AP34" s="2">
        <f t="shared" si="54"/>
        <v>0</v>
      </c>
      <c r="AQ34" s="2">
        <f t="shared" si="54"/>
        <v>0</v>
      </c>
      <c r="AR34" s="2">
        <f t="shared" si="54"/>
        <v>11034495.74</v>
      </c>
      <c r="AS34" s="2">
        <f t="shared" si="54"/>
        <v>11034495.74</v>
      </c>
      <c r="AT34" s="2">
        <f t="shared" si="54"/>
        <v>0</v>
      </c>
      <c r="AU34" s="2">
        <f t="shared" si="54"/>
        <v>0</v>
      </c>
      <c r="AV34" s="2">
        <f t="shared" si="54"/>
        <v>6237329.1299999999</v>
      </c>
      <c r="AW34" s="2">
        <f t="shared" si="54"/>
        <v>6237329.1299999999</v>
      </c>
      <c r="AX34" s="2">
        <f t="shared" si="54"/>
        <v>0</v>
      </c>
      <c r="AY34" s="2">
        <f t="shared" si="54"/>
        <v>6237329.1299999999</v>
      </c>
      <c r="AZ34" s="2">
        <f t="shared" si="54"/>
        <v>0</v>
      </c>
      <c r="BA34" s="2">
        <f t="shared" si="54"/>
        <v>0</v>
      </c>
      <c r="BB34" s="2">
        <f t="shared" si="54"/>
        <v>0</v>
      </c>
      <c r="BC34" s="2">
        <f t="shared" si="54"/>
        <v>0</v>
      </c>
      <c r="BD34" s="2">
        <f t="shared" si="54"/>
        <v>50316.94</v>
      </c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>
        <f>ROUND(SUMIF(AA24:AA32,"=31375913",FQ24:FQ32),2)</f>
        <v>0</v>
      </c>
      <c r="BY34" s="2">
        <f>ROUND(SUMIF(AA24:AA32,"=31375913",FR24:FR32),2)</f>
        <v>0</v>
      </c>
      <c r="BZ34" s="2">
        <f>ROUND(SUMIF(AA24:AA32,"=31375913",GL24:GL32),2)</f>
        <v>0</v>
      </c>
      <c r="CA34" s="2">
        <f>ROUND(SUMIF(AA24:AA32,"=31375913",GM24:GM32),2)</f>
        <v>11034495.74</v>
      </c>
      <c r="CB34" s="2">
        <f>ROUND(SUMIF(AA24:AA32,"=31375913",GN24:GN32),2)</f>
        <v>11034495.74</v>
      </c>
      <c r="CC34" s="2">
        <f>ROUND(SUMIF(AA24:AA32,"=31375913",GO24:GO32),2)</f>
        <v>0</v>
      </c>
      <c r="CD34" s="2">
        <f>ROUND(SUMIF(AA24:AA32,"=31375913",GP24:GP32),2)</f>
        <v>0</v>
      </c>
      <c r="CE34" s="2">
        <f>AC34-BX34</f>
        <v>6237329.1299999999</v>
      </c>
      <c r="CF34" s="2">
        <f>AC34-BY34</f>
        <v>6237329.1299999999</v>
      </c>
      <c r="CG34" s="2">
        <f>BX34-BZ34</f>
        <v>0</v>
      </c>
      <c r="CH34" s="2">
        <f>AC34-BX34-BY34+BZ34</f>
        <v>6237329.1299999999</v>
      </c>
      <c r="CI34" s="2">
        <f>BY34-BZ34</f>
        <v>0</v>
      </c>
      <c r="CJ34" s="2">
        <f>ROUND(SUMIF(AA24:AA32,"=31375913",GX24:GX32),2)</f>
        <v>0</v>
      </c>
      <c r="CK34" s="2">
        <f>ROUND(SUMIF(AA24:AA32,"=31375913",GY24:GY32),2)</f>
        <v>0</v>
      </c>
      <c r="CL34" s="2">
        <f>ROUND(SUMIF(AA24:AA32,"=31375913",GZ24:GZ32),2)</f>
        <v>0</v>
      </c>
      <c r="CM34" s="2">
        <f>ROUND(SUMIF(AA24:AA32,"=31375913",HD24:HD32),2)</f>
        <v>50316.94</v>
      </c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  <c r="FK34" s="3"/>
      <c r="FL34" s="3"/>
      <c r="FM34" s="3"/>
      <c r="FN34" s="3"/>
      <c r="FO34" s="3"/>
      <c r="FP34" s="3"/>
      <c r="FQ34" s="3"/>
      <c r="FR34" s="3"/>
      <c r="FS34" s="3"/>
      <c r="FT34" s="3"/>
      <c r="FU34" s="3"/>
      <c r="FV34" s="3"/>
      <c r="FW34" s="3"/>
      <c r="FX34" s="3"/>
      <c r="FY34" s="3"/>
      <c r="FZ34" s="3"/>
      <c r="GA34" s="3"/>
      <c r="GB34" s="3"/>
      <c r="GC34" s="3"/>
      <c r="GD34" s="3"/>
      <c r="GE34" s="3"/>
      <c r="GF34" s="3"/>
      <c r="GG34" s="3"/>
      <c r="GH34" s="3"/>
      <c r="GI34" s="3"/>
      <c r="GJ34" s="3"/>
      <c r="GK34" s="3"/>
      <c r="GL34" s="3"/>
      <c r="GM34" s="3"/>
      <c r="GN34" s="3"/>
      <c r="GO34" s="3"/>
      <c r="GP34" s="3"/>
      <c r="GQ34" s="3"/>
      <c r="GR34" s="3"/>
      <c r="GS34" s="3"/>
      <c r="GT34" s="3"/>
      <c r="GU34" s="3"/>
      <c r="GV34" s="3"/>
      <c r="GW34" s="3"/>
      <c r="GX34" s="3">
        <v>0</v>
      </c>
    </row>
    <row r="36" spans="1:206" x14ac:dyDescent="0.2">
      <c r="A36" s="4">
        <v>50</v>
      </c>
      <c r="B36" s="4">
        <v>0</v>
      </c>
      <c r="C36" s="4">
        <v>0</v>
      </c>
      <c r="D36" s="4">
        <v>1</v>
      </c>
      <c r="E36" s="4">
        <v>201</v>
      </c>
      <c r="F36" s="4">
        <f>ROUND(Source!O34,O36)</f>
        <v>8173825.3899999997</v>
      </c>
      <c r="G36" s="4" t="s">
        <v>73</v>
      </c>
      <c r="H36" s="4" t="s">
        <v>74</v>
      </c>
      <c r="I36" s="4"/>
      <c r="J36" s="4"/>
      <c r="K36" s="4">
        <v>201</v>
      </c>
      <c r="L36" s="4">
        <v>1</v>
      </c>
      <c r="M36" s="4">
        <v>3</v>
      </c>
      <c r="N36" s="4" t="s">
        <v>3</v>
      </c>
      <c r="O36" s="4">
        <v>2</v>
      </c>
      <c r="P36" s="4"/>
      <c r="Q36" s="4"/>
      <c r="R36" s="4"/>
      <c r="S36" s="4"/>
      <c r="T36" s="4"/>
      <c r="U36" s="4"/>
      <c r="V36" s="4"/>
      <c r="W36" s="4"/>
    </row>
    <row r="37" spans="1:206" x14ac:dyDescent="0.2">
      <c r="A37" s="4">
        <v>50</v>
      </c>
      <c r="B37" s="4">
        <v>0</v>
      </c>
      <c r="C37" s="4">
        <v>0</v>
      </c>
      <c r="D37" s="4">
        <v>1</v>
      </c>
      <c r="E37" s="4">
        <v>202</v>
      </c>
      <c r="F37" s="4">
        <f>ROUND(Source!P34,O37)</f>
        <v>6237329.1299999999</v>
      </c>
      <c r="G37" s="4" t="s">
        <v>75</v>
      </c>
      <c r="H37" s="4" t="s">
        <v>76</v>
      </c>
      <c r="I37" s="4"/>
      <c r="J37" s="4"/>
      <c r="K37" s="4">
        <v>202</v>
      </c>
      <c r="L37" s="4">
        <v>2</v>
      </c>
      <c r="M37" s="4">
        <v>3</v>
      </c>
      <c r="N37" s="4" t="s">
        <v>3</v>
      </c>
      <c r="O37" s="4">
        <v>2</v>
      </c>
      <c r="P37" s="4"/>
      <c r="Q37" s="4"/>
      <c r="R37" s="4"/>
      <c r="S37" s="4"/>
      <c r="T37" s="4"/>
      <c r="U37" s="4"/>
      <c r="V37" s="4"/>
      <c r="W37" s="4"/>
    </row>
    <row r="38" spans="1:206" x14ac:dyDescent="0.2">
      <c r="A38" s="4">
        <v>50</v>
      </c>
      <c r="B38" s="4">
        <v>0</v>
      </c>
      <c r="C38" s="4">
        <v>0</v>
      </c>
      <c r="D38" s="4">
        <v>1</v>
      </c>
      <c r="E38" s="4">
        <v>222</v>
      </c>
      <c r="F38" s="4">
        <f>ROUND(Source!AO34,O38)</f>
        <v>0</v>
      </c>
      <c r="G38" s="4" t="s">
        <v>77</v>
      </c>
      <c r="H38" s="4" t="s">
        <v>78</v>
      </c>
      <c r="I38" s="4"/>
      <c r="J38" s="4"/>
      <c r="K38" s="4">
        <v>222</v>
      </c>
      <c r="L38" s="4">
        <v>3</v>
      </c>
      <c r="M38" s="4">
        <v>3</v>
      </c>
      <c r="N38" s="4" t="s">
        <v>3</v>
      </c>
      <c r="O38" s="4">
        <v>2</v>
      </c>
      <c r="P38" s="4"/>
      <c r="Q38" s="4"/>
      <c r="R38" s="4"/>
      <c r="S38" s="4"/>
      <c r="T38" s="4"/>
      <c r="U38" s="4"/>
      <c r="V38" s="4"/>
      <c r="W38" s="4"/>
    </row>
    <row r="39" spans="1:206" x14ac:dyDescent="0.2">
      <c r="A39" s="4">
        <v>50</v>
      </c>
      <c r="B39" s="4">
        <v>0</v>
      </c>
      <c r="C39" s="4">
        <v>0</v>
      </c>
      <c r="D39" s="4">
        <v>1</v>
      </c>
      <c r="E39" s="4">
        <v>225</v>
      </c>
      <c r="F39" s="4">
        <f>ROUND(Source!AV34,O39)</f>
        <v>6237329.1299999999</v>
      </c>
      <c r="G39" s="4" t="s">
        <v>79</v>
      </c>
      <c r="H39" s="4" t="s">
        <v>80</v>
      </c>
      <c r="I39" s="4"/>
      <c r="J39" s="4"/>
      <c r="K39" s="4">
        <v>225</v>
      </c>
      <c r="L39" s="4">
        <v>4</v>
      </c>
      <c r="M39" s="4">
        <v>3</v>
      </c>
      <c r="N39" s="4" t="s">
        <v>3</v>
      </c>
      <c r="O39" s="4">
        <v>2</v>
      </c>
      <c r="P39" s="4"/>
      <c r="Q39" s="4"/>
      <c r="R39" s="4"/>
      <c r="S39" s="4"/>
      <c r="T39" s="4"/>
      <c r="U39" s="4"/>
      <c r="V39" s="4"/>
      <c r="W39" s="4"/>
    </row>
    <row r="40" spans="1:206" x14ac:dyDescent="0.2">
      <c r="A40" s="4">
        <v>50</v>
      </c>
      <c r="B40" s="4">
        <v>0</v>
      </c>
      <c r="C40" s="4">
        <v>0</v>
      </c>
      <c r="D40" s="4">
        <v>1</v>
      </c>
      <c r="E40" s="4">
        <v>226</v>
      </c>
      <c r="F40" s="4">
        <f>ROUND(Source!AW34,O40)</f>
        <v>6237329.1299999999</v>
      </c>
      <c r="G40" s="4" t="s">
        <v>81</v>
      </c>
      <c r="H40" s="4" t="s">
        <v>82</v>
      </c>
      <c r="I40" s="4"/>
      <c r="J40" s="4"/>
      <c r="K40" s="4">
        <v>226</v>
      </c>
      <c r="L40" s="4">
        <v>5</v>
      </c>
      <c r="M40" s="4">
        <v>3</v>
      </c>
      <c r="N40" s="4" t="s">
        <v>3</v>
      </c>
      <c r="O40" s="4">
        <v>2</v>
      </c>
      <c r="P40" s="4"/>
      <c r="Q40" s="4"/>
      <c r="R40" s="4"/>
      <c r="S40" s="4"/>
      <c r="T40" s="4"/>
      <c r="U40" s="4"/>
      <c r="V40" s="4"/>
      <c r="W40" s="4"/>
    </row>
    <row r="41" spans="1:206" x14ac:dyDescent="0.2">
      <c r="A41" s="4">
        <v>50</v>
      </c>
      <c r="B41" s="4">
        <v>0</v>
      </c>
      <c r="C41" s="4">
        <v>0</v>
      </c>
      <c r="D41" s="4">
        <v>1</v>
      </c>
      <c r="E41" s="4">
        <v>227</v>
      </c>
      <c r="F41" s="4">
        <f>ROUND(Source!AX34,O41)</f>
        <v>0</v>
      </c>
      <c r="G41" s="4" t="s">
        <v>83</v>
      </c>
      <c r="H41" s="4" t="s">
        <v>84</v>
      </c>
      <c r="I41" s="4"/>
      <c r="J41" s="4"/>
      <c r="K41" s="4">
        <v>227</v>
      </c>
      <c r="L41" s="4">
        <v>6</v>
      </c>
      <c r="M41" s="4">
        <v>3</v>
      </c>
      <c r="N41" s="4" t="s">
        <v>3</v>
      </c>
      <c r="O41" s="4">
        <v>2</v>
      </c>
      <c r="P41" s="4"/>
      <c r="Q41" s="4"/>
      <c r="R41" s="4"/>
      <c r="S41" s="4"/>
      <c r="T41" s="4"/>
      <c r="U41" s="4"/>
      <c r="V41" s="4"/>
      <c r="W41" s="4"/>
    </row>
    <row r="42" spans="1:206" x14ac:dyDescent="0.2">
      <c r="A42" s="4">
        <v>50</v>
      </c>
      <c r="B42" s="4">
        <v>0</v>
      </c>
      <c r="C42" s="4">
        <v>0</v>
      </c>
      <c r="D42" s="4">
        <v>1</v>
      </c>
      <c r="E42" s="4">
        <v>228</v>
      </c>
      <c r="F42" s="4">
        <f>ROUND(Source!AY34,O42)</f>
        <v>6237329.1299999999</v>
      </c>
      <c r="G42" s="4" t="s">
        <v>85</v>
      </c>
      <c r="H42" s="4" t="s">
        <v>86</v>
      </c>
      <c r="I42" s="4"/>
      <c r="J42" s="4"/>
      <c r="K42" s="4">
        <v>228</v>
      </c>
      <c r="L42" s="4">
        <v>7</v>
      </c>
      <c r="M42" s="4">
        <v>3</v>
      </c>
      <c r="N42" s="4" t="s">
        <v>3</v>
      </c>
      <c r="O42" s="4">
        <v>2</v>
      </c>
      <c r="P42" s="4"/>
      <c r="Q42" s="4"/>
      <c r="R42" s="4"/>
      <c r="S42" s="4"/>
      <c r="T42" s="4"/>
      <c r="U42" s="4"/>
      <c r="V42" s="4"/>
      <c r="W42" s="4"/>
    </row>
    <row r="43" spans="1:206" x14ac:dyDescent="0.2">
      <c r="A43" s="4">
        <v>50</v>
      </c>
      <c r="B43" s="4">
        <v>0</v>
      </c>
      <c r="C43" s="4">
        <v>0</v>
      </c>
      <c r="D43" s="4">
        <v>1</v>
      </c>
      <c r="E43" s="4">
        <v>216</v>
      </c>
      <c r="F43" s="4">
        <f>ROUND(Source!AP34,O43)</f>
        <v>0</v>
      </c>
      <c r="G43" s="4" t="s">
        <v>87</v>
      </c>
      <c r="H43" s="4" t="s">
        <v>88</v>
      </c>
      <c r="I43" s="4"/>
      <c r="J43" s="4"/>
      <c r="K43" s="4">
        <v>216</v>
      </c>
      <c r="L43" s="4">
        <v>8</v>
      </c>
      <c r="M43" s="4">
        <v>3</v>
      </c>
      <c r="N43" s="4" t="s">
        <v>3</v>
      </c>
      <c r="O43" s="4">
        <v>2</v>
      </c>
      <c r="P43" s="4"/>
      <c r="Q43" s="4"/>
      <c r="R43" s="4"/>
      <c r="S43" s="4"/>
      <c r="T43" s="4"/>
      <c r="U43" s="4"/>
      <c r="V43" s="4"/>
      <c r="W43" s="4"/>
    </row>
    <row r="44" spans="1:206" x14ac:dyDescent="0.2">
      <c r="A44" s="4">
        <v>50</v>
      </c>
      <c r="B44" s="4">
        <v>0</v>
      </c>
      <c r="C44" s="4">
        <v>0</v>
      </c>
      <c r="D44" s="4">
        <v>1</v>
      </c>
      <c r="E44" s="4">
        <v>223</v>
      </c>
      <c r="F44" s="4">
        <f>ROUND(Source!AQ34,O44)</f>
        <v>0</v>
      </c>
      <c r="G44" s="4" t="s">
        <v>89</v>
      </c>
      <c r="H44" s="4" t="s">
        <v>90</v>
      </c>
      <c r="I44" s="4"/>
      <c r="J44" s="4"/>
      <c r="K44" s="4">
        <v>223</v>
      </c>
      <c r="L44" s="4">
        <v>9</v>
      </c>
      <c r="M44" s="4">
        <v>3</v>
      </c>
      <c r="N44" s="4" t="s">
        <v>3</v>
      </c>
      <c r="O44" s="4">
        <v>2</v>
      </c>
      <c r="P44" s="4"/>
      <c r="Q44" s="4"/>
      <c r="R44" s="4"/>
      <c r="S44" s="4"/>
      <c r="T44" s="4"/>
      <c r="U44" s="4"/>
      <c r="V44" s="4"/>
      <c r="W44" s="4"/>
    </row>
    <row r="45" spans="1:206" x14ac:dyDescent="0.2">
      <c r="A45" s="4">
        <v>50</v>
      </c>
      <c r="B45" s="4">
        <v>0</v>
      </c>
      <c r="C45" s="4">
        <v>0</v>
      </c>
      <c r="D45" s="4">
        <v>1</v>
      </c>
      <c r="E45" s="4">
        <v>229</v>
      </c>
      <c r="F45" s="4">
        <f>ROUND(Source!AZ34,O45)</f>
        <v>0</v>
      </c>
      <c r="G45" s="4" t="s">
        <v>91</v>
      </c>
      <c r="H45" s="4" t="s">
        <v>92</v>
      </c>
      <c r="I45" s="4"/>
      <c r="J45" s="4"/>
      <c r="K45" s="4">
        <v>229</v>
      </c>
      <c r="L45" s="4">
        <v>10</v>
      </c>
      <c r="M45" s="4">
        <v>3</v>
      </c>
      <c r="N45" s="4" t="s">
        <v>3</v>
      </c>
      <c r="O45" s="4">
        <v>2</v>
      </c>
      <c r="P45" s="4"/>
      <c r="Q45" s="4"/>
      <c r="R45" s="4"/>
      <c r="S45" s="4"/>
      <c r="T45" s="4"/>
      <c r="U45" s="4"/>
      <c r="V45" s="4"/>
      <c r="W45" s="4"/>
    </row>
    <row r="46" spans="1:206" x14ac:dyDescent="0.2">
      <c r="A46" s="4">
        <v>50</v>
      </c>
      <c r="B46" s="4">
        <v>0</v>
      </c>
      <c r="C46" s="4">
        <v>0</v>
      </c>
      <c r="D46" s="4">
        <v>1</v>
      </c>
      <c r="E46" s="4">
        <v>203</v>
      </c>
      <c r="F46" s="4">
        <f>ROUND(Source!Q34,O46)</f>
        <v>167126.28</v>
      </c>
      <c r="G46" s="4" t="s">
        <v>93</v>
      </c>
      <c r="H46" s="4" t="s">
        <v>94</v>
      </c>
      <c r="I46" s="4"/>
      <c r="J46" s="4"/>
      <c r="K46" s="4">
        <v>203</v>
      </c>
      <c r="L46" s="4">
        <v>11</v>
      </c>
      <c r="M46" s="4">
        <v>3</v>
      </c>
      <c r="N46" s="4" t="s">
        <v>3</v>
      </c>
      <c r="O46" s="4">
        <v>2</v>
      </c>
      <c r="P46" s="4"/>
      <c r="Q46" s="4"/>
      <c r="R46" s="4"/>
      <c r="S46" s="4"/>
      <c r="T46" s="4"/>
      <c r="U46" s="4"/>
      <c r="V46" s="4"/>
      <c r="W46" s="4"/>
    </row>
    <row r="47" spans="1:206" x14ac:dyDescent="0.2">
      <c r="A47" s="4">
        <v>50</v>
      </c>
      <c r="B47" s="4">
        <v>0</v>
      </c>
      <c r="C47" s="4">
        <v>0</v>
      </c>
      <c r="D47" s="4">
        <v>1</v>
      </c>
      <c r="E47" s="4">
        <v>231</v>
      </c>
      <c r="F47" s="4">
        <f>ROUND(Source!BB34,O47)</f>
        <v>0</v>
      </c>
      <c r="G47" s="4" t="s">
        <v>95</v>
      </c>
      <c r="H47" s="4" t="s">
        <v>96</v>
      </c>
      <c r="I47" s="4"/>
      <c r="J47" s="4"/>
      <c r="K47" s="4">
        <v>231</v>
      </c>
      <c r="L47" s="4">
        <v>12</v>
      </c>
      <c r="M47" s="4">
        <v>3</v>
      </c>
      <c r="N47" s="4" t="s">
        <v>3</v>
      </c>
      <c r="O47" s="4">
        <v>2</v>
      </c>
      <c r="P47" s="4"/>
      <c r="Q47" s="4"/>
      <c r="R47" s="4"/>
      <c r="S47" s="4"/>
      <c r="T47" s="4"/>
      <c r="U47" s="4"/>
      <c r="V47" s="4"/>
      <c r="W47" s="4"/>
    </row>
    <row r="48" spans="1:206" x14ac:dyDescent="0.2">
      <c r="A48" s="4">
        <v>50</v>
      </c>
      <c r="B48" s="4">
        <v>0</v>
      </c>
      <c r="C48" s="4">
        <v>0</v>
      </c>
      <c r="D48" s="4">
        <v>1</v>
      </c>
      <c r="E48" s="4">
        <v>204</v>
      </c>
      <c r="F48" s="4">
        <f>ROUND(Source!R34,O48)</f>
        <v>62859.66</v>
      </c>
      <c r="G48" s="4" t="s">
        <v>97</v>
      </c>
      <c r="H48" s="4" t="s">
        <v>98</v>
      </c>
      <c r="I48" s="4"/>
      <c r="J48" s="4"/>
      <c r="K48" s="4">
        <v>204</v>
      </c>
      <c r="L48" s="4">
        <v>13</v>
      </c>
      <c r="M48" s="4">
        <v>3</v>
      </c>
      <c r="N48" s="4" t="s">
        <v>3</v>
      </c>
      <c r="O48" s="4">
        <v>2</v>
      </c>
      <c r="P48" s="4"/>
      <c r="Q48" s="4"/>
      <c r="R48" s="4"/>
      <c r="S48" s="4"/>
      <c r="T48" s="4"/>
      <c r="U48" s="4"/>
      <c r="V48" s="4"/>
      <c r="W48" s="4"/>
    </row>
    <row r="49" spans="1:23" x14ac:dyDescent="0.2">
      <c r="A49" s="4">
        <v>50</v>
      </c>
      <c r="B49" s="4">
        <v>0</v>
      </c>
      <c r="C49" s="4">
        <v>0</v>
      </c>
      <c r="D49" s="4">
        <v>1</v>
      </c>
      <c r="E49" s="4">
        <v>205</v>
      </c>
      <c r="F49" s="4">
        <f>ROUND(Source!S34,O49)</f>
        <v>1769369.98</v>
      </c>
      <c r="G49" s="4" t="s">
        <v>99</v>
      </c>
      <c r="H49" s="4" t="s">
        <v>100</v>
      </c>
      <c r="I49" s="4"/>
      <c r="J49" s="4"/>
      <c r="K49" s="4">
        <v>205</v>
      </c>
      <c r="L49" s="4">
        <v>14</v>
      </c>
      <c r="M49" s="4">
        <v>3</v>
      </c>
      <c r="N49" s="4" t="s">
        <v>3</v>
      </c>
      <c r="O49" s="4">
        <v>2</v>
      </c>
      <c r="P49" s="4"/>
      <c r="Q49" s="4"/>
      <c r="R49" s="4"/>
      <c r="S49" s="4"/>
      <c r="T49" s="4"/>
      <c r="U49" s="4"/>
      <c r="V49" s="4"/>
      <c r="W49" s="4"/>
    </row>
    <row r="50" spans="1:23" x14ac:dyDescent="0.2">
      <c r="A50" s="4">
        <v>50</v>
      </c>
      <c r="B50" s="4">
        <v>0</v>
      </c>
      <c r="C50" s="4">
        <v>0</v>
      </c>
      <c r="D50" s="4">
        <v>1</v>
      </c>
      <c r="E50" s="4">
        <v>232</v>
      </c>
      <c r="F50" s="4">
        <f>ROUND(Source!BC34,O50)</f>
        <v>0</v>
      </c>
      <c r="G50" s="4" t="s">
        <v>101</v>
      </c>
      <c r="H50" s="4" t="s">
        <v>102</v>
      </c>
      <c r="I50" s="4"/>
      <c r="J50" s="4"/>
      <c r="K50" s="4">
        <v>232</v>
      </c>
      <c r="L50" s="4">
        <v>15</v>
      </c>
      <c r="M50" s="4">
        <v>3</v>
      </c>
      <c r="N50" s="4" t="s">
        <v>3</v>
      </c>
      <c r="O50" s="4">
        <v>2</v>
      </c>
      <c r="P50" s="4"/>
      <c r="Q50" s="4"/>
      <c r="R50" s="4"/>
      <c r="S50" s="4"/>
      <c r="T50" s="4"/>
      <c r="U50" s="4"/>
      <c r="V50" s="4"/>
      <c r="W50" s="4"/>
    </row>
    <row r="51" spans="1:23" x14ac:dyDescent="0.2">
      <c r="A51" s="4">
        <v>50</v>
      </c>
      <c r="B51" s="4">
        <v>0</v>
      </c>
      <c r="C51" s="4">
        <v>0</v>
      </c>
      <c r="D51" s="4">
        <v>1</v>
      </c>
      <c r="E51" s="4">
        <v>214</v>
      </c>
      <c r="F51" s="4">
        <f>ROUND(Source!AS34,O51)</f>
        <v>11034495.74</v>
      </c>
      <c r="G51" s="4" t="s">
        <v>103</v>
      </c>
      <c r="H51" s="4" t="s">
        <v>104</v>
      </c>
      <c r="I51" s="4"/>
      <c r="J51" s="4"/>
      <c r="K51" s="4">
        <v>214</v>
      </c>
      <c r="L51" s="4">
        <v>16</v>
      </c>
      <c r="M51" s="4">
        <v>3</v>
      </c>
      <c r="N51" s="4" t="s">
        <v>3</v>
      </c>
      <c r="O51" s="4">
        <v>2</v>
      </c>
      <c r="P51" s="4"/>
      <c r="Q51" s="4"/>
      <c r="R51" s="4"/>
      <c r="S51" s="4"/>
      <c r="T51" s="4"/>
      <c r="U51" s="4"/>
      <c r="V51" s="4"/>
      <c r="W51" s="4"/>
    </row>
    <row r="52" spans="1:23" x14ac:dyDescent="0.2">
      <c r="A52" s="4">
        <v>50</v>
      </c>
      <c r="B52" s="4">
        <v>0</v>
      </c>
      <c r="C52" s="4">
        <v>0</v>
      </c>
      <c r="D52" s="4">
        <v>1</v>
      </c>
      <c r="E52" s="4">
        <v>215</v>
      </c>
      <c r="F52" s="4">
        <f>ROUND(Source!AT34,O52)</f>
        <v>0</v>
      </c>
      <c r="G52" s="4" t="s">
        <v>105</v>
      </c>
      <c r="H52" s="4" t="s">
        <v>106</v>
      </c>
      <c r="I52" s="4"/>
      <c r="J52" s="4"/>
      <c r="K52" s="4">
        <v>215</v>
      </c>
      <c r="L52" s="4">
        <v>17</v>
      </c>
      <c r="M52" s="4">
        <v>3</v>
      </c>
      <c r="N52" s="4" t="s">
        <v>3</v>
      </c>
      <c r="O52" s="4">
        <v>2</v>
      </c>
      <c r="P52" s="4"/>
      <c r="Q52" s="4"/>
      <c r="R52" s="4"/>
      <c r="S52" s="4"/>
      <c r="T52" s="4"/>
      <c r="U52" s="4"/>
      <c r="V52" s="4"/>
      <c r="W52" s="4"/>
    </row>
    <row r="53" spans="1:23" x14ac:dyDescent="0.2">
      <c r="A53" s="4">
        <v>50</v>
      </c>
      <c r="B53" s="4">
        <v>0</v>
      </c>
      <c r="C53" s="4">
        <v>0</v>
      </c>
      <c r="D53" s="4">
        <v>1</v>
      </c>
      <c r="E53" s="4">
        <v>217</v>
      </c>
      <c r="F53" s="4">
        <f>ROUND(Source!AU34,O53)</f>
        <v>0</v>
      </c>
      <c r="G53" s="4" t="s">
        <v>107</v>
      </c>
      <c r="H53" s="4" t="s">
        <v>108</v>
      </c>
      <c r="I53" s="4"/>
      <c r="J53" s="4"/>
      <c r="K53" s="4">
        <v>217</v>
      </c>
      <c r="L53" s="4">
        <v>18</v>
      </c>
      <c r="M53" s="4">
        <v>3</v>
      </c>
      <c r="N53" s="4" t="s">
        <v>3</v>
      </c>
      <c r="O53" s="4">
        <v>2</v>
      </c>
      <c r="P53" s="4"/>
      <c r="Q53" s="4"/>
      <c r="R53" s="4"/>
      <c r="S53" s="4"/>
      <c r="T53" s="4"/>
      <c r="U53" s="4"/>
      <c r="V53" s="4"/>
      <c r="W53" s="4"/>
    </row>
    <row r="54" spans="1:23" x14ac:dyDescent="0.2">
      <c r="A54" s="4">
        <v>50</v>
      </c>
      <c r="B54" s="4">
        <v>0</v>
      </c>
      <c r="C54" s="4">
        <v>0</v>
      </c>
      <c r="D54" s="4">
        <v>1</v>
      </c>
      <c r="E54" s="4">
        <v>230</v>
      </c>
      <c r="F54" s="4">
        <f>ROUND(Source!BA34,O54)</f>
        <v>0</v>
      </c>
      <c r="G54" s="4" t="s">
        <v>109</v>
      </c>
      <c r="H54" s="4" t="s">
        <v>110</v>
      </c>
      <c r="I54" s="4"/>
      <c r="J54" s="4"/>
      <c r="K54" s="4">
        <v>230</v>
      </c>
      <c r="L54" s="4">
        <v>19</v>
      </c>
      <c r="M54" s="4">
        <v>3</v>
      </c>
      <c r="N54" s="4" t="s">
        <v>3</v>
      </c>
      <c r="O54" s="4">
        <v>2</v>
      </c>
      <c r="P54" s="4"/>
      <c r="Q54" s="4"/>
      <c r="R54" s="4"/>
      <c r="S54" s="4"/>
      <c r="T54" s="4"/>
      <c r="U54" s="4"/>
      <c r="V54" s="4"/>
      <c r="W54" s="4"/>
    </row>
    <row r="55" spans="1:23" x14ac:dyDescent="0.2">
      <c r="A55" s="4">
        <v>50</v>
      </c>
      <c r="B55" s="4">
        <v>0</v>
      </c>
      <c r="C55" s="4">
        <v>0</v>
      </c>
      <c r="D55" s="4">
        <v>1</v>
      </c>
      <c r="E55" s="4">
        <v>206</v>
      </c>
      <c r="F55" s="4">
        <f>ROUND(Source!T34,O55)</f>
        <v>0</v>
      </c>
      <c r="G55" s="4" t="s">
        <v>111</v>
      </c>
      <c r="H55" s="4" t="s">
        <v>112</v>
      </c>
      <c r="I55" s="4"/>
      <c r="J55" s="4"/>
      <c r="K55" s="4">
        <v>206</v>
      </c>
      <c r="L55" s="4">
        <v>20</v>
      </c>
      <c r="M55" s="4">
        <v>3</v>
      </c>
      <c r="N55" s="4" t="s">
        <v>3</v>
      </c>
      <c r="O55" s="4">
        <v>2</v>
      </c>
      <c r="P55" s="4"/>
      <c r="Q55" s="4"/>
      <c r="R55" s="4"/>
      <c r="S55" s="4"/>
      <c r="T55" s="4"/>
      <c r="U55" s="4"/>
      <c r="V55" s="4"/>
      <c r="W55" s="4"/>
    </row>
    <row r="56" spans="1:23" x14ac:dyDescent="0.2">
      <c r="A56" s="4">
        <v>50</v>
      </c>
      <c r="B56" s="4">
        <v>0</v>
      </c>
      <c r="C56" s="4">
        <v>0</v>
      </c>
      <c r="D56" s="4">
        <v>1</v>
      </c>
      <c r="E56" s="4">
        <v>207</v>
      </c>
      <c r="F56" s="4">
        <f>Source!U34</f>
        <v>6400.3322219999991</v>
      </c>
      <c r="G56" s="4" t="s">
        <v>113</v>
      </c>
      <c r="H56" s="4" t="s">
        <v>114</v>
      </c>
      <c r="I56" s="4"/>
      <c r="J56" s="4"/>
      <c r="K56" s="4">
        <v>207</v>
      </c>
      <c r="L56" s="4">
        <v>21</v>
      </c>
      <c r="M56" s="4">
        <v>3</v>
      </c>
      <c r="N56" s="4" t="s">
        <v>3</v>
      </c>
      <c r="O56" s="4">
        <v>-1</v>
      </c>
      <c r="P56" s="4"/>
      <c r="Q56" s="4"/>
      <c r="R56" s="4"/>
      <c r="S56" s="4"/>
      <c r="T56" s="4"/>
      <c r="U56" s="4"/>
      <c r="V56" s="4"/>
      <c r="W56" s="4"/>
    </row>
    <row r="57" spans="1:23" x14ac:dyDescent="0.2">
      <c r="A57" s="4">
        <v>50</v>
      </c>
      <c r="B57" s="4">
        <v>0</v>
      </c>
      <c r="C57" s="4">
        <v>0</v>
      </c>
      <c r="D57" s="4">
        <v>1</v>
      </c>
      <c r="E57" s="4">
        <v>208</v>
      </c>
      <c r="F57" s="4">
        <f>Source!V34</f>
        <v>143.69573999999997</v>
      </c>
      <c r="G57" s="4" t="s">
        <v>115</v>
      </c>
      <c r="H57" s="4" t="s">
        <v>116</v>
      </c>
      <c r="I57" s="4"/>
      <c r="J57" s="4"/>
      <c r="K57" s="4">
        <v>208</v>
      </c>
      <c r="L57" s="4">
        <v>22</v>
      </c>
      <c r="M57" s="4">
        <v>3</v>
      </c>
      <c r="N57" s="4" t="s">
        <v>3</v>
      </c>
      <c r="O57" s="4">
        <v>-1</v>
      </c>
      <c r="P57" s="4"/>
      <c r="Q57" s="4"/>
      <c r="R57" s="4"/>
      <c r="S57" s="4"/>
      <c r="T57" s="4"/>
      <c r="U57" s="4"/>
      <c r="V57" s="4"/>
      <c r="W57" s="4"/>
    </row>
    <row r="58" spans="1:23" x14ac:dyDescent="0.2">
      <c r="A58" s="4">
        <v>50</v>
      </c>
      <c r="B58" s="4">
        <v>0</v>
      </c>
      <c r="C58" s="4">
        <v>0</v>
      </c>
      <c r="D58" s="4">
        <v>1</v>
      </c>
      <c r="E58" s="4">
        <v>209</v>
      </c>
      <c r="F58" s="4">
        <f>ROUND(Source!W34,O58)</f>
        <v>0</v>
      </c>
      <c r="G58" s="4" t="s">
        <v>117</v>
      </c>
      <c r="H58" s="4" t="s">
        <v>118</v>
      </c>
      <c r="I58" s="4"/>
      <c r="J58" s="4"/>
      <c r="K58" s="4">
        <v>209</v>
      </c>
      <c r="L58" s="4">
        <v>23</v>
      </c>
      <c r="M58" s="4">
        <v>3</v>
      </c>
      <c r="N58" s="4" t="s">
        <v>3</v>
      </c>
      <c r="O58" s="4">
        <v>2</v>
      </c>
      <c r="P58" s="4"/>
      <c r="Q58" s="4"/>
      <c r="R58" s="4"/>
      <c r="S58" s="4"/>
      <c r="T58" s="4"/>
      <c r="U58" s="4"/>
      <c r="V58" s="4"/>
      <c r="W58" s="4"/>
    </row>
    <row r="59" spans="1:23" x14ac:dyDescent="0.2">
      <c r="A59" s="4">
        <v>50</v>
      </c>
      <c r="B59" s="4">
        <v>0</v>
      </c>
      <c r="C59" s="4">
        <v>0</v>
      </c>
      <c r="D59" s="4">
        <v>1</v>
      </c>
      <c r="E59" s="4">
        <v>233</v>
      </c>
      <c r="F59" s="4">
        <f>ROUND(Source!BD34,O59)</f>
        <v>50316.94</v>
      </c>
      <c r="G59" s="4" t="s">
        <v>119</v>
      </c>
      <c r="H59" s="4" t="s">
        <v>120</v>
      </c>
      <c r="I59" s="4"/>
      <c r="J59" s="4"/>
      <c r="K59" s="4">
        <v>233</v>
      </c>
      <c r="L59" s="4">
        <v>24</v>
      </c>
      <c r="M59" s="4">
        <v>3</v>
      </c>
      <c r="N59" s="4" t="s">
        <v>3</v>
      </c>
      <c r="O59" s="4">
        <v>2</v>
      </c>
      <c r="P59" s="4"/>
      <c r="Q59" s="4"/>
      <c r="R59" s="4"/>
      <c r="S59" s="4"/>
      <c r="T59" s="4"/>
      <c r="U59" s="4"/>
      <c r="V59" s="4"/>
      <c r="W59" s="4"/>
    </row>
    <row r="60" spans="1:23" x14ac:dyDescent="0.2">
      <c r="A60" s="4">
        <v>50</v>
      </c>
      <c r="B60" s="4">
        <v>0</v>
      </c>
      <c r="C60" s="4">
        <v>0</v>
      </c>
      <c r="D60" s="4">
        <v>1</v>
      </c>
      <c r="E60" s="4">
        <v>210</v>
      </c>
      <c r="F60" s="4">
        <f>ROUND(Source!X34,O60)</f>
        <v>1809111.45</v>
      </c>
      <c r="G60" s="4" t="s">
        <v>121</v>
      </c>
      <c r="H60" s="4" t="s">
        <v>122</v>
      </c>
      <c r="I60" s="4"/>
      <c r="J60" s="4"/>
      <c r="K60" s="4">
        <v>210</v>
      </c>
      <c r="L60" s="4">
        <v>25</v>
      </c>
      <c r="M60" s="4">
        <v>3</v>
      </c>
      <c r="N60" s="4" t="s">
        <v>3</v>
      </c>
      <c r="O60" s="4">
        <v>2</v>
      </c>
      <c r="P60" s="4"/>
      <c r="Q60" s="4"/>
      <c r="R60" s="4"/>
      <c r="S60" s="4"/>
      <c r="T60" s="4"/>
      <c r="U60" s="4"/>
      <c r="V60" s="4"/>
      <c r="W60" s="4"/>
    </row>
    <row r="61" spans="1:23" x14ac:dyDescent="0.2">
      <c r="A61" s="4">
        <v>50</v>
      </c>
      <c r="B61" s="4">
        <v>0</v>
      </c>
      <c r="C61" s="4">
        <v>0</v>
      </c>
      <c r="D61" s="4">
        <v>1</v>
      </c>
      <c r="E61" s="4">
        <v>211</v>
      </c>
      <c r="F61" s="4">
        <f>ROUND(Source!Y34,O61)</f>
        <v>1051558.8999999999</v>
      </c>
      <c r="G61" s="4" t="s">
        <v>123</v>
      </c>
      <c r="H61" s="4" t="s">
        <v>124</v>
      </c>
      <c r="I61" s="4"/>
      <c r="J61" s="4"/>
      <c r="K61" s="4">
        <v>211</v>
      </c>
      <c r="L61" s="4">
        <v>26</v>
      </c>
      <c r="M61" s="4">
        <v>3</v>
      </c>
      <c r="N61" s="4" t="s">
        <v>3</v>
      </c>
      <c r="O61" s="4">
        <v>2</v>
      </c>
      <c r="P61" s="4"/>
      <c r="Q61" s="4"/>
      <c r="R61" s="4"/>
      <c r="S61" s="4"/>
      <c r="T61" s="4"/>
      <c r="U61" s="4"/>
      <c r="V61" s="4"/>
      <c r="W61" s="4"/>
    </row>
    <row r="62" spans="1:23" x14ac:dyDescent="0.2">
      <c r="A62" s="4">
        <v>50</v>
      </c>
      <c r="B62" s="4">
        <v>0</v>
      </c>
      <c r="C62" s="4">
        <v>0</v>
      </c>
      <c r="D62" s="4">
        <v>1</v>
      </c>
      <c r="E62" s="4">
        <v>224</v>
      </c>
      <c r="F62" s="4">
        <f>ROUND(Source!AR34,O62)</f>
        <v>11034495.74</v>
      </c>
      <c r="G62" s="4" t="s">
        <v>125</v>
      </c>
      <c r="H62" s="4" t="s">
        <v>126</v>
      </c>
      <c r="I62" s="4"/>
      <c r="J62" s="4"/>
      <c r="K62" s="4">
        <v>224</v>
      </c>
      <c r="L62" s="4">
        <v>27</v>
      </c>
      <c r="M62" s="4">
        <v>3</v>
      </c>
      <c r="N62" s="4" t="s">
        <v>3</v>
      </c>
      <c r="O62" s="4">
        <v>2</v>
      </c>
      <c r="P62" s="4"/>
      <c r="Q62" s="4"/>
      <c r="R62" s="4"/>
      <c r="S62" s="4"/>
      <c r="T62" s="4"/>
      <c r="U62" s="4"/>
      <c r="V62" s="4"/>
      <c r="W62" s="4"/>
    </row>
    <row r="63" spans="1:23" x14ac:dyDescent="0.2">
      <c r="A63" s="4">
        <v>50</v>
      </c>
      <c r="B63" s="4">
        <v>1</v>
      </c>
      <c r="C63" s="4">
        <v>0</v>
      </c>
      <c r="D63" s="4">
        <v>2</v>
      </c>
      <c r="E63" s="4">
        <v>0</v>
      </c>
      <c r="F63" s="4">
        <f>ROUND(F62*0.2,O63)</f>
        <v>2206899.15</v>
      </c>
      <c r="G63" s="4" t="s">
        <v>127</v>
      </c>
      <c r="H63" s="4" t="s">
        <v>128</v>
      </c>
      <c r="I63" s="4"/>
      <c r="J63" s="4"/>
      <c r="K63" s="4">
        <v>212</v>
      </c>
      <c r="L63" s="4">
        <v>28</v>
      </c>
      <c r="M63" s="4">
        <v>0</v>
      </c>
      <c r="N63" s="4" t="s">
        <v>3</v>
      </c>
      <c r="O63" s="4">
        <v>2</v>
      </c>
      <c r="P63" s="4"/>
      <c r="Q63" s="4"/>
      <c r="R63" s="4"/>
      <c r="S63" s="4"/>
      <c r="T63" s="4"/>
      <c r="U63" s="4"/>
      <c r="V63" s="4"/>
      <c r="W63" s="4"/>
    </row>
    <row r="64" spans="1:23" x14ac:dyDescent="0.2">
      <c r="A64" s="4">
        <v>50</v>
      </c>
      <c r="B64" s="4">
        <v>1</v>
      </c>
      <c r="C64" s="4">
        <v>0</v>
      </c>
      <c r="D64" s="4">
        <v>2</v>
      </c>
      <c r="E64" s="4">
        <v>0</v>
      </c>
      <c r="F64" s="4">
        <f>ROUND(F62+F63,O64)</f>
        <v>13241394.890000001</v>
      </c>
      <c r="G64" s="4" t="s">
        <v>129</v>
      </c>
      <c r="H64" s="4" t="s">
        <v>130</v>
      </c>
      <c r="I64" s="4"/>
      <c r="J64" s="4"/>
      <c r="K64" s="4">
        <v>212</v>
      </c>
      <c r="L64" s="4">
        <v>29</v>
      </c>
      <c r="M64" s="4">
        <v>0</v>
      </c>
      <c r="N64" s="4" t="s">
        <v>3</v>
      </c>
      <c r="O64" s="4">
        <v>2</v>
      </c>
      <c r="P64" s="4"/>
      <c r="Q64" s="4"/>
      <c r="R64" s="4"/>
      <c r="S64" s="4"/>
      <c r="T64" s="4"/>
      <c r="U64" s="4"/>
      <c r="V64" s="4"/>
      <c r="W64" s="4"/>
    </row>
    <row r="66" spans="1:206" x14ac:dyDescent="0.2">
      <c r="A66" s="2">
        <v>51</v>
      </c>
      <c r="B66" s="2">
        <f>B12</f>
        <v>127</v>
      </c>
      <c r="C66" s="2">
        <f>A12</f>
        <v>1</v>
      </c>
      <c r="D66" s="2">
        <f>ROW(A12)</f>
        <v>12</v>
      </c>
      <c r="E66" s="2"/>
      <c r="F66" s="2" t="str">
        <f>IF(F12&lt;&gt;"",F12,"")</f>
        <v>Новый объект</v>
      </c>
      <c r="G66" s="2" t="str">
        <f>IF(G12&lt;&gt;"",G12,"")</f>
        <v>Павловский Посад 2021</v>
      </c>
      <c r="H66" s="2">
        <v>0</v>
      </c>
      <c r="I66" s="2"/>
      <c r="J66" s="2"/>
      <c r="K66" s="2"/>
      <c r="L66" s="2"/>
      <c r="M66" s="2"/>
      <c r="N66" s="2"/>
      <c r="O66" s="2">
        <f t="shared" ref="O66:T66" si="55">ROUND(O34,2)</f>
        <v>8173825.3899999997</v>
      </c>
      <c r="P66" s="2">
        <f t="shared" si="55"/>
        <v>6237329.1299999999</v>
      </c>
      <c r="Q66" s="2">
        <f t="shared" si="55"/>
        <v>167126.28</v>
      </c>
      <c r="R66" s="2">
        <f t="shared" si="55"/>
        <v>62859.66</v>
      </c>
      <c r="S66" s="2">
        <f t="shared" si="55"/>
        <v>1769369.98</v>
      </c>
      <c r="T66" s="2">
        <f t="shared" si="55"/>
        <v>0</v>
      </c>
      <c r="U66" s="2">
        <f>U34</f>
        <v>6400.3322219999991</v>
      </c>
      <c r="V66" s="2">
        <f>V34</f>
        <v>143.69573999999997</v>
      </c>
      <c r="W66" s="2">
        <f>ROUND(W34,2)</f>
        <v>0</v>
      </c>
      <c r="X66" s="2">
        <f>ROUND(X34,2)</f>
        <v>1809111.45</v>
      </c>
      <c r="Y66" s="2">
        <f>ROUND(Y34,2)</f>
        <v>1051558.8999999999</v>
      </c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>
        <f t="shared" ref="AO66:BD66" si="56">ROUND(AO34,2)</f>
        <v>0</v>
      </c>
      <c r="AP66" s="2">
        <f t="shared" si="56"/>
        <v>0</v>
      </c>
      <c r="AQ66" s="2">
        <f t="shared" si="56"/>
        <v>0</v>
      </c>
      <c r="AR66" s="2">
        <f t="shared" si="56"/>
        <v>11034495.74</v>
      </c>
      <c r="AS66" s="2">
        <f t="shared" si="56"/>
        <v>11034495.74</v>
      </c>
      <c r="AT66" s="2">
        <f t="shared" si="56"/>
        <v>0</v>
      </c>
      <c r="AU66" s="2">
        <f t="shared" si="56"/>
        <v>0</v>
      </c>
      <c r="AV66" s="2">
        <f t="shared" si="56"/>
        <v>6237329.1299999999</v>
      </c>
      <c r="AW66" s="2">
        <f t="shared" si="56"/>
        <v>6237329.1299999999</v>
      </c>
      <c r="AX66" s="2">
        <f t="shared" si="56"/>
        <v>0</v>
      </c>
      <c r="AY66" s="2">
        <f t="shared" si="56"/>
        <v>6237329.1299999999</v>
      </c>
      <c r="AZ66" s="2">
        <f t="shared" si="56"/>
        <v>0</v>
      </c>
      <c r="BA66" s="2">
        <f t="shared" si="56"/>
        <v>0</v>
      </c>
      <c r="BB66" s="2">
        <f t="shared" si="56"/>
        <v>0</v>
      </c>
      <c r="BC66" s="2">
        <f t="shared" si="56"/>
        <v>0</v>
      </c>
      <c r="BD66" s="2">
        <f t="shared" si="56"/>
        <v>50316.94</v>
      </c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2"/>
      <c r="CW66" s="2"/>
      <c r="CX66" s="2"/>
      <c r="CY66" s="2"/>
      <c r="CZ66" s="2"/>
      <c r="DA66" s="2"/>
      <c r="DB66" s="2"/>
      <c r="DC66" s="2"/>
      <c r="DD66" s="2"/>
      <c r="DE66" s="2"/>
      <c r="DF66" s="2"/>
      <c r="DG66" s="3"/>
      <c r="DH66" s="3"/>
      <c r="DI66" s="3"/>
      <c r="DJ66" s="3"/>
      <c r="DK66" s="3"/>
      <c r="DL66" s="3"/>
      <c r="DM66" s="3"/>
      <c r="DN66" s="3"/>
      <c r="DO66" s="3"/>
      <c r="DP66" s="3"/>
      <c r="DQ66" s="3"/>
      <c r="DR66" s="3"/>
      <c r="DS66" s="3"/>
      <c r="DT66" s="3"/>
      <c r="DU66" s="3"/>
      <c r="DV66" s="3"/>
      <c r="DW66" s="3"/>
      <c r="DX66" s="3"/>
      <c r="DY66" s="3"/>
      <c r="DZ66" s="3"/>
      <c r="EA66" s="3"/>
      <c r="EB66" s="3"/>
      <c r="EC66" s="3"/>
      <c r="ED66" s="3"/>
      <c r="EE66" s="3"/>
      <c r="EF66" s="3"/>
      <c r="EG66" s="3"/>
      <c r="EH66" s="3"/>
      <c r="EI66" s="3"/>
      <c r="EJ66" s="3"/>
      <c r="EK66" s="3"/>
      <c r="EL66" s="3"/>
      <c r="EM66" s="3"/>
      <c r="EN66" s="3"/>
      <c r="EO66" s="3"/>
      <c r="EP66" s="3"/>
      <c r="EQ66" s="3"/>
      <c r="ER66" s="3"/>
      <c r="ES66" s="3"/>
      <c r="ET66" s="3"/>
      <c r="EU66" s="3"/>
      <c r="EV66" s="3"/>
      <c r="EW66" s="3"/>
      <c r="EX66" s="3"/>
      <c r="EY66" s="3"/>
      <c r="EZ66" s="3"/>
      <c r="FA66" s="3"/>
      <c r="FB66" s="3"/>
      <c r="FC66" s="3"/>
      <c r="FD66" s="3"/>
      <c r="FE66" s="3"/>
      <c r="FF66" s="3"/>
      <c r="FG66" s="3"/>
      <c r="FH66" s="3"/>
      <c r="FI66" s="3"/>
      <c r="FJ66" s="3"/>
      <c r="FK66" s="3"/>
      <c r="FL66" s="3"/>
      <c r="FM66" s="3"/>
      <c r="FN66" s="3"/>
      <c r="FO66" s="3"/>
      <c r="FP66" s="3"/>
      <c r="FQ66" s="3"/>
      <c r="FR66" s="3"/>
      <c r="FS66" s="3"/>
      <c r="FT66" s="3"/>
      <c r="FU66" s="3"/>
      <c r="FV66" s="3"/>
      <c r="FW66" s="3"/>
      <c r="FX66" s="3"/>
      <c r="FY66" s="3"/>
      <c r="FZ66" s="3"/>
      <c r="GA66" s="3"/>
      <c r="GB66" s="3"/>
      <c r="GC66" s="3"/>
      <c r="GD66" s="3"/>
      <c r="GE66" s="3"/>
      <c r="GF66" s="3"/>
      <c r="GG66" s="3"/>
      <c r="GH66" s="3"/>
      <c r="GI66" s="3"/>
      <c r="GJ66" s="3"/>
      <c r="GK66" s="3"/>
      <c r="GL66" s="3"/>
      <c r="GM66" s="3"/>
      <c r="GN66" s="3"/>
      <c r="GO66" s="3"/>
      <c r="GP66" s="3"/>
      <c r="GQ66" s="3"/>
      <c r="GR66" s="3"/>
      <c r="GS66" s="3"/>
      <c r="GT66" s="3"/>
      <c r="GU66" s="3"/>
      <c r="GV66" s="3"/>
      <c r="GW66" s="3"/>
      <c r="GX66" s="3">
        <v>0</v>
      </c>
    </row>
    <row r="68" spans="1:206" x14ac:dyDescent="0.2">
      <c r="A68" s="4">
        <v>50</v>
      </c>
      <c r="B68" s="4">
        <v>0</v>
      </c>
      <c r="C68" s="4">
        <v>0</v>
      </c>
      <c r="D68" s="4">
        <v>1</v>
      </c>
      <c r="E68" s="4">
        <v>201</v>
      </c>
      <c r="F68" s="4">
        <f>ROUND(Source!O66,O68)</f>
        <v>8173825.3899999997</v>
      </c>
      <c r="G68" s="4" t="s">
        <v>73</v>
      </c>
      <c r="H68" s="4" t="s">
        <v>74</v>
      </c>
      <c r="I68" s="4"/>
      <c r="J68" s="4"/>
      <c r="K68" s="4">
        <v>201</v>
      </c>
      <c r="L68" s="4">
        <v>1</v>
      </c>
      <c r="M68" s="4">
        <v>3</v>
      </c>
      <c r="N68" s="4" t="s">
        <v>3</v>
      </c>
      <c r="O68" s="4">
        <v>2</v>
      </c>
      <c r="P68" s="4"/>
      <c r="Q68" s="4"/>
      <c r="R68" s="4"/>
      <c r="S68" s="4"/>
      <c r="T68" s="4"/>
      <c r="U68" s="4"/>
      <c r="V68" s="4"/>
      <c r="W68" s="4"/>
    </row>
    <row r="69" spans="1:206" x14ac:dyDescent="0.2">
      <c r="A69" s="4">
        <v>50</v>
      </c>
      <c r="B69" s="4">
        <v>0</v>
      </c>
      <c r="C69" s="4">
        <v>0</v>
      </c>
      <c r="D69" s="4">
        <v>1</v>
      </c>
      <c r="E69" s="4">
        <v>202</v>
      </c>
      <c r="F69" s="4">
        <f>ROUND(Source!P66,O69)</f>
        <v>6237329.1299999999</v>
      </c>
      <c r="G69" s="4" t="s">
        <v>75</v>
      </c>
      <c r="H69" s="4" t="s">
        <v>76</v>
      </c>
      <c r="I69" s="4"/>
      <c r="J69" s="4"/>
      <c r="K69" s="4">
        <v>202</v>
      </c>
      <c r="L69" s="4">
        <v>2</v>
      </c>
      <c r="M69" s="4">
        <v>3</v>
      </c>
      <c r="N69" s="4" t="s">
        <v>3</v>
      </c>
      <c r="O69" s="4">
        <v>2</v>
      </c>
      <c r="P69" s="4"/>
      <c r="Q69" s="4"/>
      <c r="R69" s="4"/>
      <c r="S69" s="4"/>
      <c r="T69" s="4"/>
      <c r="U69" s="4"/>
      <c r="V69" s="4"/>
      <c r="W69" s="4"/>
    </row>
    <row r="70" spans="1:206" x14ac:dyDescent="0.2">
      <c r="A70" s="4">
        <v>50</v>
      </c>
      <c r="B70" s="4">
        <v>0</v>
      </c>
      <c r="C70" s="4">
        <v>0</v>
      </c>
      <c r="D70" s="4">
        <v>1</v>
      </c>
      <c r="E70" s="4">
        <v>222</v>
      </c>
      <c r="F70" s="4">
        <f>ROUND(Source!AO66,O70)</f>
        <v>0</v>
      </c>
      <c r="G70" s="4" t="s">
        <v>77</v>
      </c>
      <c r="H70" s="4" t="s">
        <v>78</v>
      </c>
      <c r="I70" s="4"/>
      <c r="J70" s="4"/>
      <c r="K70" s="4">
        <v>222</v>
      </c>
      <c r="L70" s="4">
        <v>3</v>
      </c>
      <c r="M70" s="4">
        <v>3</v>
      </c>
      <c r="N70" s="4" t="s">
        <v>3</v>
      </c>
      <c r="O70" s="4">
        <v>2</v>
      </c>
      <c r="P70" s="4"/>
      <c r="Q70" s="4"/>
      <c r="R70" s="4"/>
      <c r="S70" s="4"/>
      <c r="T70" s="4"/>
      <c r="U70" s="4"/>
      <c r="V70" s="4"/>
      <c r="W70" s="4"/>
    </row>
    <row r="71" spans="1:206" x14ac:dyDescent="0.2">
      <c r="A71" s="4">
        <v>50</v>
      </c>
      <c r="B71" s="4">
        <v>0</v>
      </c>
      <c r="C71" s="4">
        <v>0</v>
      </c>
      <c r="D71" s="4">
        <v>1</v>
      </c>
      <c r="E71" s="4">
        <v>225</v>
      </c>
      <c r="F71" s="4">
        <f>ROUND(Source!AV66,O71)</f>
        <v>6237329.1299999999</v>
      </c>
      <c r="G71" s="4" t="s">
        <v>79</v>
      </c>
      <c r="H71" s="4" t="s">
        <v>80</v>
      </c>
      <c r="I71" s="4"/>
      <c r="J71" s="4"/>
      <c r="K71" s="4">
        <v>225</v>
      </c>
      <c r="L71" s="4">
        <v>4</v>
      </c>
      <c r="M71" s="4">
        <v>3</v>
      </c>
      <c r="N71" s="4" t="s">
        <v>3</v>
      </c>
      <c r="O71" s="4">
        <v>2</v>
      </c>
      <c r="P71" s="4"/>
      <c r="Q71" s="4"/>
      <c r="R71" s="4"/>
      <c r="S71" s="4"/>
      <c r="T71" s="4"/>
      <c r="U71" s="4"/>
      <c r="V71" s="4"/>
      <c r="W71" s="4"/>
    </row>
    <row r="72" spans="1:206" x14ac:dyDescent="0.2">
      <c r="A72" s="4">
        <v>50</v>
      </c>
      <c r="B72" s="4">
        <v>0</v>
      </c>
      <c r="C72" s="4">
        <v>0</v>
      </c>
      <c r="D72" s="4">
        <v>1</v>
      </c>
      <c r="E72" s="4">
        <v>226</v>
      </c>
      <c r="F72" s="4">
        <f>ROUND(Source!AW66,O72)</f>
        <v>6237329.1299999999</v>
      </c>
      <c r="G72" s="4" t="s">
        <v>81</v>
      </c>
      <c r="H72" s="4" t="s">
        <v>82</v>
      </c>
      <c r="I72" s="4"/>
      <c r="J72" s="4"/>
      <c r="K72" s="4">
        <v>226</v>
      </c>
      <c r="L72" s="4">
        <v>5</v>
      </c>
      <c r="M72" s="4">
        <v>3</v>
      </c>
      <c r="N72" s="4" t="s">
        <v>3</v>
      </c>
      <c r="O72" s="4">
        <v>2</v>
      </c>
      <c r="P72" s="4"/>
      <c r="Q72" s="4"/>
      <c r="R72" s="4"/>
      <c r="S72" s="4"/>
      <c r="T72" s="4"/>
      <c r="U72" s="4"/>
      <c r="V72" s="4"/>
      <c r="W72" s="4"/>
    </row>
    <row r="73" spans="1:206" x14ac:dyDescent="0.2">
      <c r="A73" s="4">
        <v>50</v>
      </c>
      <c r="B73" s="4">
        <v>0</v>
      </c>
      <c r="C73" s="4">
        <v>0</v>
      </c>
      <c r="D73" s="4">
        <v>1</v>
      </c>
      <c r="E73" s="4">
        <v>227</v>
      </c>
      <c r="F73" s="4">
        <f>ROUND(Source!AX66,O73)</f>
        <v>0</v>
      </c>
      <c r="G73" s="4" t="s">
        <v>83</v>
      </c>
      <c r="H73" s="4" t="s">
        <v>84</v>
      </c>
      <c r="I73" s="4"/>
      <c r="J73" s="4"/>
      <c r="K73" s="4">
        <v>227</v>
      </c>
      <c r="L73" s="4">
        <v>6</v>
      </c>
      <c r="M73" s="4">
        <v>3</v>
      </c>
      <c r="N73" s="4" t="s">
        <v>3</v>
      </c>
      <c r="O73" s="4">
        <v>2</v>
      </c>
      <c r="P73" s="4"/>
      <c r="Q73" s="4"/>
      <c r="R73" s="4"/>
      <c r="S73" s="4"/>
      <c r="T73" s="4"/>
      <c r="U73" s="4"/>
      <c r="V73" s="4"/>
      <c r="W73" s="4"/>
    </row>
    <row r="74" spans="1:206" x14ac:dyDescent="0.2">
      <c r="A74" s="4">
        <v>50</v>
      </c>
      <c r="B74" s="4">
        <v>0</v>
      </c>
      <c r="C74" s="4">
        <v>0</v>
      </c>
      <c r="D74" s="4">
        <v>1</v>
      </c>
      <c r="E74" s="4">
        <v>228</v>
      </c>
      <c r="F74" s="4">
        <f>ROUND(Source!AY66,O74)</f>
        <v>6237329.1299999999</v>
      </c>
      <c r="G74" s="4" t="s">
        <v>85</v>
      </c>
      <c r="H74" s="4" t="s">
        <v>86</v>
      </c>
      <c r="I74" s="4"/>
      <c r="J74" s="4"/>
      <c r="K74" s="4">
        <v>228</v>
      </c>
      <c r="L74" s="4">
        <v>7</v>
      </c>
      <c r="M74" s="4">
        <v>3</v>
      </c>
      <c r="N74" s="4" t="s">
        <v>3</v>
      </c>
      <c r="O74" s="4">
        <v>2</v>
      </c>
      <c r="P74" s="4"/>
      <c r="Q74" s="4"/>
      <c r="R74" s="4"/>
      <c r="S74" s="4"/>
      <c r="T74" s="4"/>
      <c r="U74" s="4"/>
      <c r="V74" s="4"/>
      <c r="W74" s="4"/>
    </row>
    <row r="75" spans="1:206" x14ac:dyDescent="0.2">
      <c r="A75" s="4">
        <v>50</v>
      </c>
      <c r="B75" s="4">
        <v>0</v>
      </c>
      <c r="C75" s="4">
        <v>0</v>
      </c>
      <c r="D75" s="4">
        <v>1</v>
      </c>
      <c r="E75" s="4">
        <v>216</v>
      </c>
      <c r="F75" s="4">
        <f>ROUND(Source!AP66,O75)</f>
        <v>0</v>
      </c>
      <c r="G75" s="4" t="s">
        <v>87</v>
      </c>
      <c r="H75" s="4" t="s">
        <v>88</v>
      </c>
      <c r="I75" s="4"/>
      <c r="J75" s="4"/>
      <c r="K75" s="4">
        <v>216</v>
      </c>
      <c r="L75" s="4">
        <v>8</v>
      </c>
      <c r="M75" s="4">
        <v>3</v>
      </c>
      <c r="N75" s="4" t="s">
        <v>3</v>
      </c>
      <c r="O75" s="4">
        <v>2</v>
      </c>
      <c r="P75" s="4"/>
      <c r="Q75" s="4"/>
      <c r="R75" s="4"/>
      <c r="S75" s="4"/>
      <c r="T75" s="4"/>
      <c r="U75" s="4"/>
      <c r="V75" s="4"/>
      <c r="W75" s="4"/>
    </row>
    <row r="76" spans="1:206" x14ac:dyDescent="0.2">
      <c r="A76" s="4">
        <v>50</v>
      </c>
      <c r="B76" s="4">
        <v>0</v>
      </c>
      <c r="C76" s="4">
        <v>0</v>
      </c>
      <c r="D76" s="4">
        <v>1</v>
      </c>
      <c r="E76" s="4">
        <v>223</v>
      </c>
      <c r="F76" s="4">
        <f>ROUND(Source!AQ66,O76)</f>
        <v>0</v>
      </c>
      <c r="G76" s="4" t="s">
        <v>89</v>
      </c>
      <c r="H76" s="4" t="s">
        <v>90</v>
      </c>
      <c r="I76" s="4"/>
      <c r="J76" s="4"/>
      <c r="K76" s="4">
        <v>223</v>
      </c>
      <c r="L76" s="4">
        <v>9</v>
      </c>
      <c r="M76" s="4">
        <v>3</v>
      </c>
      <c r="N76" s="4" t="s">
        <v>3</v>
      </c>
      <c r="O76" s="4">
        <v>2</v>
      </c>
      <c r="P76" s="4"/>
      <c r="Q76" s="4"/>
      <c r="R76" s="4"/>
      <c r="S76" s="4"/>
      <c r="T76" s="4"/>
      <c r="U76" s="4"/>
      <c r="V76" s="4"/>
      <c r="W76" s="4"/>
    </row>
    <row r="77" spans="1:206" x14ac:dyDescent="0.2">
      <c r="A77" s="4">
        <v>50</v>
      </c>
      <c r="B77" s="4">
        <v>0</v>
      </c>
      <c r="C77" s="4">
        <v>0</v>
      </c>
      <c r="D77" s="4">
        <v>1</v>
      </c>
      <c r="E77" s="4">
        <v>229</v>
      </c>
      <c r="F77" s="4">
        <f>ROUND(Source!AZ66,O77)</f>
        <v>0</v>
      </c>
      <c r="G77" s="4" t="s">
        <v>91</v>
      </c>
      <c r="H77" s="4" t="s">
        <v>92</v>
      </c>
      <c r="I77" s="4"/>
      <c r="J77" s="4"/>
      <c r="K77" s="4">
        <v>229</v>
      </c>
      <c r="L77" s="4">
        <v>10</v>
      </c>
      <c r="M77" s="4">
        <v>3</v>
      </c>
      <c r="N77" s="4" t="s">
        <v>3</v>
      </c>
      <c r="O77" s="4">
        <v>2</v>
      </c>
      <c r="P77" s="4"/>
      <c r="Q77" s="4"/>
      <c r="R77" s="4"/>
      <c r="S77" s="4"/>
      <c r="T77" s="4"/>
      <c r="U77" s="4"/>
      <c r="V77" s="4"/>
      <c r="W77" s="4"/>
    </row>
    <row r="78" spans="1:206" x14ac:dyDescent="0.2">
      <c r="A78" s="4">
        <v>50</v>
      </c>
      <c r="B78" s="4">
        <v>0</v>
      </c>
      <c r="C78" s="4">
        <v>0</v>
      </c>
      <c r="D78" s="4">
        <v>1</v>
      </c>
      <c r="E78" s="4">
        <v>203</v>
      </c>
      <c r="F78" s="4">
        <f>ROUND(Source!Q66,O78)</f>
        <v>167126.28</v>
      </c>
      <c r="G78" s="4" t="s">
        <v>93</v>
      </c>
      <c r="H78" s="4" t="s">
        <v>94</v>
      </c>
      <c r="I78" s="4"/>
      <c r="J78" s="4"/>
      <c r="K78" s="4">
        <v>203</v>
      </c>
      <c r="L78" s="4">
        <v>11</v>
      </c>
      <c r="M78" s="4">
        <v>3</v>
      </c>
      <c r="N78" s="4" t="s">
        <v>3</v>
      </c>
      <c r="O78" s="4">
        <v>2</v>
      </c>
      <c r="P78" s="4"/>
      <c r="Q78" s="4"/>
      <c r="R78" s="4"/>
      <c r="S78" s="4"/>
      <c r="T78" s="4"/>
      <c r="U78" s="4"/>
      <c r="V78" s="4"/>
      <c r="W78" s="4"/>
    </row>
    <row r="79" spans="1:206" x14ac:dyDescent="0.2">
      <c r="A79" s="4">
        <v>50</v>
      </c>
      <c r="B79" s="4">
        <v>0</v>
      </c>
      <c r="C79" s="4">
        <v>0</v>
      </c>
      <c r="D79" s="4">
        <v>1</v>
      </c>
      <c r="E79" s="4">
        <v>231</v>
      </c>
      <c r="F79" s="4">
        <f>ROUND(Source!BB66,O79)</f>
        <v>0</v>
      </c>
      <c r="G79" s="4" t="s">
        <v>95</v>
      </c>
      <c r="H79" s="4" t="s">
        <v>96</v>
      </c>
      <c r="I79" s="4"/>
      <c r="J79" s="4"/>
      <c r="K79" s="4">
        <v>231</v>
      </c>
      <c r="L79" s="4">
        <v>12</v>
      </c>
      <c r="M79" s="4">
        <v>3</v>
      </c>
      <c r="N79" s="4" t="s">
        <v>3</v>
      </c>
      <c r="O79" s="4">
        <v>2</v>
      </c>
      <c r="P79" s="4"/>
      <c r="Q79" s="4"/>
      <c r="R79" s="4"/>
      <c r="S79" s="4"/>
      <c r="T79" s="4"/>
      <c r="U79" s="4"/>
      <c r="V79" s="4"/>
      <c r="W79" s="4"/>
    </row>
    <row r="80" spans="1:206" x14ac:dyDescent="0.2">
      <c r="A80" s="4">
        <v>50</v>
      </c>
      <c r="B80" s="4">
        <v>0</v>
      </c>
      <c r="C80" s="4">
        <v>0</v>
      </c>
      <c r="D80" s="4">
        <v>1</v>
      </c>
      <c r="E80" s="4">
        <v>204</v>
      </c>
      <c r="F80" s="4">
        <f>ROUND(Source!R66,O80)</f>
        <v>62859.66</v>
      </c>
      <c r="G80" s="4" t="s">
        <v>97</v>
      </c>
      <c r="H80" s="4" t="s">
        <v>98</v>
      </c>
      <c r="I80" s="4"/>
      <c r="J80" s="4"/>
      <c r="K80" s="4">
        <v>204</v>
      </c>
      <c r="L80" s="4">
        <v>13</v>
      </c>
      <c r="M80" s="4">
        <v>3</v>
      </c>
      <c r="N80" s="4" t="s">
        <v>3</v>
      </c>
      <c r="O80" s="4">
        <v>2</v>
      </c>
      <c r="P80" s="4"/>
      <c r="Q80" s="4"/>
      <c r="R80" s="4"/>
      <c r="S80" s="4"/>
      <c r="T80" s="4"/>
      <c r="U80" s="4"/>
      <c r="V80" s="4"/>
      <c r="W80" s="4"/>
    </row>
    <row r="81" spans="1:23" x14ac:dyDescent="0.2">
      <c r="A81" s="4">
        <v>50</v>
      </c>
      <c r="B81" s="4">
        <v>0</v>
      </c>
      <c r="C81" s="4">
        <v>0</v>
      </c>
      <c r="D81" s="4">
        <v>1</v>
      </c>
      <c r="E81" s="4">
        <v>205</v>
      </c>
      <c r="F81" s="4">
        <f>ROUND(Source!S66,O81)</f>
        <v>1769369.98</v>
      </c>
      <c r="G81" s="4" t="s">
        <v>99</v>
      </c>
      <c r="H81" s="4" t="s">
        <v>100</v>
      </c>
      <c r="I81" s="4"/>
      <c r="J81" s="4"/>
      <c r="K81" s="4">
        <v>205</v>
      </c>
      <c r="L81" s="4">
        <v>14</v>
      </c>
      <c r="M81" s="4">
        <v>3</v>
      </c>
      <c r="N81" s="4" t="s">
        <v>3</v>
      </c>
      <c r="O81" s="4">
        <v>2</v>
      </c>
      <c r="P81" s="4"/>
      <c r="Q81" s="4"/>
      <c r="R81" s="4"/>
      <c r="S81" s="4"/>
      <c r="T81" s="4"/>
      <c r="U81" s="4"/>
      <c r="V81" s="4"/>
      <c r="W81" s="4"/>
    </row>
    <row r="82" spans="1:23" x14ac:dyDescent="0.2">
      <c r="A82" s="4">
        <v>50</v>
      </c>
      <c r="B82" s="4">
        <v>0</v>
      </c>
      <c r="C82" s="4">
        <v>0</v>
      </c>
      <c r="D82" s="4">
        <v>1</v>
      </c>
      <c r="E82" s="4">
        <v>232</v>
      </c>
      <c r="F82" s="4">
        <f>ROUND(Source!BC66,O82)</f>
        <v>0</v>
      </c>
      <c r="G82" s="4" t="s">
        <v>101</v>
      </c>
      <c r="H82" s="4" t="s">
        <v>102</v>
      </c>
      <c r="I82" s="4"/>
      <c r="J82" s="4"/>
      <c r="K82" s="4">
        <v>232</v>
      </c>
      <c r="L82" s="4">
        <v>15</v>
      </c>
      <c r="M82" s="4">
        <v>3</v>
      </c>
      <c r="N82" s="4" t="s">
        <v>3</v>
      </c>
      <c r="O82" s="4">
        <v>2</v>
      </c>
      <c r="P82" s="4"/>
      <c r="Q82" s="4"/>
      <c r="R82" s="4"/>
      <c r="S82" s="4"/>
      <c r="T82" s="4"/>
      <c r="U82" s="4"/>
      <c r="V82" s="4"/>
      <c r="W82" s="4"/>
    </row>
    <row r="83" spans="1:23" x14ac:dyDescent="0.2">
      <c r="A83" s="4">
        <v>50</v>
      </c>
      <c r="B83" s="4">
        <v>0</v>
      </c>
      <c r="C83" s="4">
        <v>0</v>
      </c>
      <c r="D83" s="4">
        <v>1</v>
      </c>
      <c r="E83" s="4">
        <v>214</v>
      </c>
      <c r="F83" s="4">
        <f>ROUND(Source!AS66,O83)</f>
        <v>11034495.74</v>
      </c>
      <c r="G83" s="4" t="s">
        <v>103</v>
      </c>
      <c r="H83" s="4" t="s">
        <v>104</v>
      </c>
      <c r="I83" s="4"/>
      <c r="J83" s="4"/>
      <c r="K83" s="4">
        <v>214</v>
      </c>
      <c r="L83" s="4">
        <v>16</v>
      </c>
      <c r="M83" s="4">
        <v>3</v>
      </c>
      <c r="N83" s="4" t="s">
        <v>3</v>
      </c>
      <c r="O83" s="4">
        <v>2</v>
      </c>
      <c r="P83" s="4"/>
      <c r="Q83" s="4"/>
      <c r="R83" s="4"/>
      <c r="S83" s="4"/>
      <c r="T83" s="4"/>
      <c r="U83" s="4"/>
      <c r="V83" s="4"/>
      <c r="W83" s="4"/>
    </row>
    <row r="84" spans="1:23" x14ac:dyDescent="0.2">
      <c r="A84" s="4">
        <v>50</v>
      </c>
      <c r="B84" s="4">
        <v>0</v>
      </c>
      <c r="C84" s="4">
        <v>0</v>
      </c>
      <c r="D84" s="4">
        <v>1</v>
      </c>
      <c r="E84" s="4">
        <v>215</v>
      </c>
      <c r="F84" s="4">
        <f>ROUND(Source!AT66,O84)</f>
        <v>0</v>
      </c>
      <c r="G84" s="4" t="s">
        <v>105</v>
      </c>
      <c r="H84" s="4" t="s">
        <v>106</v>
      </c>
      <c r="I84" s="4"/>
      <c r="J84" s="4"/>
      <c r="K84" s="4">
        <v>215</v>
      </c>
      <c r="L84" s="4">
        <v>17</v>
      </c>
      <c r="M84" s="4">
        <v>3</v>
      </c>
      <c r="N84" s="4" t="s">
        <v>3</v>
      </c>
      <c r="O84" s="4">
        <v>2</v>
      </c>
      <c r="P84" s="4"/>
      <c r="Q84" s="4"/>
      <c r="R84" s="4"/>
      <c r="S84" s="4"/>
      <c r="T84" s="4"/>
      <c r="U84" s="4"/>
      <c r="V84" s="4"/>
      <c r="W84" s="4"/>
    </row>
    <row r="85" spans="1:23" x14ac:dyDescent="0.2">
      <c r="A85" s="4">
        <v>50</v>
      </c>
      <c r="B85" s="4">
        <v>0</v>
      </c>
      <c r="C85" s="4">
        <v>0</v>
      </c>
      <c r="D85" s="4">
        <v>1</v>
      </c>
      <c r="E85" s="4">
        <v>217</v>
      </c>
      <c r="F85" s="4">
        <f>ROUND(Source!AU66,O85)</f>
        <v>0</v>
      </c>
      <c r="G85" s="4" t="s">
        <v>107</v>
      </c>
      <c r="H85" s="4" t="s">
        <v>108</v>
      </c>
      <c r="I85" s="4"/>
      <c r="J85" s="4"/>
      <c r="K85" s="4">
        <v>217</v>
      </c>
      <c r="L85" s="4">
        <v>18</v>
      </c>
      <c r="M85" s="4">
        <v>3</v>
      </c>
      <c r="N85" s="4" t="s">
        <v>3</v>
      </c>
      <c r="O85" s="4">
        <v>2</v>
      </c>
      <c r="P85" s="4"/>
      <c r="Q85" s="4"/>
      <c r="R85" s="4"/>
      <c r="S85" s="4"/>
      <c r="T85" s="4"/>
      <c r="U85" s="4"/>
      <c r="V85" s="4"/>
      <c r="W85" s="4"/>
    </row>
    <row r="86" spans="1:23" x14ac:dyDescent="0.2">
      <c r="A86" s="4">
        <v>50</v>
      </c>
      <c r="B86" s="4">
        <v>0</v>
      </c>
      <c r="C86" s="4">
        <v>0</v>
      </c>
      <c r="D86" s="4">
        <v>1</v>
      </c>
      <c r="E86" s="4">
        <v>230</v>
      </c>
      <c r="F86" s="4">
        <f>ROUND(Source!BA66,O86)</f>
        <v>0</v>
      </c>
      <c r="G86" s="4" t="s">
        <v>109</v>
      </c>
      <c r="H86" s="4" t="s">
        <v>110</v>
      </c>
      <c r="I86" s="4"/>
      <c r="J86" s="4"/>
      <c r="K86" s="4">
        <v>230</v>
      </c>
      <c r="L86" s="4">
        <v>19</v>
      </c>
      <c r="M86" s="4">
        <v>3</v>
      </c>
      <c r="N86" s="4" t="s">
        <v>3</v>
      </c>
      <c r="O86" s="4">
        <v>2</v>
      </c>
      <c r="P86" s="4"/>
      <c r="Q86" s="4"/>
      <c r="R86" s="4"/>
      <c r="S86" s="4"/>
      <c r="T86" s="4"/>
      <c r="U86" s="4"/>
      <c r="V86" s="4"/>
      <c r="W86" s="4"/>
    </row>
    <row r="87" spans="1:23" x14ac:dyDescent="0.2">
      <c r="A87" s="4">
        <v>50</v>
      </c>
      <c r="B87" s="4">
        <v>0</v>
      </c>
      <c r="C87" s="4">
        <v>0</v>
      </c>
      <c r="D87" s="4">
        <v>1</v>
      </c>
      <c r="E87" s="4">
        <v>206</v>
      </c>
      <c r="F87" s="4">
        <f>ROUND(Source!T66,O87)</f>
        <v>0</v>
      </c>
      <c r="G87" s="4" t="s">
        <v>111</v>
      </c>
      <c r="H87" s="4" t="s">
        <v>112</v>
      </c>
      <c r="I87" s="4"/>
      <c r="J87" s="4"/>
      <c r="K87" s="4">
        <v>206</v>
      </c>
      <c r="L87" s="4">
        <v>20</v>
      </c>
      <c r="M87" s="4">
        <v>3</v>
      </c>
      <c r="N87" s="4" t="s">
        <v>3</v>
      </c>
      <c r="O87" s="4">
        <v>2</v>
      </c>
      <c r="P87" s="4"/>
      <c r="Q87" s="4"/>
      <c r="R87" s="4"/>
      <c r="S87" s="4"/>
      <c r="T87" s="4"/>
      <c r="U87" s="4"/>
      <c r="V87" s="4"/>
      <c r="W87" s="4"/>
    </row>
    <row r="88" spans="1:23" x14ac:dyDescent="0.2">
      <c r="A88" s="4">
        <v>50</v>
      </c>
      <c r="B88" s="4">
        <v>0</v>
      </c>
      <c r="C88" s="4">
        <v>0</v>
      </c>
      <c r="D88" s="4">
        <v>1</v>
      </c>
      <c r="E88" s="4">
        <v>207</v>
      </c>
      <c r="F88" s="4">
        <f>Source!U66</f>
        <v>6400.3322219999991</v>
      </c>
      <c r="G88" s="4" t="s">
        <v>113</v>
      </c>
      <c r="H88" s="4" t="s">
        <v>114</v>
      </c>
      <c r="I88" s="4"/>
      <c r="J88" s="4"/>
      <c r="K88" s="4">
        <v>207</v>
      </c>
      <c r="L88" s="4">
        <v>21</v>
      </c>
      <c r="M88" s="4">
        <v>3</v>
      </c>
      <c r="N88" s="4" t="s">
        <v>3</v>
      </c>
      <c r="O88" s="4">
        <v>-1</v>
      </c>
      <c r="P88" s="4"/>
      <c r="Q88" s="4"/>
      <c r="R88" s="4"/>
      <c r="S88" s="4"/>
      <c r="T88" s="4"/>
      <c r="U88" s="4"/>
      <c r="V88" s="4"/>
      <c r="W88" s="4"/>
    </row>
    <row r="89" spans="1:23" x14ac:dyDescent="0.2">
      <c r="A89" s="4">
        <v>50</v>
      </c>
      <c r="B89" s="4">
        <v>0</v>
      </c>
      <c r="C89" s="4">
        <v>0</v>
      </c>
      <c r="D89" s="4">
        <v>1</v>
      </c>
      <c r="E89" s="4">
        <v>208</v>
      </c>
      <c r="F89" s="4">
        <f>Source!V66</f>
        <v>143.69573999999997</v>
      </c>
      <c r="G89" s="4" t="s">
        <v>115</v>
      </c>
      <c r="H89" s="4" t="s">
        <v>116</v>
      </c>
      <c r="I89" s="4"/>
      <c r="J89" s="4"/>
      <c r="K89" s="4">
        <v>208</v>
      </c>
      <c r="L89" s="4">
        <v>22</v>
      </c>
      <c r="M89" s="4">
        <v>3</v>
      </c>
      <c r="N89" s="4" t="s">
        <v>3</v>
      </c>
      <c r="O89" s="4">
        <v>-1</v>
      </c>
      <c r="P89" s="4"/>
      <c r="Q89" s="4"/>
      <c r="R89" s="4"/>
      <c r="S89" s="4"/>
      <c r="T89" s="4"/>
      <c r="U89" s="4"/>
      <c r="V89" s="4"/>
      <c r="W89" s="4"/>
    </row>
    <row r="90" spans="1:23" x14ac:dyDescent="0.2">
      <c r="A90" s="4">
        <v>50</v>
      </c>
      <c r="B90" s="4">
        <v>0</v>
      </c>
      <c r="C90" s="4">
        <v>0</v>
      </c>
      <c r="D90" s="4">
        <v>1</v>
      </c>
      <c r="E90" s="4">
        <v>209</v>
      </c>
      <c r="F90" s="4">
        <f>ROUND(Source!W66,O90)</f>
        <v>0</v>
      </c>
      <c r="G90" s="4" t="s">
        <v>117</v>
      </c>
      <c r="H90" s="4" t="s">
        <v>118</v>
      </c>
      <c r="I90" s="4"/>
      <c r="J90" s="4"/>
      <c r="K90" s="4">
        <v>209</v>
      </c>
      <c r="L90" s="4">
        <v>23</v>
      </c>
      <c r="M90" s="4">
        <v>3</v>
      </c>
      <c r="N90" s="4" t="s">
        <v>3</v>
      </c>
      <c r="O90" s="4">
        <v>2</v>
      </c>
      <c r="P90" s="4"/>
      <c r="Q90" s="4"/>
      <c r="R90" s="4"/>
      <c r="S90" s="4"/>
      <c r="T90" s="4"/>
      <c r="U90" s="4"/>
      <c r="V90" s="4"/>
      <c r="W90" s="4"/>
    </row>
    <row r="91" spans="1:23" x14ac:dyDescent="0.2">
      <c r="A91" s="4">
        <v>50</v>
      </c>
      <c r="B91" s="4">
        <v>0</v>
      </c>
      <c r="C91" s="4">
        <v>0</v>
      </c>
      <c r="D91" s="4">
        <v>1</v>
      </c>
      <c r="E91" s="4">
        <v>233</v>
      </c>
      <c r="F91" s="4">
        <f>ROUND(Source!BD66,O91)</f>
        <v>50316.94</v>
      </c>
      <c r="G91" s="4" t="s">
        <v>119</v>
      </c>
      <c r="H91" s="4" t="s">
        <v>120</v>
      </c>
      <c r="I91" s="4"/>
      <c r="J91" s="4"/>
      <c r="K91" s="4">
        <v>233</v>
      </c>
      <c r="L91" s="4">
        <v>24</v>
      </c>
      <c r="M91" s="4">
        <v>3</v>
      </c>
      <c r="N91" s="4" t="s">
        <v>3</v>
      </c>
      <c r="O91" s="4">
        <v>2</v>
      </c>
      <c r="P91" s="4"/>
      <c r="Q91" s="4"/>
      <c r="R91" s="4"/>
      <c r="S91" s="4"/>
      <c r="T91" s="4"/>
      <c r="U91" s="4"/>
      <c r="V91" s="4"/>
      <c r="W91" s="4"/>
    </row>
    <row r="92" spans="1:23" x14ac:dyDescent="0.2">
      <c r="A92" s="4">
        <v>50</v>
      </c>
      <c r="B92" s="4">
        <v>0</v>
      </c>
      <c r="C92" s="4">
        <v>0</v>
      </c>
      <c r="D92" s="4">
        <v>1</v>
      </c>
      <c r="E92" s="4">
        <v>210</v>
      </c>
      <c r="F92" s="4">
        <f>ROUND(Source!X66,O92)</f>
        <v>1809111.45</v>
      </c>
      <c r="G92" s="4" t="s">
        <v>121</v>
      </c>
      <c r="H92" s="4" t="s">
        <v>122</v>
      </c>
      <c r="I92" s="4"/>
      <c r="J92" s="4"/>
      <c r="K92" s="4">
        <v>210</v>
      </c>
      <c r="L92" s="4">
        <v>25</v>
      </c>
      <c r="M92" s="4">
        <v>3</v>
      </c>
      <c r="N92" s="4" t="s">
        <v>3</v>
      </c>
      <c r="O92" s="4">
        <v>2</v>
      </c>
      <c r="P92" s="4"/>
      <c r="Q92" s="4"/>
      <c r="R92" s="4"/>
      <c r="S92" s="4"/>
      <c r="T92" s="4"/>
      <c r="U92" s="4"/>
      <c r="V92" s="4"/>
      <c r="W92" s="4"/>
    </row>
    <row r="93" spans="1:23" x14ac:dyDescent="0.2">
      <c r="A93" s="4">
        <v>50</v>
      </c>
      <c r="B93" s="4">
        <v>0</v>
      </c>
      <c r="C93" s="4">
        <v>0</v>
      </c>
      <c r="D93" s="4">
        <v>1</v>
      </c>
      <c r="E93" s="4">
        <v>211</v>
      </c>
      <c r="F93" s="4">
        <f>ROUND(Source!Y66,O93)</f>
        <v>1051558.8999999999</v>
      </c>
      <c r="G93" s="4" t="s">
        <v>123</v>
      </c>
      <c r="H93" s="4" t="s">
        <v>124</v>
      </c>
      <c r="I93" s="4"/>
      <c r="J93" s="4"/>
      <c r="K93" s="4">
        <v>211</v>
      </c>
      <c r="L93" s="4">
        <v>26</v>
      </c>
      <c r="M93" s="4">
        <v>3</v>
      </c>
      <c r="N93" s="4" t="s">
        <v>3</v>
      </c>
      <c r="O93" s="4">
        <v>2</v>
      </c>
      <c r="P93" s="4"/>
      <c r="Q93" s="4"/>
      <c r="R93" s="4"/>
      <c r="S93" s="4"/>
      <c r="T93" s="4"/>
      <c r="U93" s="4"/>
      <c r="V93" s="4"/>
      <c r="W93" s="4"/>
    </row>
    <row r="94" spans="1:23" x14ac:dyDescent="0.2">
      <c r="A94" s="4">
        <v>50</v>
      </c>
      <c r="B94" s="4">
        <v>0</v>
      </c>
      <c r="C94" s="4">
        <v>0</v>
      </c>
      <c r="D94" s="4">
        <v>1</v>
      </c>
      <c r="E94" s="4">
        <v>224</v>
      </c>
      <c r="F94" s="4">
        <f>ROUND(Source!AR66,O94)</f>
        <v>11034495.74</v>
      </c>
      <c r="G94" s="4" t="s">
        <v>125</v>
      </c>
      <c r="H94" s="4" t="s">
        <v>126</v>
      </c>
      <c r="I94" s="4"/>
      <c r="J94" s="4"/>
      <c r="K94" s="4">
        <v>224</v>
      </c>
      <c r="L94" s="4">
        <v>27</v>
      </c>
      <c r="M94" s="4">
        <v>3</v>
      </c>
      <c r="N94" s="4" t="s">
        <v>3</v>
      </c>
      <c r="O94" s="4">
        <v>2</v>
      </c>
      <c r="P94" s="4"/>
      <c r="Q94" s="4"/>
      <c r="R94" s="4"/>
      <c r="S94" s="4"/>
      <c r="T94" s="4"/>
      <c r="U94" s="4"/>
      <c r="V94" s="4"/>
      <c r="W94" s="4"/>
    </row>
    <row r="95" spans="1:23" x14ac:dyDescent="0.2">
      <c r="A95" s="4">
        <v>50</v>
      </c>
      <c r="B95" s="4">
        <v>1</v>
      </c>
      <c r="C95" s="4">
        <v>0</v>
      </c>
      <c r="D95" s="4">
        <v>2</v>
      </c>
      <c r="E95" s="4">
        <v>0</v>
      </c>
      <c r="F95" s="4">
        <f>ROUND(F94*0.2,O95)</f>
        <v>2206899.15</v>
      </c>
      <c r="G95" s="4" t="s">
        <v>127</v>
      </c>
      <c r="H95" s="4" t="s">
        <v>128</v>
      </c>
      <c r="I95" s="4"/>
      <c r="J95" s="4"/>
      <c r="K95" s="4">
        <v>212</v>
      </c>
      <c r="L95" s="4">
        <v>28</v>
      </c>
      <c r="M95" s="4">
        <v>0</v>
      </c>
      <c r="N95" s="4" t="s">
        <v>3</v>
      </c>
      <c r="O95" s="4">
        <v>2</v>
      </c>
      <c r="P95" s="4"/>
      <c r="Q95" s="4"/>
      <c r="R95" s="4"/>
      <c r="S95" s="4"/>
      <c r="T95" s="4"/>
      <c r="U95" s="4"/>
      <c r="V95" s="4"/>
      <c r="W95" s="4"/>
    </row>
    <row r="96" spans="1:23" x14ac:dyDescent="0.2">
      <c r="A96" s="4">
        <v>50</v>
      </c>
      <c r="B96" s="4">
        <v>1</v>
      </c>
      <c r="C96" s="4">
        <v>0</v>
      </c>
      <c r="D96" s="4">
        <v>2</v>
      </c>
      <c r="E96" s="4">
        <v>0</v>
      </c>
      <c r="F96" s="4">
        <f>ROUND(F94+F95,O96)</f>
        <v>13241394.890000001</v>
      </c>
      <c r="G96" s="4" t="s">
        <v>129</v>
      </c>
      <c r="H96" s="4" t="s">
        <v>130</v>
      </c>
      <c r="I96" s="4"/>
      <c r="J96" s="4"/>
      <c r="K96" s="4">
        <v>212</v>
      </c>
      <c r="L96" s="4">
        <v>29</v>
      </c>
      <c r="M96" s="4">
        <v>0</v>
      </c>
      <c r="N96" s="4" t="s">
        <v>3</v>
      </c>
      <c r="O96" s="4">
        <v>2</v>
      </c>
      <c r="P96" s="4"/>
      <c r="Q96" s="4"/>
      <c r="R96" s="4"/>
      <c r="S96" s="4"/>
      <c r="T96" s="4"/>
      <c r="U96" s="4"/>
      <c r="V96" s="4"/>
      <c r="W96" s="4"/>
    </row>
    <row r="99" spans="1:14" x14ac:dyDescent="0.2">
      <c r="A99">
        <v>70</v>
      </c>
      <c r="B99">
        <v>1</v>
      </c>
      <c r="D99">
        <v>1</v>
      </c>
      <c r="E99" t="s">
        <v>131</v>
      </c>
      <c r="F99" t="s">
        <v>132</v>
      </c>
      <c r="G99">
        <v>0</v>
      </c>
      <c r="H99">
        <v>0</v>
      </c>
      <c r="I99" t="s">
        <v>3</v>
      </c>
      <c r="J99">
        <v>1</v>
      </c>
      <c r="K99">
        <v>0</v>
      </c>
      <c r="L99" t="s">
        <v>3</v>
      </c>
      <c r="M99" t="s">
        <v>3</v>
      </c>
      <c r="N99">
        <v>0</v>
      </c>
    </row>
    <row r="100" spans="1:14" x14ac:dyDescent="0.2">
      <c r="A100">
        <v>70</v>
      </c>
      <c r="B100">
        <v>1</v>
      </c>
      <c r="D100">
        <v>2</v>
      </c>
      <c r="E100" t="s">
        <v>133</v>
      </c>
      <c r="F100" t="s">
        <v>134</v>
      </c>
      <c r="G100">
        <v>1</v>
      </c>
      <c r="H100">
        <v>0</v>
      </c>
      <c r="I100" t="s">
        <v>3</v>
      </c>
      <c r="J100">
        <v>1</v>
      </c>
      <c r="K100">
        <v>0</v>
      </c>
      <c r="L100" t="s">
        <v>3</v>
      </c>
      <c r="M100" t="s">
        <v>3</v>
      </c>
      <c r="N100">
        <v>0</v>
      </c>
    </row>
    <row r="101" spans="1:14" x14ac:dyDescent="0.2">
      <c r="A101">
        <v>70</v>
      </c>
      <c r="B101">
        <v>1</v>
      </c>
      <c r="D101">
        <v>3</v>
      </c>
      <c r="E101" t="s">
        <v>135</v>
      </c>
      <c r="F101" t="s">
        <v>136</v>
      </c>
      <c r="G101">
        <v>0</v>
      </c>
      <c r="H101">
        <v>0</v>
      </c>
      <c r="I101" t="s">
        <v>3</v>
      </c>
      <c r="J101">
        <v>1</v>
      </c>
      <c r="K101">
        <v>0</v>
      </c>
      <c r="L101" t="s">
        <v>3</v>
      </c>
      <c r="M101" t="s">
        <v>3</v>
      </c>
      <c r="N101">
        <v>0</v>
      </c>
    </row>
    <row r="102" spans="1:14" x14ac:dyDescent="0.2">
      <c r="A102">
        <v>70</v>
      </c>
      <c r="B102">
        <v>1</v>
      </c>
      <c r="D102">
        <v>4</v>
      </c>
      <c r="E102" t="s">
        <v>137</v>
      </c>
      <c r="F102" t="s">
        <v>138</v>
      </c>
      <c r="G102">
        <v>0</v>
      </c>
      <c r="H102">
        <v>0</v>
      </c>
      <c r="I102" t="s">
        <v>139</v>
      </c>
      <c r="J102">
        <v>0</v>
      </c>
      <c r="K102">
        <v>0</v>
      </c>
      <c r="L102" t="s">
        <v>3</v>
      </c>
      <c r="M102" t="s">
        <v>3</v>
      </c>
      <c r="N102">
        <v>0</v>
      </c>
    </row>
    <row r="103" spans="1:14" x14ac:dyDescent="0.2">
      <c r="A103">
        <v>70</v>
      </c>
      <c r="B103">
        <v>1</v>
      </c>
      <c r="D103">
        <v>5</v>
      </c>
      <c r="E103" t="s">
        <v>140</v>
      </c>
      <c r="F103" t="s">
        <v>141</v>
      </c>
      <c r="G103">
        <v>0</v>
      </c>
      <c r="H103">
        <v>0</v>
      </c>
      <c r="I103" t="s">
        <v>142</v>
      </c>
      <c r="J103">
        <v>0</v>
      </c>
      <c r="K103">
        <v>0</v>
      </c>
      <c r="L103" t="s">
        <v>3</v>
      </c>
      <c r="M103" t="s">
        <v>3</v>
      </c>
      <c r="N103">
        <v>0</v>
      </c>
    </row>
    <row r="104" spans="1:14" x14ac:dyDescent="0.2">
      <c r="A104">
        <v>70</v>
      </c>
      <c r="B104">
        <v>1</v>
      </c>
      <c r="D104">
        <v>6</v>
      </c>
      <c r="E104" t="s">
        <v>143</v>
      </c>
      <c r="F104" t="s">
        <v>144</v>
      </c>
      <c r="G104">
        <v>0</v>
      </c>
      <c r="H104">
        <v>0</v>
      </c>
      <c r="I104" t="s">
        <v>145</v>
      </c>
      <c r="J104">
        <v>0</v>
      </c>
      <c r="K104">
        <v>0</v>
      </c>
      <c r="L104" t="s">
        <v>3</v>
      </c>
      <c r="M104" t="s">
        <v>3</v>
      </c>
      <c r="N104">
        <v>0</v>
      </c>
    </row>
    <row r="105" spans="1:14" x14ac:dyDescent="0.2">
      <c r="A105">
        <v>70</v>
      </c>
      <c r="B105">
        <v>1</v>
      </c>
      <c r="D105">
        <v>7</v>
      </c>
      <c r="E105" t="s">
        <v>146</v>
      </c>
      <c r="F105" t="s">
        <v>147</v>
      </c>
      <c r="G105">
        <v>1</v>
      </c>
      <c r="H105">
        <v>0</v>
      </c>
      <c r="I105" t="s">
        <v>3</v>
      </c>
      <c r="J105">
        <v>0</v>
      </c>
      <c r="K105">
        <v>0</v>
      </c>
      <c r="L105" t="s">
        <v>3</v>
      </c>
      <c r="M105" t="s">
        <v>3</v>
      </c>
      <c r="N105">
        <v>0</v>
      </c>
    </row>
    <row r="106" spans="1:14" x14ac:dyDescent="0.2">
      <c r="A106">
        <v>70</v>
      </c>
      <c r="B106">
        <v>1</v>
      </c>
      <c r="D106">
        <v>8</v>
      </c>
      <c r="E106" t="s">
        <v>148</v>
      </c>
      <c r="F106" t="s">
        <v>149</v>
      </c>
      <c r="G106">
        <v>0</v>
      </c>
      <c r="H106">
        <v>0</v>
      </c>
      <c r="I106" t="s">
        <v>150</v>
      </c>
      <c r="J106">
        <v>0</v>
      </c>
      <c r="K106">
        <v>0</v>
      </c>
      <c r="L106" t="s">
        <v>3</v>
      </c>
      <c r="M106" t="s">
        <v>3</v>
      </c>
      <c r="N106">
        <v>0</v>
      </c>
    </row>
    <row r="107" spans="1:14" x14ac:dyDescent="0.2">
      <c r="A107">
        <v>70</v>
      </c>
      <c r="B107">
        <v>1</v>
      </c>
      <c r="D107">
        <v>9</v>
      </c>
      <c r="E107" t="s">
        <v>151</v>
      </c>
      <c r="F107" t="s">
        <v>152</v>
      </c>
      <c r="G107">
        <v>0</v>
      </c>
      <c r="H107">
        <v>0</v>
      </c>
      <c r="I107" t="s">
        <v>153</v>
      </c>
      <c r="J107">
        <v>0</v>
      </c>
      <c r="K107">
        <v>0</v>
      </c>
      <c r="L107" t="s">
        <v>3</v>
      </c>
      <c r="M107" t="s">
        <v>3</v>
      </c>
      <c r="N107">
        <v>0</v>
      </c>
    </row>
    <row r="108" spans="1:14" x14ac:dyDescent="0.2">
      <c r="A108">
        <v>70</v>
      </c>
      <c r="B108">
        <v>1</v>
      </c>
      <c r="D108">
        <v>10</v>
      </c>
      <c r="E108" t="s">
        <v>154</v>
      </c>
      <c r="F108" t="s">
        <v>155</v>
      </c>
      <c r="G108">
        <v>0</v>
      </c>
      <c r="H108">
        <v>0</v>
      </c>
      <c r="I108" t="s">
        <v>156</v>
      </c>
      <c r="J108">
        <v>0</v>
      </c>
      <c r="K108">
        <v>0</v>
      </c>
      <c r="L108" t="s">
        <v>3</v>
      </c>
      <c r="M108" t="s">
        <v>3</v>
      </c>
      <c r="N108">
        <v>0</v>
      </c>
    </row>
    <row r="109" spans="1:14" x14ac:dyDescent="0.2">
      <c r="A109">
        <v>70</v>
      </c>
      <c r="B109">
        <v>1</v>
      </c>
      <c r="D109">
        <v>11</v>
      </c>
      <c r="E109" t="s">
        <v>157</v>
      </c>
      <c r="F109" t="s">
        <v>158</v>
      </c>
      <c r="G109">
        <v>0</v>
      </c>
      <c r="H109">
        <v>0</v>
      </c>
      <c r="I109" t="s">
        <v>159</v>
      </c>
      <c r="J109">
        <v>0</v>
      </c>
      <c r="K109">
        <v>0</v>
      </c>
      <c r="L109" t="s">
        <v>3</v>
      </c>
      <c r="M109" t="s">
        <v>3</v>
      </c>
      <c r="N109">
        <v>0</v>
      </c>
    </row>
    <row r="110" spans="1:14" x14ac:dyDescent="0.2">
      <c r="A110">
        <v>70</v>
      </c>
      <c r="B110">
        <v>1</v>
      </c>
      <c r="D110">
        <v>12</v>
      </c>
      <c r="E110" t="s">
        <v>160</v>
      </c>
      <c r="F110" t="s">
        <v>161</v>
      </c>
      <c r="G110">
        <v>0</v>
      </c>
      <c r="H110">
        <v>0</v>
      </c>
      <c r="I110" t="s">
        <v>3</v>
      </c>
      <c r="J110">
        <v>0</v>
      </c>
      <c r="K110">
        <v>0</v>
      </c>
      <c r="L110" t="s">
        <v>3</v>
      </c>
      <c r="M110" t="s">
        <v>3</v>
      </c>
      <c r="N110">
        <v>0</v>
      </c>
    </row>
    <row r="111" spans="1:14" x14ac:dyDescent="0.2">
      <c r="A111">
        <v>70</v>
      </c>
      <c r="B111">
        <v>1</v>
      </c>
      <c r="D111">
        <v>1</v>
      </c>
      <c r="E111" t="s">
        <v>162</v>
      </c>
      <c r="F111" t="s">
        <v>163</v>
      </c>
      <c r="G111">
        <v>0.9</v>
      </c>
      <c r="H111">
        <v>1</v>
      </c>
      <c r="I111" t="s">
        <v>164</v>
      </c>
      <c r="J111">
        <v>0</v>
      </c>
      <c r="K111">
        <v>0</v>
      </c>
      <c r="L111" t="s">
        <v>3</v>
      </c>
      <c r="M111" t="s">
        <v>3</v>
      </c>
      <c r="N111">
        <v>0</v>
      </c>
    </row>
    <row r="112" spans="1:14" x14ac:dyDescent="0.2">
      <c r="A112">
        <v>70</v>
      </c>
      <c r="B112">
        <v>1</v>
      </c>
      <c r="D112">
        <v>2</v>
      </c>
      <c r="E112" t="s">
        <v>165</v>
      </c>
      <c r="F112" t="s">
        <v>166</v>
      </c>
      <c r="G112">
        <v>0.85</v>
      </c>
      <c r="H112">
        <v>1</v>
      </c>
      <c r="I112" t="s">
        <v>167</v>
      </c>
      <c r="J112">
        <v>0</v>
      </c>
      <c r="K112">
        <v>0</v>
      </c>
      <c r="L112" t="s">
        <v>3</v>
      </c>
      <c r="M112" t="s">
        <v>3</v>
      </c>
      <c r="N112">
        <v>0</v>
      </c>
    </row>
    <row r="113" spans="1:40" x14ac:dyDescent="0.2">
      <c r="A113">
        <v>70</v>
      </c>
      <c r="B113">
        <v>1</v>
      </c>
      <c r="D113">
        <v>3</v>
      </c>
      <c r="E113" t="s">
        <v>168</v>
      </c>
      <c r="F113" t="s">
        <v>169</v>
      </c>
      <c r="G113">
        <v>1</v>
      </c>
      <c r="H113">
        <v>0.85</v>
      </c>
      <c r="I113" t="s">
        <v>170</v>
      </c>
      <c r="J113">
        <v>0</v>
      </c>
      <c r="K113">
        <v>0</v>
      </c>
      <c r="L113" t="s">
        <v>3</v>
      </c>
      <c r="M113" t="s">
        <v>3</v>
      </c>
      <c r="N113">
        <v>0</v>
      </c>
    </row>
    <row r="114" spans="1:40" x14ac:dyDescent="0.2">
      <c r="A114">
        <v>70</v>
      </c>
      <c r="B114">
        <v>1</v>
      </c>
      <c r="D114">
        <v>4</v>
      </c>
      <c r="E114" t="s">
        <v>171</v>
      </c>
      <c r="F114" t="s">
        <v>172</v>
      </c>
      <c r="G114">
        <v>1</v>
      </c>
      <c r="H114">
        <v>0</v>
      </c>
      <c r="I114" t="s">
        <v>3</v>
      </c>
      <c r="J114">
        <v>0</v>
      </c>
      <c r="K114">
        <v>0</v>
      </c>
      <c r="L114" t="s">
        <v>3</v>
      </c>
      <c r="M114" t="s">
        <v>3</v>
      </c>
      <c r="N114">
        <v>0</v>
      </c>
    </row>
    <row r="115" spans="1:40" x14ac:dyDescent="0.2">
      <c r="A115">
        <v>70</v>
      </c>
      <c r="B115">
        <v>1</v>
      </c>
      <c r="D115">
        <v>5</v>
      </c>
      <c r="E115" t="s">
        <v>173</v>
      </c>
      <c r="F115" t="s">
        <v>174</v>
      </c>
      <c r="G115">
        <v>1</v>
      </c>
      <c r="H115">
        <v>0.8</v>
      </c>
      <c r="I115" t="s">
        <v>175</v>
      </c>
      <c r="J115">
        <v>0</v>
      </c>
      <c r="K115">
        <v>0</v>
      </c>
      <c r="L115" t="s">
        <v>3</v>
      </c>
      <c r="M115" t="s">
        <v>3</v>
      </c>
      <c r="N115">
        <v>0</v>
      </c>
    </row>
    <row r="116" spans="1:40" x14ac:dyDescent="0.2">
      <c r="A116">
        <v>70</v>
      </c>
      <c r="B116">
        <v>1</v>
      </c>
      <c r="D116">
        <v>6</v>
      </c>
      <c r="E116" t="s">
        <v>176</v>
      </c>
      <c r="F116" t="s">
        <v>177</v>
      </c>
      <c r="G116">
        <v>0.85</v>
      </c>
      <c r="H116">
        <v>0</v>
      </c>
      <c r="I116" t="s">
        <v>3</v>
      </c>
      <c r="J116">
        <v>0</v>
      </c>
      <c r="K116">
        <v>0</v>
      </c>
      <c r="L116" t="s">
        <v>3</v>
      </c>
      <c r="M116" t="s">
        <v>3</v>
      </c>
      <c r="N116">
        <v>0</v>
      </c>
    </row>
    <row r="117" spans="1:40" x14ac:dyDescent="0.2">
      <c r="A117">
        <v>70</v>
      </c>
      <c r="B117">
        <v>1</v>
      </c>
      <c r="D117">
        <v>7</v>
      </c>
      <c r="E117" t="s">
        <v>178</v>
      </c>
      <c r="F117" t="s">
        <v>179</v>
      </c>
      <c r="G117">
        <v>0.8</v>
      </c>
      <c r="H117">
        <v>0</v>
      </c>
      <c r="I117" t="s">
        <v>3</v>
      </c>
      <c r="J117">
        <v>0</v>
      </c>
      <c r="K117">
        <v>0</v>
      </c>
      <c r="L117" t="s">
        <v>3</v>
      </c>
      <c r="M117" t="s">
        <v>3</v>
      </c>
      <c r="N117">
        <v>0</v>
      </c>
    </row>
    <row r="118" spans="1:40" x14ac:dyDescent="0.2">
      <c r="A118">
        <v>70</v>
      </c>
      <c r="B118">
        <v>1</v>
      </c>
      <c r="D118">
        <v>8</v>
      </c>
      <c r="E118" t="s">
        <v>180</v>
      </c>
      <c r="F118" t="s">
        <v>181</v>
      </c>
      <c r="G118">
        <v>0.94</v>
      </c>
      <c r="H118">
        <v>0</v>
      </c>
      <c r="I118" t="s">
        <v>3</v>
      </c>
      <c r="J118">
        <v>0</v>
      </c>
      <c r="K118">
        <v>0</v>
      </c>
      <c r="L118" t="s">
        <v>3</v>
      </c>
      <c r="M118" t="s">
        <v>3</v>
      </c>
      <c r="N118">
        <v>0</v>
      </c>
    </row>
    <row r="119" spans="1:40" x14ac:dyDescent="0.2">
      <c r="A119">
        <v>70</v>
      </c>
      <c r="B119">
        <v>1</v>
      </c>
      <c r="D119">
        <v>9</v>
      </c>
      <c r="E119" t="s">
        <v>182</v>
      </c>
      <c r="F119" t="s">
        <v>183</v>
      </c>
      <c r="G119">
        <v>0.9</v>
      </c>
      <c r="H119">
        <v>0</v>
      </c>
      <c r="I119" t="s">
        <v>3</v>
      </c>
      <c r="J119">
        <v>0</v>
      </c>
      <c r="K119">
        <v>0</v>
      </c>
      <c r="L119" t="s">
        <v>3</v>
      </c>
      <c r="M119" t="s">
        <v>3</v>
      </c>
      <c r="N119">
        <v>0</v>
      </c>
    </row>
    <row r="120" spans="1:40" x14ac:dyDescent="0.2">
      <c r="A120">
        <v>70</v>
      </c>
      <c r="B120">
        <v>1</v>
      </c>
      <c r="D120">
        <v>10</v>
      </c>
      <c r="E120" t="s">
        <v>184</v>
      </c>
      <c r="F120" t="s">
        <v>185</v>
      </c>
      <c r="G120">
        <v>0.6</v>
      </c>
      <c r="H120">
        <v>0</v>
      </c>
      <c r="I120" t="s">
        <v>3</v>
      </c>
      <c r="J120">
        <v>0</v>
      </c>
      <c r="K120">
        <v>0</v>
      </c>
      <c r="L120" t="s">
        <v>3</v>
      </c>
      <c r="M120" t="s">
        <v>3</v>
      </c>
      <c r="N120">
        <v>0</v>
      </c>
    </row>
    <row r="121" spans="1:40" x14ac:dyDescent="0.2">
      <c r="A121">
        <v>70</v>
      </c>
      <c r="B121">
        <v>1</v>
      </c>
      <c r="D121">
        <v>11</v>
      </c>
      <c r="E121" t="s">
        <v>186</v>
      </c>
      <c r="F121" t="s">
        <v>187</v>
      </c>
      <c r="G121">
        <v>1.2</v>
      </c>
      <c r="H121">
        <v>0</v>
      </c>
      <c r="I121" t="s">
        <v>3</v>
      </c>
      <c r="J121">
        <v>0</v>
      </c>
      <c r="K121">
        <v>0</v>
      </c>
      <c r="L121" t="s">
        <v>3</v>
      </c>
      <c r="M121" t="s">
        <v>3</v>
      </c>
      <c r="N121">
        <v>0</v>
      </c>
    </row>
    <row r="122" spans="1:40" x14ac:dyDescent="0.2">
      <c r="A122">
        <v>70</v>
      </c>
      <c r="B122">
        <v>1</v>
      </c>
      <c r="D122">
        <v>12</v>
      </c>
      <c r="E122" t="s">
        <v>188</v>
      </c>
      <c r="F122" t="s">
        <v>189</v>
      </c>
      <c r="G122">
        <v>0</v>
      </c>
      <c r="H122">
        <v>0</v>
      </c>
      <c r="I122" t="s">
        <v>3</v>
      </c>
      <c r="J122">
        <v>0</v>
      </c>
      <c r="K122">
        <v>0</v>
      </c>
      <c r="L122" t="s">
        <v>3</v>
      </c>
      <c r="M122" t="s">
        <v>3</v>
      </c>
      <c r="N122">
        <v>0</v>
      </c>
    </row>
    <row r="123" spans="1:40" x14ac:dyDescent="0.2">
      <c r="A123">
        <v>70</v>
      </c>
      <c r="B123">
        <v>1</v>
      </c>
      <c r="D123">
        <v>13</v>
      </c>
      <c r="E123" t="s">
        <v>190</v>
      </c>
      <c r="F123" t="s">
        <v>191</v>
      </c>
      <c r="G123">
        <v>0.94</v>
      </c>
      <c r="H123">
        <v>0</v>
      </c>
      <c r="I123" t="s">
        <v>3</v>
      </c>
      <c r="J123">
        <v>0</v>
      </c>
      <c r="K123">
        <v>0</v>
      </c>
      <c r="L123" t="s">
        <v>3</v>
      </c>
      <c r="M123" t="s">
        <v>3</v>
      </c>
      <c r="N123">
        <v>0</v>
      </c>
    </row>
    <row r="125" spans="1:40" x14ac:dyDescent="0.2">
      <c r="A125">
        <v>-1</v>
      </c>
    </row>
    <row r="127" spans="1:40" x14ac:dyDescent="0.2">
      <c r="A127" s="3">
        <v>75</v>
      </c>
      <c r="B127" s="3" t="s">
        <v>192</v>
      </c>
      <c r="C127" s="3">
        <v>2016</v>
      </c>
      <c r="D127" s="3">
        <v>0</v>
      </c>
      <c r="E127" s="3">
        <v>4</v>
      </c>
      <c r="F127" s="3"/>
      <c r="G127" s="3">
        <v>0</v>
      </c>
      <c r="H127" s="3">
        <v>1</v>
      </c>
      <c r="I127" s="3">
        <v>0</v>
      </c>
      <c r="J127" s="3">
        <v>1</v>
      </c>
      <c r="K127" s="3">
        <v>0</v>
      </c>
      <c r="L127" s="3">
        <v>0</v>
      </c>
      <c r="M127" s="3">
        <v>0</v>
      </c>
      <c r="N127" s="3">
        <v>31375913</v>
      </c>
      <c r="O127" s="3">
        <v>1</v>
      </c>
    </row>
    <row r="128" spans="1:40" x14ac:dyDescent="0.2">
      <c r="A128" s="5">
        <v>1</v>
      </c>
      <c r="B128" s="5" t="s">
        <v>193</v>
      </c>
      <c r="C128" s="5" t="s">
        <v>194</v>
      </c>
      <c r="D128" s="5">
        <v>2021</v>
      </c>
      <c r="E128" s="5">
        <v>2</v>
      </c>
      <c r="F128" s="5">
        <v>1</v>
      </c>
      <c r="G128" s="5">
        <v>1</v>
      </c>
      <c r="H128" s="5">
        <v>0</v>
      </c>
      <c r="I128" s="5">
        <v>2</v>
      </c>
      <c r="J128" s="5">
        <v>1</v>
      </c>
      <c r="K128" s="5">
        <v>1</v>
      </c>
      <c r="L128" s="5">
        <v>1</v>
      </c>
      <c r="M128" s="5">
        <v>1</v>
      </c>
      <c r="N128" s="5">
        <v>1</v>
      </c>
      <c r="O128" s="5">
        <v>1</v>
      </c>
      <c r="P128" s="5">
        <v>1</v>
      </c>
      <c r="Q128" s="5">
        <v>1</v>
      </c>
      <c r="R128" s="5" t="s">
        <v>3</v>
      </c>
      <c r="S128" s="5" t="s">
        <v>3</v>
      </c>
      <c r="T128" s="5" t="s">
        <v>3</v>
      </c>
      <c r="U128" s="5" t="s">
        <v>3</v>
      </c>
      <c r="V128" s="5" t="s">
        <v>3</v>
      </c>
      <c r="W128" s="5" t="s">
        <v>3</v>
      </c>
      <c r="X128" s="5" t="s">
        <v>3</v>
      </c>
      <c r="Y128" s="5" t="s">
        <v>3</v>
      </c>
      <c r="Z128" s="5" t="s">
        <v>3</v>
      </c>
      <c r="AA128" s="5" t="s">
        <v>3</v>
      </c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>
        <v>31375914</v>
      </c>
    </row>
    <row r="132" spans="1:5" x14ac:dyDescent="0.2">
      <c r="A132">
        <v>65</v>
      </c>
      <c r="C132">
        <v>1</v>
      </c>
      <c r="D132">
        <v>0</v>
      </c>
      <c r="E132">
        <v>245</v>
      </c>
    </row>
  </sheetData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C54"/>
  <sheetViews>
    <sheetView workbookViewId="0"/>
  </sheetViews>
  <sheetFormatPr defaultColWidth="9.140625" defaultRowHeight="12.75" x14ac:dyDescent="0.2"/>
  <cols>
    <col min="1" max="256" width="9.140625" customWidth="1"/>
  </cols>
  <sheetData>
    <row r="1" spans="1:133" x14ac:dyDescent="0.2">
      <c r="A1">
        <v>0</v>
      </c>
      <c r="B1" t="s">
        <v>0</v>
      </c>
      <c r="D1" t="s">
        <v>195</v>
      </c>
      <c r="F1">
        <v>0</v>
      </c>
      <c r="G1">
        <v>0</v>
      </c>
      <c r="H1">
        <v>0</v>
      </c>
      <c r="I1" t="s">
        <v>2</v>
      </c>
      <c r="J1" t="s">
        <v>3</v>
      </c>
      <c r="K1">
        <v>1</v>
      </c>
      <c r="L1">
        <v>54178</v>
      </c>
      <c r="M1">
        <v>10</v>
      </c>
      <c r="N1">
        <v>11</v>
      </c>
      <c r="O1">
        <v>3</v>
      </c>
      <c r="P1">
        <v>0</v>
      </c>
      <c r="Q1">
        <v>0</v>
      </c>
    </row>
    <row r="12" spans="1:133" x14ac:dyDescent="0.2">
      <c r="A12" s="1">
        <v>1</v>
      </c>
      <c r="B12" s="1">
        <v>53</v>
      </c>
      <c r="C12" s="1">
        <v>0</v>
      </c>
      <c r="D12" s="1"/>
      <c r="E12" s="1">
        <v>0</v>
      </c>
      <c r="F12" s="1" t="s">
        <v>4</v>
      </c>
      <c r="G12" s="1" t="s">
        <v>5</v>
      </c>
      <c r="H12" s="1" t="s">
        <v>3</v>
      </c>
      <c r="I12" s="1">
        <v>0</v>
      </c>
      <c r="J12" s="1" t="s">
        <v>3</v>
      </c>
      <c r="K12" s="1">
        <v>0</v>
      </c>
      <c r="L12" s="1">
        <v>0</v>
      </c>
      <c r="M12" s="1">
        <v>2</v>
      </c>
      <c r="N12" s="1"/>
      <c r="O12" s="1">
        <v>0</v>
      </c>
      <c r="P12" s="1">
        <v>0</v>
      </c>
      <c r="Q12" s="1">
        <v>0</v>
      </c>
      <c r="R12" s="1">
        <v>0</v>
      </c>
      <c r="S12" s="1"/>
      <c r="T12" s="1">
        <v>1</v>
      </c>
      <c r="U12" s="1" t="s">
        <v>3</v>
      </c>
      <c r="V12" s="1">
        <v>0</v>
      </c>
      <c r="W12" s="1" t="s">
        <v>3</v>
      </c>
      <c r="X12" s="1" t="s">
        <v>3</v>
      </c>
      <c r="Y12" s="1" t="s">
        <v>3</v>
      </c>
      <c r="Z12" s="1" t="s">
        <v>3</v>
      </c>
      <c r="AA12" s="1" t="s">
        <v>3</v>
      </c>
      <c r="AB12" s="1" t="s">
        <v>3</v>
      </c>
      <c r="AC12" s="1" t="s">
        <v>3</v>
      </c>
      <c r="AD12" s="1" t="s">
        <v>3</v>
      </c>
      <c r="AE12" s="1" t="s">
        <v>3</v>
      </c>
      <c r="AF12" s="1" t="s">
        <v>3</v>
      </c>
      <c r="AG12" s="1" t="s">
        <v>3</v>
      </c>
      <c r="AH12" s="1" t="s">
        <v>3</v>
      </c>
      <c r="AI12" s="1" t="s">
        <v>3</v>
      </c>
      <c r="AJ12" s="1" t="s">
        <v>3</v>
      </c>
      <c r="AK12" s="1"/>
      <c r="AL12" s="1" t="s">
        <v>3</v>
      </c>
      <c r="AM12" s="1" t="s">
        <v>3</v>
      </c>
      <c r="AN12" s="1" t="s">
        <v>3</v>
      </c>
      <c r="AO12" s="1"/>
      <c r="AP12" s="1" t="s">
        <v>3</v>
      </c>
      <c r="AQ12" s="1" t="s">
        <v>3</v>
      </c>
      <c r="AR12" s="1" t="s">
        <v>3</v>
      </c>
      <c r="AS12" s="1"/>
      <c r="AT12" s="1"/>
      <c r="AU12" s="1"/>
      <c r="AV12" s="1"/>
      <c r="AW12" s="1"/>
      <c r="AX12" s="1" t="s">
        <v>3</v>
      </c>
      <c r="AY12" s="1" t="s">
        <v>3</v>
      </c>
      <c r="AZ12" s="1" t="s">
        <v>3</v>
      </c>
      <c r="BA12" s="1"/>
      <c r="BB12" s="1">
        <v>0</v>
      </c>
      <c r="BC12" s="1"/>
      <c r="BD12" s="1"/>
      <c r="BE12" s="1"/>
      <c r="BF12" s="1"/>
      <c r="BG12" s="1"/>
      <c r="BH12" s="1" t="s">
        <v>6</v>
      </c>
      <c r="BI12" s="1" t="s">
        <v>7</v>
      </c>
      <c r="BJ12" s="1">
        <v>1</v>
      </c>
      <c r="BK12" s="1">
        <v>1</v>
      </c>
      <c r="BL12" s="1">
        <v>0</v>
      </c>
      <c r="BM12" s="1">
        <v>0</v>
      </c>
      <c r="BN12" s="1">
        <v>1</v>
      </c>
      <c r="BO12" s="1">
        <v>0</v>
      </c>
      <c r="BP12" s="1">
        <v>6</v>
      </c>
      <c r="BQ12" s="1">
        <v>2</v>
      </c>
      <c r="BR12" s="1">
        <v>1</v>
      </c>
      <c r="BS12" s="1">
        <v>1</v>
      </c>
      <c r="BT12" s="1">
        <v>0</v>
      </c>
      <c r="BU12" s="1">
        <v>0</v>
      </c>
      <c r="BV12" s="1">
        <v>0</v>
      </c>
      <c r="BW12" s="1">
        <v>0</v>
      </c>
      <c r="BX12" s="1">
        <v>0</v>
      </c>
      <c r="BY12" s="1" t="s">
        <v>8</v>
      </c>
      <c r="BZ12" s="1" t="s">
        <v>9</v>
      </c>
      <c r="CA12" s="1" t="s">
        <v>10</v>
      </c>
      <c r="CB12" s="1" t="s">
        <v>10</v>
      </c>
      <c r="CC12" s="1" t="s">
        <v>10</v>
      </c>
      <c r="CD12" s="1" t="s">
        <v>10</v>
      </c>
      <c r="CE12" s="1" t="s">
        <v>11</v>
      </c>
      <c r="CF12" s="1">
        <v>0</v>
      </c>
      <c r="CG12" s="1">
        <v>0</v>
      </c>
      <c r="CH12" s="1">
        <v>8</v>
      </c>
      <c r="CI12" s="1" t="s">
        <v>3</v>
      </c>
      <c r="CJ12" s="1" t="s">
        <v>3</v>
      </c>
      <c r="CK12" s="1">
        <v>1</v>
      </c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>
        <v>0</v>
      </c>
    </row>
    <row r="14" spans="1:133" x14ac:dyDescent="0.2">
      <c r="A14" s="1">
        <v>22</v>
      </c>
      <c r="B14" s="1">
        <v>0</v>
      </c>
      <c r="C14" s="1">
        <v>0</v>
      </c>
      <c r="D14" s="1">
        <v>31375913</v>
      </c>
      <c r="E14" s="1">
        <v>0</v>
      </c>
      <c r="F14" s="1">
        <v>3</v>
      </c>
      <c r="G14" s="1"/>
      <c r="H14" s="1"/>
      <c r="I14" s="1"/>
      <c r="J14" s="1"/>
      <c r="K14" s="1"/>
      <c r="L14" s="1"/>
      <c r="M14" s="1"/>
      <c r="N14" s="1"/>
      <c r="O14" s="1"/>
    </row>
    <row r="16" spans="1:133" x14ac:dyDescent="0.2">
      <c r="A16" s="6">
        <v>3</v>
      </c>
      <c r="B16" s="6">
        <v>1</v>
      </c>
      <c r="C16" s="6" t="s">
        <v>12</v>
      </c>
      <c r="D16" s="6" t="s">
        <v>12</v>
      </c>
      <c r="E16" s="7">
        <f>(Source!F51)/1000</f>
        <v>11034.49574</v>
      </c>
      <c r="F16" s="7">
        <f>(Source!F52)/1000</f>
        <v>0</v>
      </c>
      <c r="G16" s="7">
        <f>(Source!F43)/1000</f>
        <v>0</v>
      </c>
      <c r="H16" s="7">
        <f>(Source!F53)/1000+(Source!F54)/1000</f>
        <v>0</v>
      </c>
      <c r="I16" s="7">
        <f>E16+F16+G16+H16</f>
        <v>11034.49574</v>
      </c>
      <c r="J16" s="7">
        <f>(Source!F49)/1000</f>
        <v>1769.3699799999999</v>
      </c>
      <c r="AI16" s="6">
        <v>0</v>
      </c>
      <c r="AJ16" s="6">
        <v>0</v>
      </c>
      <c r="AK16" s="6" t="s">
        <v>3</v>
      </c>
      <c r="AL16" s="6" t="s">
        <v>3</v>
      </c>
      <c r="AM16" s="6" t="s">
        <v>3</v>
      </c>
      <c r="AN16" s="6">
        <v>0</v>
      </c>
      <c r="AO16" s="6" t="s">
        <v>3</v>
      </c>
      <c r="AP16" s="6" t="s">
        <v>3</v>
      </c>
      <c r="AT16" s="7">
        <v>8173825.3899999997</v>
      </c>
      <c r="AU16" s="7">
        <v>6237329.1299999999</v>
      </c>
      <c r="AV16" s="7">
        <v>0</v>
      </c>
      <c r="AW16" s="7">
        <v>0</v>
      </c>
      <c r="AX16" s="7">
        <v>0</v>
      </c>
      <c r="AY16" s="7">
        <v>167126.28</v>
      </c>
      <c r="AZ16" s="7">
        <v>62859.66</v>
      </c>
      <c r="BA16" s="7">
        <v>1769369.98</v>
      </c>
      <c r="BB16" s="7">
        <v>11034495.74</v>
      </c>
      <c r="BC16" s="7">
        <v>0</v>
      </c>
      <c r="BD16" s="7">
        <v>0</v>
      </c>
      <c r="BE16" s="7">
        <v>0</v>
      </c>
      <c r="BF16" s="7">
        <v>6400.332222</v>
      </c>
      <c r="BG16" s="7">
        <v>143.69574</v>
      </c>
      <c r="BH16" s="7">
        <v>0</v>
      </c>
      <c r="BI16" s="7">
        <v>1809111.45</v>
      </c>
      <c r="BJ16" s="7">
        <v>1051558.8999999999</v>
      </c>
      <c r="BK16" s="7">
        <v>11034495.74</v>
      </c>
    </row>
    <row r="18" spans="1:19" x14ac:dyDescent="0.2">
      <c r="A18">
        <v>51</v>
      </c>
      <c r="E18" s="8">
        <f>SUMIF(A16:A17,3,E16:E17)</f>
        <v>11034.49574</v>
      </c>
      <c r="F18" s="8">
        <f>SUMIF(A16:A17,3,F16:F17)</f>
        <v>0</v>
      </c>
      <c r="G18" s="8">
        <f>SUMIF(A16:A17,3,G16:G17)</f>
        <v>0</v>
      </c>
      <c r="H18" s="8">
        <f>SUMIF(A16:A17,3,H16:H17)</f>
        <v>0</v>
      </c>
      <c r="I18" s="8">
        <f>SUMIF(A16:A17,3,I16:I17)</f>
        <v>11034.49574</v>
      </c>
      <c r="J18" s="8">
        <f>SUMIF(A16:A17,3,J16:J17)</f>
        <v>1769.3699799999999</v>
      </c>
      <c r="K18" s="8"/>
      <c r="L18" s="8"/>
      <c r="M18" s="8"/>
      <c r="N18" s="8"/>
      <c r="O18" s="8"/>
      <c r="P18" s="8"/>
      <c r="Q18" s="8"/>
      <c r="R18" s="8"/>
      <c r="S18" s="8"/>
    </row>
    <row r="20" spans="1:19" x14ac:dyDescent="0.2">
      <c r="A20" s="4">
        <v>50</v>
      </c>
      <c r="B20" s="4">
        <v>0</v>
      </c>
      <c r="C20" s="4">
        <v>0</v>
      </c>
      <c r="D20" s="4">
        <v>1</v>
      </c>
      <c r="E20" s="4">
        <v>201</v>
      </c>
      <c r="F20" s="4">
        <v>8173825.3899999997</v>
      </c>
      <c r="G20" s="4" t="s">
        <v>73</v>
      </c>
      <c r="H20" s="4" t="s">
        <v>74</v>
      </c>
      <c r="I20" s="4"/>
      <c r="J20" s="4"/>
      <c r="K20" s="4">
        <v>201</v>
      </c>
      <c r="L20" s="4">
        <v>1</v>
      </c>
      <c r="M20" s="4">
        <v>3</v>
      </c>
      <c r="N20" s="4" t="s">
        <v>3</v>
      </c>
      <c r="O20" s="4">
        <v>2</v>
      </c>
      <c r="P20" s="4"/>
    </row>
    <row r="21" spans="1:19" x14ac:dyDescent="0.2">
      <c r="A21" s="4">
        <v>50</v>
      </c>
      <c r="B21" s="4">
        <v>0</v>
      </c>
      <c r="C21" s="4">
        <v>0</v>
      </c>
      <c r="D21" s="4">
        <v>1</v>
      </c>
      <c r="E21" s="4">
        <v>202</v>
      </c>
      <c r="F21" s="4">
        <v>6237329.1299999999</v>
      </c>
      <c r="G21" s="4" t="s">
        <v>75</v>
      </c>
      <c r="H21" s="4" t="s">
        <v>76</v>
      </c>
      <c r="I21" s="4"/>
      <c r="J21" s="4"/>
      <c r="K21" s="4">
        <v>202</v>
      </c>
      <c r="L21" s="4">
        <v>2</v>
      </c>
      <c r="M21" s="4">
        <v>3</v>
      </c>
      <c r="N21" s="4" t="s">
        <v>3</v>
      </c>
      <c r="O21" s="4">
        <v>2</v>
      </c>
      <c r="P21" s="4"/>
    </row>
    <row r="22" spans="1:19" x14ac:dyDescent="0.2">
      <c r="A22" s="4">
        <v>50</v>
      </c>
      <c r="B22" s="4">
        <v>0</v>
      </c>
      <c r="C22" s="4">
        <v>0</v>
      </c>
      <c r="D22" s="4">
        <v>1</v>
      </c>
      <c r="E22" s="4">
        <v>222</v>
      </c>
      <c r="F22" s="4">
        <v>0</v>
      </c>
      <c r="G22" s="4" t="s">
        <v>77</v>
      </c>
      <c r="H22" s="4" t="s">
        <v>78</v>
      </c>
      <c r="I22" s="4"/>
      <c r="J22" s="4"/>
      <c r="K22" s="4">
        <v>222</v>
      </c>
      <c r="L22" s="4">
        <v>3</v>
      </c>
      <c r="M22" s="4">
        <v>3</v>
      </c>
      <c r="N22" s="4" t="s">
        <v>3</v>
      </c>
      <c r="O22" s="4">
        <v>2</v>
      </c>
      <c r="P22" s="4"/>
    </row>
    <row r="23" spans="1:19" x14ac:dyDescent="0.2">
      <c r="A23" s="4">
        <v>50</v>
      </c>
      <c r="B23" s="4">
        <v>0</v>
      </c>
      <c r="C23" s="4">
        <v>0</v>
      </c>
      <c r="D23" s="4">
        <v>1</v>
      </c>
      <c r="E23" s="4">
        <v>225</v>
      </c>
      <c r="F23" s="4">
        <v>6237329.1299999999</v>
      </c>
      <c r="G23" s="4" t="s">
        <v>79</v>
      </c>
      <c r="H23" s="4" t="s">
        <v>80</v>
      </c>
      <c r="I23" s="4"/>
      <c r="J23" s="4"/>
      <c r="K23" s="4">
        <v>225</v>
      </c>
      <c r="L23" s="4">
        <v>4</v>
      </c>
      <c r="M23" s="4">
        <v>3</v>
      </c>
      <c r="N23" s="4" t="s">
        <v>3</v>
      </c>
      <c r="O23" s="4">
        <v>2</v>
      </c>
      <c r="P23" s="4"/>
    </row>
    <row r="24" spans="1:19" x14ac:dyDescent="0.2">
      <c r="A24" s="4">
        <v>50</v>
      </c>
      <c r="B24" s="4">
        <v>0</v>
      </c>
      <c r="C24" s="4">
        <v>0</v>
      </c>
      <c r="D24" s="4">
        <v>1</v>
      </c>
      <c r="E24" s="4">
        <v>226</v>
      </c>
      <c r="F24" s="4">
        <v>6237329.1299999999</v>
      </c>
      <c r="G24" s="4" t="s">
        <v>81</v>
      </c>
      <c r="H24" s="4" t="s">
        <v>82</v>
      </c>
      <c r="I24" s="4"/>
      <c r="J24" s="4"/>
      <c r="K24" s="4">
        <v>226</v>
      </c>
      <c r="L24" s="4">
        <v>5</v>
      </c>
      <c r="M24" s="4">
        <v>3</v>
      </c>
      <c r="N24" s="4" t="s">
        <v>3</v>
      </c>
      <c r="O24" s="4">
        <v>2</v>
      </c>
      <c r="P24" s="4"/>
    </row>
    <row r="25" spans="1:19" x14ac:dyDescent="0.2">
      <c r="A25" s="4">
        <v>50</v>
      </c>
      <c r="B25" s="4">
        <v>0</v>
      </c>
      <c r="C25" s="4">
        <v>0</v>
      </c>
      <c r="D25" s="4">
        <v>1</v>
      </c>
      <c r="E25" s="4">
        <v>227</v>
      </c>
      <c r="F25" s="4">
        <v>0</v>
      </c>
      <c r="G25" s="4" t="s">
        <v>83</v>
      </c>
      <c r="H25" s="4" t="s">
        <v>84</v>
      </c>
      <c r="I25" s="4"/>
      <c r="J25" s="4"/>
      <c r="K25" s="4">
        <v>227</v>
      </c>
      <c r="L25" s="4">
        <v>6</v>
      </c>
      <c r="M25" s="4">
        <v>3</v>
      </c>
      <c r="N25" s="4" t="s">
        <v>3</v>
      </c>
      <c r="O25" s="4">
        <v>2</v>
      </c>
      <c r="P25" s="4"/>
    </row>
    <row r="26" spans="1:19" x14ac:dyDescent="0.2">
      <c r="A26" s="4">
        <v>50</v>
      </c>
      <c r="B26" s="4">
        <v>0</v>
      </c>
      <c r="C26" s="4">
        <v>0</v>
      </c>
      <c r="D26" s="4">
        <v>1</v>
      </c>
      <c r="E26" s="4">
        <v>228</v>
      </c>
      <c r="F26" s="4">
        <v>6237329.1299999999</v>
      </c>
      <c r="G26" s="4" t="s">
        <v>85</v>
      </c>
      <c r="H26" s="4" t="s">
        <v>86</v>
      </c>
      <c r="I26" s="4"/>
      <c r="J26" s="4"/>
      <c r="K26" s="4">
        <v>228</v>
      </c>
      <c r="L26" s="4">
        <v>7</v>
      </c>
      <c r="M26" s="4">
        <v>3</v>
      </c>
      <c r="N26" s="4" t="s">
        <v>3</v>
      </c>
      <c r="O26" s="4">
        <v>2</v>
      </c>
      <c r="P26" s="4"/>
    </row>
    <row r="27" spans="1:19" x14ac:dyDescent="0.2">
      <c r="A27" s="4">
        <v>50</v>
      </c>
      <c r="B27" s="4">
        <v>0</v>
      </c>
      <c r="C27" s="4">
        <v>0</v>
      </c>
      <c r="D27" s="4">
        <v>1</v>
      </c>
      <c r="E27" s="4">
        <v>216</v>
      </c>
      <c r="F27" s="4">
        <v>0</v>
      </c>
      <c r="G27" s="4" t="s">
        <v>87</v>
      </c>
      <c r="H27" s="4" t="s">
        <v>88</v>
      </c>
      <c r="I27" s="4"/>
      <c r="J27" s="4"/>
      <c r="K27" s="4">
        <v>216</v>
      </c>
      <c r="L27" s="4">
        <v>8</v>
      </c>
      <c r="M27" s="4">
        <v>3</v>
      </c>
      <c r="N27" s="4" t="s">
        <v>3</v>
      </c>
      <c r="O27" s="4">
        <v>2</v>
      </c>
      <c r="P27" s="4"/>
    </row>
    <row r="28" spans="1:19" x14ac:dyDescent="0.2">
      <c r="A28" s="4">
        <v>50</v>
      </c>
      <c r="B28" s="4">
        <v>0</v>
      </c>
      <c r="C28" s="4">
        <v>0</v>
      </c>
      <c r="D28" s="4">
        <v>1</v>
      </c>
      <c r="E28" s="4">
        <v>223</v>
      </c>
      <c r="F28" s="4">
        <v>0</v>
      </c>
      <c r="G28" s="4" t="s">
        <v>89</v>
      </c>
      <c r="H28" s="4" t="s">
        <v>90</v>
      </c>
      <c r="I28" s="4"/>
      <c r="J28" s="4"/>
      <c r="K28" s="4">
        <v>223</v>
      </c>
      <c r="L28" s="4">
        <v>9</v>
      </c>
      <c r="M28" s="4">
        <v>3</v>
      </c>
      <c r="N28" s="4" t="s">
        <v>3</v>
      </c>
      <c r="O28" s="4">
        <v>2</v>
      </c>
      <c r="P28" s="4"/>
    </row>
    <row r="29" spans="1:19" x14ac:dyDescent="0.2">
      <c r="A29" s="4">
        <v>50</v>
      </c>
      <c r="B29" s="4">
        <v>0</v>
      </c>
      <c r="C29" s="4">
        <v>0</v>
      </c>
      <c r="D29" s="4">
        <v>1</v>
      </c>
      <c r="E29" s="4">
        <v>229</v>
      </c>
      <c r="F29" s="4">
        <v>0</v>
      </c>
      <c r="G29" s="4" t="s">
        <v>91</v>
      </c>
      <c r="H29" s="4" t="s">
        <v>92</v>
      </c>
      <c r="I29" s="4"/>
      <c r="J29" s="4"/>
      <c r="K29" s="4">
        <v>229</v>
      </c>
      <c r="L29" s="4">
        <v>10</v>
      </c>
      <c r="M29" s="4">
        <v>3</v>
      </c>
      <c r="N29" s="4" t="s">
        <v>3</v>
      </c>
      <c r="O29" s="4">
        <v>2</v>
      </c>
      <c r="P29" s="4"/>
    </row>
    <row r="30" spans="1:19" x14ac:dyDescent="0.2">
      <c r="A30" s="4">
        <v>50</v>
      </c>
      <c r="B30" s="4">
        <v>0</v>
      </c>
      <c r="C30" s="4">
        <v>0</v>
      </c>
      <c r="D30" s="4">
        <v>1</v>
      </c>
      <c r="E30" s="4">
        <v>203</v>
      </c>
      <c r="F30" s="4">
        <v>167126.28</v>
      </c>
      <c r="G30" s="4" t="s">
        <v>93</v>
      </c>
      <c r="H30" s="4" t="s">
        <v>94</v>
      </c>
      <c r="I30" s="4"/>
      <c r="J30" s="4"/>
      <c r="K30" s="4">
        <v>203</v>
      </c>
      <c r="L30" s="4">
        <v>11</v>
      </c>
      <c r="M30" s="4">
        <v>3</v>
      </c>
      <c r="N30" s="4" t="s">
        <v>3</v>
      </c>
      <c r="O30" s="4">
        <v>2</v>
      </c>
      <c r="P30" s="4"/>
    </row>
    <row r="31" spans="1:19" x14ac:dyDescent="0.2">
      <c r="A31" s="4">
        <v>50</v>
      </c>
      <c r="B31" s="4">
        <v>0</v>
      </c>
      <c r="C31" s="4">
        <v>0</v>
      </c>
      <c r="D31" s="4">
        <v>1</v>
      </c>
      <c r="E31" s="4">
        <v>231</v>
      </c>
      <c r="F31" s="4">
        <v>0</v>
      </c>
      <c r="G31" s="4" t="s">
        <v>95</v>
      </c>
      <c r="H31" s="4" t="s">
        <v>96</v>
      </c>
      <c r="I31" s="4"/>
      <c r="J31" s="4"/>
      <c r="K31" s="4">
        <v>231</v>
      </c>
      <c r="L31" s="4">
        <v>12</v>
      </c>
      <c r="M31" s="4">
        <v>3</v>
      </c>
      <c r="N31" s="4" t="s">
        <v>3</v>
      </c>
      <c r="O31" s="4">
        <v>2</v>
      </c>
      <c r="P31" s="4"/>
    </row>
    <row r="32" spans="1:19" x14ac:dyDescent="0.2">
      <c r="A32" s="4">
        <v>50</v>
      </c>
      <c r="B32" s="4">
        <v>0</v>
      </c>
      <c r="C32" s="4">
        <v>0</v>
      </c>
      <c r="D32" s="4">
        <v>1</v>
      </c>
      <c r="E32" s="4">
        <v>204</v>
      </c>
      <c r="F32" s="4">
        <v>62859.66</v>
      </c>
      <c r="G32" s="4" t="s">
        <v>97</v>
      </c>
      <c r="H32" s="4" t="s">
        <v>98</v>
      </c>
      <c r="I32" s="4"/>
      <c r="J32" s="4"/>
      <c r="K32" s="4">
        <v>204</v>
      </c>
      <c r="L32" s="4">
        <v>13</v>
      </c>
      <c r="M32" s="4">
        <v>3</v>
      </c>
      <c r="N32" s="4" t="s">
        <v>3</v>
      </c>
      <c r="O32" s="4">
        <v>2</v>
      </c>
      <c r="P32" s="4"/>
    </row>
    <row r="33" spans="1:16" x14ac:dyDescent="0.2">
      <c r="A33" s="4">
        <v>50</v>
      </c>
      <c r="B33" s="4">
        <v>0</v>
      </c>
      <c r="C33" s="4">
        <v>0</v>
      </c>
      <c r="D33" s="4">
        <v>1</v>
      </c>
      <c r="E33" s="4">
        <v>205</v>
      </c>
      <c r="F33" s="4">
        <v>1769369.98</v>
      </c>
      <c r="G33" s="4" t="s">
        <v>99</v>
      </c>
      <c r="H33" s="4" t="s">
        <v>100</v>
      </c>
      <c r="I33" s="4"/>
      <c r="J33" s="4"/>
      <c r="K33" s="4">
        <v>205</v>
      </c>
      <c r="L33" s="4">
        <v>14</v>
      </c>
      <c r="M33" s="4">
        <v>3</v>
      </c>
      <c r="N33" s="4" t="s">
        <v>3</v>
      </c>
      <c r="O33" s="4">
        <v>2</v>
      </c>
      <c r="P33" s="4"/>
    </row>
    <row r="34" spans="1:16" x14ac:dyDescent="0.2">
      <c r="A34" s="4">
        <v>50</v>
      </c>
      <c r="B34" s="4">
        <v>0</v>
      </c>
      <c r="C34" s="4">
        <v>0</v>
      </c>
      <c r="D34" s="4">
        <v>1</v>
      </c>
      <c r="E34" s="4">
        <v>232</v>
      </c>
      <c r="F34" s="4">
        <v>0</v>
      </c>
      <c r="G34" s="4" t="s">
        <v>101</v>
      </c>
      <c r="H34" s="4" t="s">
        <v>102</v>
      </c>
      <c r="I34" s="4"/>
      <c r="J34" s="4"/>
      <c r="K34" s="4">
        <v>232</v>
      </c>
      <c r="L34" s="4">
        <v>15</v>
      </c>
      <c r="M34" s="4">
        <v>3</v>
      </c>
      <c r="N34" s="4" t="s">
        <v>3</v>
      </c>
      <c r="O34" s="4">
        <v>2</v>
      </c>
      <c r="P34" s="4"/>
    </row>
    <row r="35" spans="1:16" x14ac:dyDescent="0.2">
      <c r="A35" s="4">
        <v>50</v>
      </c>
      <c r="B35" s="4">
        <v>0</v>
      </c>
      <c r="C35" s="4">
        <v>0</v>
      </c>
      <c r="D35" s="4">
        <v>1</v>
      </c>
      <c r="E35" s="4">
        <v>214</v>
      </c>
      <c r="F35" s="4">
        <v>11034495.74</v>
      </c>
      <c r="G35" s="4" t="s">
        <v>103</v>
      </c>
      <c r="H35" s="4" t="s">
        <v>104</v>
      </c>
      <c r="I35" s="4"/>
      <c r="J35" s="4"/>
      <c r="K35" s="4">
        <v>214</v>
      </c>
      <c r="L35" s="4">
        <v>16</v>
      </c>
      <c r="M35" s="4">
        <v>3</v>
      </c>
      <c r="N35" s="4" t="s">
        <v>3</v>
      </c>
      <c r="O35" s="4">
        <v>2</v>
      </c>
      <c r="P35" s="4"/>
    </row>
    <row r="36" spans="1:16" x14ac:dyDescent="0.2">
      <c r="A36" s="4">
        <v>50</v>
      </c>
      <c r="B36" s="4">
        <v>0</v>
      </c>
      <c r="C36" s="4">
        <v>0</v>
      </c>
      <c r="D36" s="4">
        <v>1</v>
      </c>
      <c r="E36" s="4">
        <v>215</v>
      </c>
      <c r="F36" s="4">
        <v>0</v>
      </c>
      <c r="G36" s="4" t="s">
        <v>105</v>
      </c>
      <c r="H36" s="4" t="s">
        <v>106</v>
      </c>
      <c r="I36" s="4"/>
      <c r="J36" s="4"/>
      <c r="K36" s="4">
        <v>215</v>
      </c>
      <c r="L36" s="4">
        <v>17</v>
      </c>
      <c r="M36" s="4">
        <v>3</v>
      </c>
      <c r="N36" s="4" t="s">
        <v>3</v>
      </c>
      <c r="O36" s="4">
        <v>2</v>
      </c>
      <c r="P36" s="4"/>
    </row>
    <row r="37" spans="1:16" x14ac:dyDescent="0.2">
      <c r="A37" s="4">
        <v>50</v>
      </c>
      <c r="B37" s="4">
        <v>0</v>
      </c>
      <c r="C37" s="4">
        <v>0</v>
      </c>
      <c r="D37" s="4">
        <v>1</v>
      </c>
      <c r="E37" s="4">
        <v>217</v>
      </c>
      <c r="F37" s="4">
        <v>0</v>
      </c>
      <c r="G37" s="4" t="s">
        <v>107</v>
      </c>
      <c r="H37" s="4" t="s">
        <v>108</v>
      </c>
      <c r="I37" s="4"/>
      <c r="J37" s="4"/>
      <c r="K37" s="4">
        <v>217</v>
      </c>
      <c r="L37" s="4">
        <v>18</v>
      </c>
      <c r="M37" s="4">
        <v>3</v>
      </c>
      <c r="N37" s="4" t="s">
        <v>3</v>
      </c>
      <c r="O37" s="4">
        <v>2</v>
      </c>
      <c r="P37" s="4"/>
    </row>
    <row r="38" spans="1:16" x14ac:dyDescent="0.2">
      <c r="A38" s="4">
        <v>50</v>
      </c>
      <c r="B38" s="4">
        <v>0</v>
      </c>
      <c r="C38" s="4">
        <v>0</v>
      </c>
      <c r="D38" s="4">
        <v>1</v>
      </c>
      <c r="E38" s="4">
        <v>230</v>
      </c>
      <c r="F38" s="4">
        <v>0</v>
      </c>
      <c r="G38" s="4" t="s">
        <v>109</v>
      </c>
      <c r="H38" s="4" t="s">
        <v>110</v>
      </c>
      <c r="I38" s="4"/>
      <c r="J38" s="4"/>
      <c r="K38" s="4">
        <v>230</v>
      </c>
      <c r="L38" s="4">
        <v>19</v>
      </c>
      <c r="M38" s="4">
        <v>3</v>
      </c>
      <c r="N38" s="4" t="s">
        <v>3</v>
      </c>
      <c r="O38" s="4">
        <v>2</v>
      </c>
      <c r="P38" s="4"/>
    </row>
    <row r="39" spans="1:16" x14ac:dyDescent="0.2">
      <c r="A39" s="4">
        <v>50</v>
      </c>
      <c r="B39" s="4">
        <v>0</v>
      </c>
      <c r="C39" s="4">
        <v>0</v>
      </c>
      <c r="D39" s="4">
        <v>1</v>
      </c>
      <c r="E39" s="4">
        <v>206</v>
      </c>
      <c r="F39" s="4">
        <v>0</v>
      </c>
      <c r="G39" s="4" t="s">
        <v>111</v>
      </c>
      <c r="H39" s="4" t="s">
        <v>112</v>
      </c>
      <c r="I39" s="4"/>
      <c r="J39" s="4"/>
      <c r="K39" s="4">
        <v>206</v>
      </c>
      <c r="L39" s="4">
        <v>20</v>
      </c>
      <c r="M39" s="4">
        <v>3</v>
      </c>
      <c r="N39" s="4" t="s">
        <v>3</v>
      </c>
      <c r="O39" s="4">
        <v>2</v>
      </c>
      <c r="P39" s="4"/>
    </row>
    <row r="40" spans="1:16" x14ac:dyDescent="0.2">
      <c r="A40" s="4">
        <v>50</v>
      </c>
      <c r="B40" s="4">
        <v>0</v>
      </c>
      <c r="C40" s="4">
        <v>0</v>
      </c>
      <c r="D40" s="4">
        <v>1</v>
      </c>
      <c r="E40" s="4">
        <v>207</v>
      </c>
      <c r="F40" s="4">
        <v>6400.332222</v>
      </c>
      <c r="G40" s="4" t="s">
        <v>113</v>
      </c>
      <c r="H40" s="4" t="s">
        <v>114</v>
      </c>
      <c r="I40" s="4"/>
      <c r="J40" s="4"/>
      <c r="K40" s="4">
        <v>207</v>
      </c>
      <c r="L40" s="4">
        <v>21</v>
      </c>
      <c r="M40" s="4">
        <v>3</v>
      </c>
      <c r="N40" s="4" t="s">
        <v>3</v>
      </c>
      <c r="O40" s="4">
        <v>-1</v>
      </c>
      <c r="P40" s="4"/>
    </row>
    <row r="41" spans="1:16" x14ac:dyDescent="0.2">
      <c r="A41" s="4">
        <v>50</v>
      </c>
      <c r="B41" s="4">
        <v>0</v>
      </c>
      <c r="C41" s="4">
        <v>0</v>
      </c>
      <c r="D41" s="4">
        <v>1</v>
      </c>
      <c r="E41" s="4">
        <v>208</v>
      </c>
      <c r="F41" s="4">
        <v>143.69574</v>
      </c>
      <c r="G41" s="4" t="s">
        <v>115</v>
      </c>
      <c r="H41" s="4" t="s">
        <v>116</v>
      </c>
      <c r="I41" s="4"/>
      <c r="J41" s="4"/>
      <c r="K41" s="4">
        <v>208</v>
      </c>
      <c r="L41" s="4">
        <v>22</v>
      </c>
      <c r="M41" s="4">
        <v>3</v>
      </c>
      <c r="N41" s="4" t="s">
        <v>3</v>
      </c>
      <c r="O41" s="4">
        <v>-1</v>
      </c>
      <c r="P41" s="4"/>
    </row>
    <row r="42" spans="1:16" x14ac:dyDescent="0.2">
      <c r="A42" s="4">
        <v>50</v>
      </c>
      <c r="B42" s="4">
        <v>0</v>
      </c>
      <c r="C42" s="4">
        <v>0</v>
      </c>
      <c r="D42" s="4">
        <v>1</v>
      </c>
      <c r="E42" s="4">
        <v>209</v>
      </c>
      <c r="F42" s="4">
        <v>0</v>
      </c>
      <c r="G42" s="4" t="s">
        <v>117</v>
      </c>
      <c r="H42" s="4" t="s">
        <v>118</v>
      </c>
      <c r="I42" s="4"/>
      <c r="J42" s="4"/>
      <c r="K42" s="4">
        <v>209</v>
      </c>
      <c r="L42" s="4">
        <v>23</v>
      </c>
      <c r="M42" s="4">
        <v>3</v>
      </c>
      <c r="N42" s="4" t="s">
        <v>3</v>
      </c>
      <c r="O42" s="4">
        <v>2</v>
      </c>
      <c r="P42" s="4"/>
    </row>
    <row r="43" spans="1:16" x14ac:dyDescent="0.2">
      <c r="A43" s="4">
        <v>50</v>
      </c>
      <c r="B43" s="4">
        <v>0</v>
      </c>
      <c r="C43" s="4">
        <v>0</v>
      </c>
      <c r="D43" s="4">
        <v>1</v>
      </c>
      <c r="E43" s="4">
        <v>233</v>
      </c>
      <c r="F43" s="4">
        <v>50316.94</v>
      </c>
      <c r="G43" s="4" t="s">
        <v>119</v>
      </c>
      <c r="H43" s="4" t="s">
        <v>120</v>
      </c>
      <c r="I43" s="4"/>
      <c r="J43" s="4"/>
      <c r="K43" s="4">
        <v>233</v>
      </c>
      <c r="L43" s="4">
        <v>24</v>
      </c>
      <c r="M43" s="4">
        <v>3</v>
      </c>
      <c r="N43" s="4" t="s">
        <v>3</v>
      </c>
      <c r="O43" s="4">
        <v>2</v>
      </c>
      <c r="P43" s="4"/>
    </row>
    <row r="44" spans="1:16" x14ac:dyDescent="0.2">
      <c r="A44" s="4">
        <v>50</v>
      </c>
      <c r="B44" s="4">
        <v>0</v>
      </c>
      <c r="C44" s="4">
        <v>0</v>
      </c>
      <c r="D44" s="4">
        <v>1</v>
      </c>
      <c r="E44" s="4">
        <v>210</v>
      </c>
      <c r="F44" s="4">
        <v>1809111.45</v>
      </c>
      <c r="G44" s="4" t="s">
        <v>121</v>
      </c>
      <c r="H44" s="4" t="s">
        <v>122</v>
      </c>
      <c r="I44" s="4"/>
      <c r="J44" s="4"/>
      <c r="K44" s="4">
        <v>210</v>
      </c>
      <c r="L44" s="4">
        <v>25</v>
      </c>
      <c r="M44" s="4">
        <v>3</v>
      </c>
      <c r="N44" s="4" t="s">
        <v>3</v>
      </c>
      <c r="O44" s="4">
        <v>2</v>
      </c>
      <c r="P44" s="4"/>
    </row>
    <row r="45" spans="1:16" x14ac:dyDescent="0.2">
      <c r="A45" s="4">
        <v>50</v>
      </c>
      <c r="B45" s="4">
        <v>0</v>
      </c>
      <c r="C45" s="4">
        <v>0</v>
      </c>
      <c r="D45" s="4">
        <v>1</v>
      </c>
      <c r="E45" s="4">
        <v>211</v>
      </c>
      <c r="F45" s="4">
        <v>1051558.8999999999</v>
      </c>
      <c r="G45" s="4" t="s">
        <v>123</v>
      </c>
      <c r="H45" s="4" t="s">
        <v>124</v>
      </c>
      <c r="I45" s="4"/>
      <c r="J45" s="4"/>
      <c r="K45" s="4">
        <v>211</v>
      </c>
      <c r="L45" s="4">
        <v>26</v>
      </c>
      <c r="M45" s="4">
        <v>3</v>
      </c>
      <c r="N45" s="4" t="s">
        <v>3</v>
      </c>
      <c r="O45" s="4">
        <v>2</v>
      </c>
      <c r="P45" s="4"/>
    </row>
    <row r="46" spans="1:16" x14ac:dyDescent="0.2">
      <c r="A46" s="4">
        <v>50</v>
      </c>
      <c r="B46" s="4">
        <v>0</v>
      </c>
      <c r="C46" s="4">
        <v>0</v>
      </c>
      <c r="D46" s="4">
        <v>1</v>
      </c>
      <c r="E46" s="4">
        <v>224</v>
      </c>
      <c r="F46" s="4">
        <v>11034495.74</v>
      </c>
      <c r="G46" s="4" t="s">
        <v>125</v>
      </c>
      <c r="H46" s="4" t="s">
        <v>126</v>
      </c>
      <c r="I46" s="4"/>
      <c r="J46" s="4"/>
      <c r="K46" s="4">
        <v>224</v>
      </c>
      <c r="L46" s="4">
        <v>27</v>
      </c>
      <c r="M46" s="4">
        <v>3</v>
      </c>
      <c r="N46" s="4" t="s">
        <v>3</v>
      </c>
      <c r="O46" s="4">
        <v>2</v>
      </c>
      <c r="P46" s="4"/>
    </row>
    <row r="47" spans="1:16" x14ac:dyDescent="0.2">
      <c r="A47" s="4">
        <v>50</v>
      </c>
      <c r="B47" s="4">
        <v>1</v>
      </c>
      <c r="C47" s="4">
        <v>0</v>
      </c>
      <c r="D47" s="4">
        <v>2</v>
      </c>
      <c r="E47" s="4">
        <v>0</v>
      </c>
      <c r="F47" s="4">
        <v>2206899.15</v>
      </c>
      <c r="G47" s="4" t="s">
        <v>127</v>
      </c>
      <c r="H47" s="4" t="s">
        <v>128</v>
      </c>
      <c r="I47" s="4"/>
      <c r="J47" s="4"/>
      <c r="K47" s="4">
        <v>212</v>
      </c>
      <c r="L47" s="4">
        <v>28</v>
      </c>
      <c r="M47" s="4">
        <v>0</v>
      </c>
      <c r="N47" s="4" t="s">
        <v>3</v>
      </c>
      <c r="O47" s="4">
        <v>2</v>
      </c>
      <c r="P47" s="4"/>
    </row>
    <row r="48" spans="1:16" x14ac:dyDescent="0.2">
      <c r="A48" s="4">
        <v>50</v>
      </c>
      <c r="B48" s="4">
        <v>1</v>
      </c>
      <c r="C48" s="4">
        <v>0</v>
      </c>
      <c r="D48" s="4">
        <v>2</v>
      </c>
      <c r="E48" s="4">
        <v>0</v>
      </c>
      <c r="F48" s="4">
        <v>13241394.890000001</v>
      </c>
      <c r="G48" s="4" t="s">
        <v>129</v>
      </c>
      <c r="H48" s="4" t="s">
        <v>130</v>
      </c>
      <c r="I48" s="4"/>
      <c r="J48" s="4"/>
      <c r="K48" s="4">
        <v>212</v>
      </c>
      <c r="L48" s="4">
        <v>29</v>
      </c>
      <c r="M48" s="4">
        <v>0</v>
      </c>
      <c r="N48" s="4" t="s">
        <v>3</v>
      </c>
      <c r="O48" s="4">
        <v>2</v>
      </c>
      <c r="P48" s="4"/>
    </row>
    <row r="50" spans="1:40" x14ac:dyDescent="0.2">
      <c r="A50">
        <v>-1</v>
      </c>
    </row>
    <row r="53" spans="1:40" x14ac:dyDescent="0.2">
      <c r="A53" s="3">
        <v>75</v>
      </c>
      <c r="B53" s="3" t="s">
        <v>192</v>
      </c>
      <c r="C53" s="3">
        <v>2016</v>
      </c>
      <c r="D53" s="3">
        <v>0</v>
      </c>
      <c r="E53" s="3">
        <v>4</v>
      </c>
      <c r="F53" s="3"/>
      <c r="G53" s="3">
        <v>0</v>
      </c>
      <c r="H53" s="3">
        <v>1</v>
      </c>
      <c r="I53" s="3">
        <v>0</v>
      </c>
      <c r="J53" s="3">
        <v>1</v>
      </c>
      <c r="K53" s="3">
        <v>0</v>
      </c>
      <c r="L53" s="3">
        <v>0</v>
      </c>
      <c r="M53" s="3">
        <v>0</v>
      </c>
      <c r="N53" s="3">
        <v>31375913</v>
      </c>
      <c r="O53" s="3">
        <v>1</v>
      </c>
    </row>
    <row r="54" spans="1:40" x14ac:dyDescent="0.2">
      <c r="A54" s="5">
        <v>1</v>
      </c>
      <c r="B54" s="5" t="s">
        <v>193</v>
      </c>
      <c r="C54" s="5" t="s">
        <v>194</v>
      </c>
      <c r="D54" s="5">
        <v>2021</v>
      </c>
      <c r="E54" s="5">
        <v>2</v>
      </c>
      <c r="F54" s="5">
        <v>1</v>
      </c>
      <c r="G54" s="5">
        <v>1</v>
      </c>
      <c r="H54" s="5">
        <v>0</v>
      </c>
      <c r="I54" s="5">
        <v>2</v>
      </c>
      <c r="J54" s="5">
        <v>1</v>
      </c>
      <c r="K54" s="5">
        <v>1</v>
      </c>
      <c r="L54" s="5">
        <v>1</v>
      </c>
      <c r="M54" s="5">
        <v>1</v>
      </c>
      <c r="N54" s="5">
        <v>1</v>
      </c>
      <c r="O54" s="5">
        <v>1</v>
      </c>
      <c r="P54" s="5">
        <v>1</v>
      </c>
      <c r="Q54" s="5">
        <v>1</v>
      </c>
      <c r="R54" s="5" t="s">
        <v>3</v>
      </c>
      <c r="S54" s="5" t="s">
        <v>3</v>
      </c>
      <c r="T54" s="5" t="s">
        <v>3</v>
      </c>
      <c r="U54" s="5" t="s">
        <v>3</v>
      </c>
      <c r="V54" s="5" t="s">
        <v>3</v>
      </c>
      <c r="W54" s="5" t="s">
        <v>3</v>
      </c>
      <c r="X54" s="5" t="s">
        <v>3</v>
      </c>
      <c r="Y54" s="5" t="s">
        <v>3</v>
      </c>
      <c r="Z54" s="5" t="s">
        <v>3</v>
      </c>
      <c r="AA54" s="5" t="s">
        <v>3</v>
      </c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>
        <v>31375914</v>
      </c>
    </row>
  </sheetData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C38"/>
  <sheetViews>
    <sheetView workbookViewId="0"/>
  </sheetViews>
  <sheetFormatPr defaultColWidth="9.140625" defaultRowHeight="12.75" x14ac:dyDescent="0.2"/>
  <cols>
    <col min="1" max="256" width="9.140625" customWidth="1"/>
  </cols>
  <sheetData>
    <row r="1" spans="1:107" x14ac:dyDescent="0.2">
      <c r="A1">
        <f>ROW(Source!A24)</f>
        <v>24</v>
      </c>
      <c r="B1">
        <v>31375913</v>
      </c>
      <c r="C1">
        <v>31376064</v>
      </c>
      <c r="D1">
        <v>18409661</v>
      </c>
      <c r="E1">
        <v>1</v>
      </c>
      <c r="F1">
        <v>1</v>
      </c>
      <c r="G1">
        <v>1</v>
      </c>
      <c r="H1">
        <v>1</v>
      </c>
      <c r="I1" t="s">
        <v>196</v>
      </c>
      <c r="J1" t="s">
        <v>3</v>
      </c>
      <c r="K1" t="s">
        <v>197</v>
      </c>
      <c r="L1">
        <v>1369</v>
      </c>
      <c r="N1">
        <v>1013</v>
      </c>
      <c r="O1" t="s">
        <v>198</v>
      </c>
      <c r="P1" t="s">
        <v>198</v>
      </c>
      <c r="Q1">
        <v>1</v>
      </c>
      <c r="W1">
        <v>0</v>
      </c>
      <c r="X1">
        <v>1989723076</v>
      </c>
      <c r="Y1">
        <v>70.2</v>
      </c>
      <c r="AA1">
        <v>0</v>
      </c>
      <c r="AB1">
        <v>0</v>
      </c>
      <c r="AC1">
        <v>0</v>
      </c>
      <c r="AD1">
        <v>8.64</v>
      </c>
      <c r="AE1">
        <v>0</v>
      </c>
      <c r="AF1">
        <v>0</v>
      </c>
      <c r="AG1">
        <v>0</v>
      </c>
      <c r="AH1">
        <v>8.64</v>
      </c>
      <c r="AI1">
        <v>1</v>
      </c>
      <c r="AJ1">
        <v>1</v>
      </c>
      <c r="AK1">
        <v>1</v>
      </c>
      <c r="AL1">
        <v>1</v>
      </c>
      <c r="AN1">
        <v>0</v>
      </c>
      <c r="AO1">
        <v>1</v>
      </c>
      <c r="AP1">
        <v>0</v>
      </c>
      <c r="AQ1">
        <v>0</v>
      </c>
      <c r="AR1">
        <v>0</v>
      </c>
      <c r="AS1" t="s">
        <v>3</v>
      </c>
      <c r="AT1">
        <v>70.2</v>
      </c>
      <c r="AU1" t="s">
        <v>3</v>
      </c>
      <c r="AV1">
        <v>1</v>
      </c>
      <c r="AW1">
        <v>2</v>
      </c>
      <c r="AX1">
        <v>31376065</v>
      </c>
      <c r="AY1">
        <v>1</v>
      </c>
      <c r="AZ1">
        <v>0</v>
      </c>
      <c r="BA1">
        <v>1</v>
      </c>
      <c r="BB1">
        <v>0</v>
      </c>
      <c r="BC1">
        <v>0</v>
      </c>
      <c r="BD1">
        <v>0</v>
      </c>
      <c r="BE1">
        <v>0</v>
      </c>
      <c r="BF1">
        <v>0</v>
      </c>
      <c r="BG1">
        <v>0</v>
      </c>
      <c r="BH1">
        <v>0</v>
      </c>
      <c r="BI1">
        <v>0</v>
      </c>
      <c r="BJ1">
        <v>0</v>
      </c>
      <c r="BK1">
        <v>0</v>
      </c>
      <c r="BL1">
        <v>0</v>
      </c>
      <c r="BM1">
        <v>0</v>
      </c>
      <c r="BN1">
        <v>0</v>
      </c>
      <c r="BO1">
        <v>0</v>
      </c>
      <c r="BP1">
        <v>0</v>
      </c>
      <c r="BQ1">
        <v>0</v>
      </c>
      <c r="BR1">
        <v>0</v>
      </c>
      <c r="BS1">
        <v>0</v>
      </c>
      <c r="BT1">
        <v>0</v>
      </c>
      <c r="BU1">
        <v>0</v>
      </c>
      <c r="BV1">
        <v>0</v>
      </c>
      <c r="BW1">
        <v>0</v>
      </c>
      <c r="CX1">
        <f>Y1*Source!I24</f>
        <v>217.62</v>
      </c>
      <c r="CY1">
        <f>AD1</f>
        <v>8.64</v>
      </c>
      <c r="CZ1">
        <f>AH1</f>
        <v>8.64</v>
      </c>
      <c r="DA1">
        <f>AL1</f>
        <v>1</v>
      </c>
      <c r="DB1">
        <f t="shared" ref="DB1:DB38" si="0">ROUND(ROUND(AT1*CZ1,2),6)</f>
        <v>606.53</v>
      </c>
      <c r="DC1">
        <f t="shared" ref="DC1:DC38" si="1">ROUND(ROUND(AT1*AG1,2),6)</f>
        <v>0</v>
      </c>
    </row>
    <row r="2" spans="1:107" x14ac:dyDescent="0.2">
      <c r="A2">
        <f>ROW(Source!A24)</f>
        <v>24</v>
      </c>
      <c r="B2">
        <v>31375913</v>
      </c>
      <c r="C2">
        <v>31376064</v>
      </c>
      <c r="D2">
        <v>29330134</v>
      </c>
      <c r="E2">
        <v>1</v>
      </c>
      <c r="F2">
        <v>1</v>
      </c>
      <c r="G2">
        <v>1</v>
      </c>
      <c r="H2">
        <v>2</v>
      </c>
      <c r="I2" t="s">
        <v>199</v>
      </c>
      <c r="J2" t="s">
        <v>200</v>
      </c>
      <c r="K2" t="s">
        <v>201</v>
      </c>
      <c r="L2">
        <v>1368</v>
      </c>
      <c r="N2">
        <v>1011</v>
      </c>
      <c r="O2" t="s">
        <v>202</v>
      </c>
      <c r="P2" t="s">
        <v>202</v>
      </c>
      <c r="Q2">
        <v>1</v>
      </c>
      <c r="W2">
        <v>0</v>
      </c>
      <c r="X2">
        <v>1230759911</v>
      </c>
      <c r="Y2">
        <v>0.18</v>
      </c>
      <c r="AA2">
        <v>0</v>
      </c>
      <c r="AB2">
        <v>932.72</v>
      </c>
      <c r="AC2">
        <v>383.38</v>
      </c>
      <c r="AD2">
        <v>0</v>
      </c>
      <c r="AE2">
        <v>0</v>
      </c>
      <c r="AF2">
        <v>87.17</v>
      </c>
      <c r="AG2">
        <v>11.6</v>
      </c>
      <c r="AH2">
        <v>0</v>
      </c>
      <c r="AI2">
        <v>1</v>
      </c>
      <c r="AJ2">
        <v>10.7</v>
      </c>
      <c r="AK2">
        <v>33.049999999999997</v>
      </c>
      <c r="AL2">
        <v>1</v>
      </c>
      <c r="AN2">
        <v>0</v>
      </c>
      <c r="AO2">
        <v>1</v>
      </c>
      <c r="AP2">
        <v>0</v>
      </c>
      <c r="AQ2">
        <v>0</v>
      </c>
      <c r="AR2">
        <v>0</v>
      </c>
      <c r="AS2" t="s">
        <v>3</v>
      </c>
      <c r="AT2">
        <v>0.18</v>
      </c>
      <c r="AU2" t="s">
        <v>3</v>
      </c>
      <c r="AV2">
        <v>0</v>
      </c>
      <c r="AW2">
        <v>2</v>
      </c>
      <c r="AX2">
        <v>31376066</v>
      </c>
      <c r="AY2">
        <v>1</v>
      </c>
      <c r="AZ2">
        <v>0</v>
      </c>
      <c r="BA2">
        <v>2</v>
      </c>
      <c r="BB2">
        <v>0</v>
      </c>
      <c r="BC2">
        <v>0</v>
      </c>
      <c r="BD2">
        <v>0</v>
      </c>
      <c r="BE2">
        <v>0</v>
      </c>
      <c r="BF2">
        <v>0</v>
      </c>
      <c r="BG2">
        <v>0</v>
      </c>
      <c r="BH2">
        <v>0</v>
      </c>
      <c r="BI2">
        <v>0</v>
      </c>
      <c r="BJ2">
        <v>0</v>
      </c>
      <c r="BK2">
        <v>0</v>
      </c>
      <c r="BL2">
        <v>0</v>
      </c>
      <c r="BM2">
        <v>0</v>
      </c>
      <c r="BN2">
        <v>0</v>
      </c>
      <c r="BO2">
        <v>0</v>
      </c>
      <c r="BP2">
        <v>0</v>
      </c>
      <c r="BQ2">
        <v>0</v>
      </c>
      <c r="BR2">
        <v>0</v>
      </c>
      <c r="BS2">
        <v>0</v>
      </c>
      <c r="BT2">
        <v>0</v>
      </c>
      <c r="BU2">
        <v>0</v>
      </c>
      <c r="BV2">
        <v>0</v>
      </c>
      <c r="BW2">
        <v>0</v>
      </c>
      <c r="CX2">
        <f>Y2*Source!I24</f>
        <v>0.55799999999999994</v>
      </c>
      <c r="CY2">
        <f>AB2</f>
        <v>932.72</v>
      </c>
      <c r="CZ2">
        <f>AF2</f>
        <v>87.17</v>
      </c>
      <c r="DA2">
        <f>AJ2</f>
        <v>10.7</v>
      </c>
      <c r="DB2">
        <f t="shared" si="0"/>
        <v>15.69</v>
      </c>
      <c r="DC2">
        <f t="shared" si="1"/>
        <v>2.09</v>
      </c>
    </row>
    <row r="3" spans="1:107" x14ac:dyDescent="0.2">
      <c r="A3">
        <f>ROW(Source!A24)</f>
        <v>24</v>
      </c>
      <c r="B3">
        <v>31375913</v>
      </c>
      <c r="C3">
        <v>31376064</v>
      </c>
      <c r="D3">
        <v>29270312</v>
      </c>
      <c r="E3">
        <v>1</v>
      </c>
      <c r="F3">
        <v>1</v>
      </c>
      <c r="G3">
        <v>1</v>
      </c>
      <c r="H3">
        <v>3</v>
      </c>
      <c r="I3" t="s">
        <v>203</v>
      </c>
      <c r="J3" t="s">
        <v>204</v>
      </c>
      <c r="K3" t="s">
        <v>205</v>
      </c>
      <c r="L3">
        <v>1339</v>
      </c>
      <c r="N3">
        <v>1007</v>
      </c>
      <c r="O3" t="s">
        <v>206</v>
      </c>
      <c r="P3" t="s">
        <v>206</v>
      </c>
      <c r="Q3">
        <v>1</v>
      </c>
      <c r="W3">
        <v>0</v>
      </c>
      <c r="X3">
        <v>-500846632</v>
      </c>
      <c r="Y3">
        <v>8.0000000000000002E-3</v>
      </c>
      <c r="AA3">
        <v>4791.55</v>
      </c>
      <c r="AB3">
        <v>0</v>
      </c>
      <c r="AC3">
        <v>0</v>
      </c>
      <c r="AD3">
        <v>0</v>
      </c>
      <c r="AE3">
        <v>1086.52</v>
      </c>
      <c r="AF3">
        <v>0</v>
      </c>
      <c r="AG3">
        <v>0</v>
      </c>
      <c r="AH3">
        <v>0</v>
      </c>
      <c r="AI3">
        <v>4.41</v>
      </c>
      <c r="AJ3">
        <v>1</v>
      </c>
      <c r="AK3">
        <v>1</v>
      </c>
      <c r="AL3">
        <v>1</v>
      </c>
      <c r="AN3">
        <v>0</v>
      </c>
      <c r="AO3">
        <v>1</v>
      </c>
      <c r="AP3">
        <v>0</v>
      </c>
      <c r="AQ3">
        <v>0</v>
      </c>
      <c r="AR3">
        <v>0</v>
      </c>
      <c r="AS3" t="s">
        <v>3</v>
      </c>
      <c r="AT3">
        <v>8.0000000000000002E-3</v>
      </c>
      <c r="AU3" t="s">
        <v>3</v>
      </c>
      <c r="AV3">
        <v>0</v>
      </c>
      <c r="AW3">
        <v>2</v>
      </c>
      <c r="AX3">
        <v>31376067</v>
      </c>
      <c r="AY3">
        <v>1</v>
      </c>
      <c r="AZ3">
        <v>0</v>
      </c>
      <c r="BA3">
        <v>3</v>
      </c>
      <c r="BB3">
        <v>0</v>
      </c>
      <c r="BC3">
        <v>0</v>
      </c>
      <c r="BD3">
        <v>0</v>
      </c>
      <c r="BE3">
        <v>0</v>
      </c>
      <c r="BF3">
        <v>0</v>
      </c>
      <c r="BG3">
        <v>0</v>
      </c>
      <c r="BH3">
        <v>0</v>
      </c>
      <c r="BI3">
        <v>0</v>
      </c>
      <c r="BJ3">
        <v>0</v>
      </c>
      <c r="BK3">
        <v>0</v>
      </c>
      <c r="BL3">
        <v>0</v>
      </c>
      <c r="BM3">
        <v>0</v>
      </c>
      <c r="BN3">
        <v>0</v>
      </c>
      <c r="BO3">
        <v>0</v>
      </c>
      <c r="BP3">
        <v>0</v>
      </c>
      <c r="BQ3">
        <v>0</v>
      </c>
      <c r="BR3">
        <v>0</v>
      </c>
      <c r="BS3">
        <v>0</v>
      </c>
      <c r="BT3">
        <v>0</v>
      </c>
      <c r="BU3">
        <v>0</v>
      </c>
      <c r="BV3">
        <v>0</v>
      </c>
      <c r="BW3">
        <v>0</v>
      </c>
      <c r="CX3">
        <f>Y3*Source!I24</f>
        <v>2.4800000000000003E-2</v>
      </c>
      <c r="CY3">
        <f>AA3</f>
        <v>4791.55</v>
      </c>
      <c r="CZ3">
        <f>AE3</f>
        <v>1086.52</v>
      </c>
      <c r="DA3">
        <f>AI3</f>
        <v>4.41</v>
      </c>
      <c r="DB3">
        <f t="shared" si="0"/>
        <v>8.69</v>
      </c>
      <c r="DC3">
        <f t="shared" si="1"/>
        <v>0</v>
      </c>
    </row>
    <row r="4" spans="1:107" x14ac:dyDescent="0.2">
      <c r="A4">
        <f>ROW(Source!A24)</f>
        <v>24</v>
      </c>
      <c r="B4">
        <v>31375913</v>
      </c>
      <c r="C4">
        <v>31376064</v>
      </c>
      <c r="D4">
        <v>29270316</v>
      </c>
      <c r="E4">
        <v>1</v>
      </c>
      <c r="F4">
        <v>1</v>
      </c>
      <c r="G4">
        <v>1</v>
      </c>
      <c r="H4">
        <v>3</v>
      </c>
      <c r="I4" t="s">
        <v>207</v>
      </c>
      <c r="J4" t="s">
        <v>208</v>
      </c>
      <c r="K4" t="s">
        <v>209</v>
      </c>
      <c r="L4">
        <v>1348</v>
      </c>
      <c r="N4">
        <v>1009</v>
      </c>
      <c r="O4" t="s">
        <v>41</v>
      </c>
      <c r="P4" t="s">
        <v>41</v>
      </c>
      <c r="Q4">
        <v>1000</v>
      </c>
      <c r="W4">
        <v>0</v>
      </c>
      <c r="X4">
        <v>-1448854673</v>
      </c>
      <c r="Y4">
        <v>2.9000000000000001E-2</v>
      </c>
      <c r="AA4">
        <v>33793.279999999999</v>
      </c>
      <c r="AB4">
        <v>0</v>
      </c>
      <c r="AC4">
        <v>0</v>
      </c>
      <c r="AD4">
        <v>0</v>
      </c>
      <c r="AE4">
        <v>6045.31</v>
      </c>
      <c r="AF4">
        <v>0</v>
      </c>
      <c r="AG4">
        <v>0</v>
      </c>
      <c r="AH4">
        <v>0</v>
      </c>
      <c r="AI4">
        <v>5.59</v>
      </c>
      <c r="AJ4">
        <v>1</v>
      </c>
      <c r="AK4">
        <v>1</v>
      </c>
      <c r="AL4">
        <v>1</v>
      </c>
      <c r="AN4">
        <v>0</v>
      </c>
      <c r="AO4">
        <v>1</v>
      </c>
      <c r="AP4">
        <v>0</v>
      </c>
      <c r="AQ4">
        <v>0</v>
      </c>
      <c r="AR4">
        <v>0</v>
      </c>
      <c r="AS4" t="s">
        <v>3</v>
      </c>
      <c r="AT4">
        <v>2.9000000000000001E-2</v>
      </c>
      <c r="AU4" t="s">
        <v>3</v>
      </c>
      <c r="AV4">
        <v>0</v>
      </c>
      <c r="AW4">
        <v>2</v>
      </c>
      <c r="AX4">
        <v>31376068</v>
      </c>
      <c r="AY4">
        <v>1</v>
      </c>
      <c r="AZ4">
        <v>0</v>
      </c>
      <c r="BA4">
        <v>4</v>
      </c>
      <c r="BB4">
        <v>0</v>
      </c>
      <c r="BC4">
        <v>0</v>
      </c>
      <c r="BD4">
        <v>0</v>
      </c>
      <c r="BE4">
        <v>0</v>
      </c>
      <c r="BF4">
        <v>0</v>
      </c>
      <c r="BG4">
        <v>0</v>
      </c>
      <c r="BH4">
        <v>0</v>
      </c>
      <c r="BI4">
        <v>0</v>
      </c>
      <c r="BJ4">
        <v>0</v>
      </c>
      <c r="BK4">
        <v>0</v>
      </c>
      <c r="BL4">
        <v>0</v>
      </c>
      <c r="BM4">
        <v>0</v>
      </c>
      <c r="BN4">
        <v>0</v>
      </c>
      <c r="BO4">
        <v>0</v>
      </c>
      <c r="BP4">
        <v>0</v>
      </c>
      <c r="BQ4">
        <v>0</v>
      </c>
      <c r="BR4">
        <v>0</v>
      </c>
      <c r="BS4">
        <v>0</v>
      </c>
      <c r="BT4">
        <v>0</v>
      </c>
      <c r="BU4">
        <v>0</v>
      </c>
      <c r="BV4">
        <v>0</v>
      </c>
      <c r="BW4">
        <v>0</v>
      </c>
      <c r="CX4">
        <f>Y4*Source!I24</f>
        <v>8.9900000000000008E-2</v>
      </c>
      <c r="CY4">
        <f>AA4</f>
        <v>33793.279999999999</v>
      </c>
      <c r="CZ4">
        <f>AE4</f>
        <v>6045.31</v>
      </c>
      <c r="DA4">
        <f>AI4</f>
        <v>5.59</v>
      </c>
      <c r="DB4">
        <f t="shared" si="0"/>
        <v>175.31</v>
      </c>
      <c r="DC4">
        <f t="shared" si="1"/>
        <v>0</v>
      </c>
    </row>
    <row r="5" spans="1:107" x14ac:dyDescent="0.2">
      <c r="A5">
        <f>ROW(Source!A24)</f>
        <v>24</v>
      </c>
      <c r="B5">
        <v>31375913</v>
      </c>
      <c r="C5">
        <v>31376064</v>
      </c>
      <c r="D5">
        <v>29286533</v>
      </c>
      <c r="E5">
        <v>1</v>
      </c>
      <c r="F5">
        <v>1</v>
      </c>
      <c r="G5">
        <v>1</v>
      </c>
      <c r="H5">
        <v>3</v>
      </c>
      <c r="I5" t="s">
        <v>210</v>
      </c>
      <c r="J5" t="s">
        <v>211</v>
      </c>
      <c r="K5" t="s">
        <v>212</v>
      </c>
      <c r="L5">
        <v>1327</v>
      </c>
      <c r="N5">
        <v>1005</v>
      </c>
      <c r="O5" t="s">
        <v>213</v>
      </c>
      <c r="P5" t="s">
        <v>213</v>
      </c>
      <c r="Q5">
        <v>1</v>
      </c>
      <c r="W5">
        <v>0</v>
      </c>
      <c r="X5">
        <v>614017193</v>
      </c>
      <c r="Y5">
        <v>5.5</v>
      </c>
      <c r="AA5">
        <v>176.45</v>
      </c>
      <c r="AB5">
        <v>0</v>
      </c>
      <c r="AC5">
        <v>0</v>
      </c>
      <c r="AD5">
        <v>0</v>
      </c>
      <c r="AE5">
        <v>35.22</v>
      </c>
      <c r="AF5">
        <v>0</v>
      </c>
      <c r="AG5">
        <v>0</v>
      </c>
      <c r="AH5">
        <v>0</v>
      </c>
      <c r="AI5">
        <v>5.01</v>
      </c>
      <c r="AJ5">
        <v>1</v>
      </c>
      <c r="AK5">
        <v>1</v>
      </c>
      <c r="AL5">
        <v>1</v>
      </c>
      <c r="AN5">
        <v>0</v>
      </c>
      <c r="AO5">
        <v>1</v>
      </c>
      <c r="AP5">
        <v>0</v>
      </c>
      <c r="AQ5">
        <v>0</v>
      </c>
      <c r="AR5">
        <v>0</v>
      </c>
      <c r="AS5" t="s">
        <v>3</v>
      </c>
      <c r="AT5">
        <v>5.5</v>
      </c>
      <c r="AU5" t="s">
        <v>3</v>
      </c>
      <c r="AV5">
        <v>0</v>
      </c>
      <c r="AW5">
        <v>2</v>
      </c>
      <c r="AX5">
        <v>31376069</v>
      </c>
      <c r="AY5">
        <v>1</v>
      </c>
      <c r="AZ5">
        <v>0</v>
      </c>
      <c r="BA5">
        <v>5</v>
      </c>
      <c r="BB5">
        <v>0</v>
      </c>
      <c r="BC5">
        <v>0</v>
      </c>
      <c r="BD5">
        <v>0</v>
      </c>
      <c r="BE5">
        <v>0</v>
      </c>
      <c r="BF5">
        <v>0</v>
      </c>
      <c r="BG5">
        <v>0</v>
      </c>
      <c r="BH5">
        <v>0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0</v>
      </c>
      <c r="BW5">
        <v>0</v>
      </c>
      <c r="CX5">
        <f>Y5*Source!I24</f>
        <v>17.05</v>
      </c>
      <c r="CY5">
        <f>AA5</f>
        <v>176.45</v>
      </c>
      <c r="CZ5">
        <f>AE5</f>
        <v>35.22</v>
      </c>
      <c r="DA5">
        <f>AI5</f>
        <v>5.01</v>
      </c>
      <c r="DB5">
        <f t="shared" si="0"/>
        <v>193.71</v>
      </c>
      <c r="DC5">
        <f t="shared" si="1"/>
        <v>0</v>
      </c>
    </row>
    <row r="6" spans="1:107" x14ac:dyDescent="0.2">
      <c r="A6">
        <f>ROW(Source!A25)</f>
        <v>25</v>
      </c>
      <c r="B6">
        <v>31375913</v>
      </c>
      <c r="C6">
        <v>31376070</v>
      </c>
      <c r="D6">
        <v>18409992</v>
      </c>
      <c r="E6">
        <v>1</v>
      </c>
      <c r="F6">
        <v>1</v>
      </c>
      <c r="G6">
        <v>1</v>
      </c>
      <c r="H6">
        <v>1</v>
      </c>
      <c r="I6" t="s">
        <v>214</v>
      </c>
      <c r="J6" t="s">
        <v>3</v>
      </c>
      <c r="K6" t="s">
        <v>215</v>
      </c>
      <c r="L6">
        <v>1369</v>
      </c>
      <c r="N6">
        <v>1013</v>
      </c>
      <c r="O6" t="s">
        <v>198</v>
      </c>
      <c r="P6" t="s">
        <v>198</v>
      </c>
      <c r="Q6">
        <v>1</v>
      </c>
      <c r="W6">
        <v>0</v>
      </c>
      <c r="X6">
        <v>-932636904</v>
      </c>
      <c r="Y6">
        <v>172.76</v>
      </c>
      <c r="AA6">
        <v>0</v>
      </c>
      <c r="AB6">
        <v>0</v>
      </c>
      <c r="AC6">
        <v>0</v>
      </c>
      <c r="AD6">
        <v>8.09</v>
      </c>
      <c r="AE6">
        <v>0</v>
      </c>
      <c r="AF6">
        <v>0</v>
      </c>
      <c r="AG6">
        <v>0</v>
      </c>
      <c r="AH6">
        <v>8.09</v>
      </c>
      <c r="AI6">
        <v>1</v>
      </c>
      <c r="AJ6">
        <v>1</v>
      </c>
      <c r="AK6">
        <v>1</v>
      </c>
      <c r="AL6">
        <v>1</v>
      </c>
      <c r="AN6">
        <v>0</v>
      </c>
      <c r="AO6">
        <v>1</v>
      </c>
      <c r="AP6">
        <v>0</v>
      </c>
      <c r="AQ6">
        <v>0</v>
      </c>
      <c r="AR6">
        <v>0</v>
      </c>
      <c r="AS6" t="s">
        <v>3</v>
      </c>
      <c r="AT6">
        <v>172.76</v>
      </c>
      <c r="AU6" t="s">
        <v>3</v>
      </c>
      <c r="AV6">
        <v>1</v>
      </c>
      <c r="AW6">
        <v>2</v>
      </c>
      <c r="AX6">
        <v>31376071</v>
      </c>
      <c r="AY6">
        <v>1</v>
      </c>
      <c r="AZ6">
        <v>0</v>
      </c>
      <c r="BA6">
        <v>6</v>
      </c>
      <c r="BB6">
        <v>0</v>
      </c>
      <c r="BC6">
        <v>0</v>
      </c>
      <c r="BD6">
        <v>0</v>
      </c>
      <c r="BE6">
        <v>0</v>
      </c>
      <c r="BF6">
        <v>0</v>
      </c>
      <c r="BG6">
        <v>0</v>
      </c>
      <c r="BH6">
        <v>0</v>
      </c>
      <c r="BI6">
        <v>0</v>
      </c>
      <c r="BJ6">
        <v>0</v>
      </c>
      <c r="BK6">
        <v>0</v>
      </c>
      <c r="BL6">
        <v>0</v>
      </c>
      <c r="BM6">
        <v>0</v>
      </c>
      <c r="BN6">
        <v>0</v>
      </c>
      <c r="BO6">
        <v>0</v>
      </c>
      <c r="BP6">
        <v>0</v>
      </c>
      <c r="BQ6">
        <v>0</v>
      </c>
      <c r="BR6">
        <v>0</v>
      </c>
      <c r="BS6">
        <v>0</v>
      </c>
      <c r="BT6">
        <v>0</v>
      </c>
      <c r="BU6">
        <v>0</v>
      </c>
      <c r="BV6">
        <v>0</v>
      </c>
      <c r="BW6">
        <v>0</v>
      </c>
      <c r="CX6">
        <f>Y6*Source!I25</f>
        <v>2310.3194799999997</v>
      </c>
      <c r="CY6">
        <f>AD6</f>
        <v>8.09</v>
      </c>
      <c r="CZ6">
        <f>AH6</f>
        <v>8.09</v>
      </c>
      <c r="DA6">
        <f>AL6</f>
        <v>1</v>
      </c>
      <c r="DB6">
        <f t="shared" si="0"/>
        <v>1397.63</v>
      </c>
      <c r="DC6">
        <f t="shared" si="1"/>
        <v>0</v>
      </c>
    </row>
    <row r="7" spans="1:107" x14ac:dyDescent="0.2">
      <c r="A7">
        <f>ROW(Source!A25)</f>
        <v>25</v>
      </c>
      <c r="B7">
        <v>31375913</v>
      </c>
      <c r="C7">
        <v>31376070</v>
      </c>
      <c r="D7">
        <v>121548</v>
      </c>
      <c r="E7">
        <v>1</v>
      </c>
      <c r="F7">
        <v>1</v>
      </c>
      <c r="G7">
        <v>1</v>
      </c>
      <c r="H7">
        <v>1</v>
      </c>
      <c r="I7" t="s">
        <v>23</v>
      </c>
      <c r="J7" t="s">
        <v>3</v>
      </c>
      <c r="K7" t="s">
        <v>216</v>
      </c>
      <c r="L7">
        <v>608254</v>
      </c>
      <c r="N7">
        <v>1013</v>
      </c>
      <c r="O7" t="s">
        <v>217</v>
      </c>
      <c r="P7" t="s">
        <v>217</v>
      </c>
      <c r="Q7">
        <v>1</v>
      </c>
      <c r="W7">
        <v>0</v>
      </c>
      <c r="X7">
        <v>-185737400</v>
      </c>
      <c r="Y7">
        <v>7.74</v>
      </c>
      <c r="AA7">
        <v>0</v>
      </c>
      <c r="AB7">
        <v>0</v>
      </c>
      <c r="AC7">
        <v>0</v>
      </c>
      <c r="AD7">
        <v>0</v>
      </c>
      <c r="AE7">
        <v>0</v>
      </c>
      <c r="AF7">
        <v>0</v>
      </c>
      <c r="AG7">
        <v>0</v>
      </c>
      <c r="AH7">
        <v>0</v>
      </c>
      <c r="AI7">
        <v>1</v>
      </c>
      <c r="AJ7">
        <v>1</v>
      </c>
      <c r="AK7">
        <v>1</v>
      </c>
      <c r="AL7">
        <v>1</v>
      </c>
      <c r="AN7">
        <v>0</v>
      </c>
      <c r="AO7">
        <v>1</v>
      </c>
      <c r="AP7">
        <v>0</v>
      </c>
      <c r="AQ7">
        <v>0</v>
      </c>
      <c r="AR7">
        <v>0</v>
      </c>
      <c r="AS7" t="s">
        <v>3</v>
      </c>
      <c r="AT7">
        <v>7.74</v>
      </c>
      <c r="AU7" t="s">
        <v>3</v>
      </c>
      <c r="AV7">
        <v>2</v>
      </c>
      <c r="AW7">
        <v>2</v>
      </c>
      <c r="AX7">
        <v>31376072</v>
      </c>
      <c r="AY7">
        <v>1</v>
      </c>
      <c r="AZ7">
        <v>0</v>
      </c>
      <c r="BA7">
        <v>7</v>
      </c>
      <c r="BB7">
        <v>0</v>
      </c>
      <c r="BC7">
        <v>0</v>
      </c>
      <c r="BD7">
        <v>0</v>
      </c>
      <c r="BE7">
        <v>0</v>
      </c>
      <c r="BF7">
        <v>0</v>
      </c>
      <c r="BG7">
        <v>0</v>
      </c>
      <c r="BH7">
        <v>0</v>
      </c>
      <c r="BI7">
        <v>0</v>
      </c>
      <c r="BJ7">
        <v>0</v>
      </c>
      <c r="BK7">
        <v>0</v>
      </c>
      <c r="BL7">
        <v>0</v>
      </c>
      <c r="BM7">
        <v>0</v>
      </c>
      <c r="BN7">
        <v>0</v>
      </c>
      <c r="BO7">
        <v>0</v>
      </c>
      <c r="BP7">
        <v>0</v>
      </c>
      <c r="BQ7">
        <v>0</v>
      </c>
      <c r="BR7">
        <v>0</v>
      </c>
      <c r="BS7">
        <v>0</v>
      </c>
      <c r="BT7">
        <v>0</v>
      </c>
      <c r="BU7">
        <v>0</v>
      </c>
      <c r="BV7">
        <v>0</v>
      </c>
      <c r="BW7">
        <v>0</v>
      </c>
      <c r="CX7">
        <f>Y7*Source!I25</f>
        <v>103.50702</v>
      </c>
      <c r="CY7">
        <f>AD7</f>
        <v>0</v>
      </c>
      <c r="CZ7">
        <f>AH7</f>
        <v>0</v>
      </c>
      <c r="DA7">
        <f>AL7</f>
        <v>1</v>
      </c>
      <c r="DB7">
        <f t="shared" si="0"/>
        <v>0</v>
      </c>
      <c r="DC7">
        <f t="shared" si="1"/>
        <v>0</v>
      </c>
    </row>
    <row r="8" spans="1:107" x14ac:dyDescent="0.2">
      <c r="A8">
        <f>ROW(Source!A25)</f>
        <v>25</v>
      </c>
      <c r="B8">
        <v>31375913</v>
      </c>
      <c r="C8">
        <v>31376070</v>
      </c>
      <c r="D8">
        <v>29327777</v>
      </c>
      <c r="E8">
        <v>1</v>
      </c>
      <c r="F8">
        <v>1</v>
      </c>
      <c r="G8">
        <v>1</v>
      </c>
      <c r="H8">
        <v>2</v>
      </c>
      <c r="I8" t="s">
        <v>218</v>
      </c>
      <c r="J8" t="s">
        <v>219</v>
      </c>
      <c r="K8" t="s">
        <v>220</v>
      </c>
      <c r="L8">
        <v>1368</v>
      </c>
      <c r="N8">
        <v>1011</v>
      </c>
      <c r="O8" t="s">
        <v>202</v>
      </c>
      <c r="P8" t="s">
        <v>202</v>
      </c>
      <c r="Q8">
        <v>1</v>
      </c>
      <c r="W8">
        <v>0</v>
      </c>
      <c r="X8">
        <v>344519037</v>
      </c>
      <c r="Y8">
        <v>7.74</v>
      </c>
      <c r="AA8">
        <v>0</v>
      </c>
      <c r="AB8">
        <v>466.71</v>
      </c>
      <c r="AC8">
        <v>446.18</v>
      </c>
      <c r="AD8">
        <v>0</v>
      </c>
      <c r="AE8">
        <v>0</v>
      </c>
      <c r="AF8">
        <v>31.26</v>
      </c>
      <c r="AG8">
        <v>13.5</v>
      </c>
      <c r="AH8">
        <v>0</v>
      </c>
      <c r="AI8">
        <v>1</v>
      </c>
      <c r="AJ8">
        <v>14.93</v>
      </c>
      <c r="AK8">
        <v>33.049999999999997</v>
      </c>
      <c r="AL8">
        <v>1</v>
      </c>
      <c r="AN8">
        <v>0</v>
      </c>
      <c r="AO8">
        <v>1</v>
      </c>
      <c r="AP8">
        <v>0</v>
      </c>
      <c r="AQ8">
        <v>0</v>
      </c>
      <c r="AR8">
        <v>0</v>
      </c>
      <c r="AS8" t="s">
        <v>3</v>
      </c>
      <c r="AT8">
        <v>7.74</v>
      </c>
      <c r="AU8" t="s">
        <v>3</v>
      </c>
      <c r="AV8">
        <v>0</v>
      </c>
      <c r="AW8">
        <v>2</v>
      </c>
      <c r="AX8">
        <v>31376073</v>
      </c>
      <c r="AY8">
        <v>1</v>
      </c>
      <c r="AZ8">
        <v>0</v>
      </c>
      <c r="BA8">
        <v>8</v>
      </c>
      <c r="BB8">
        <v>0</v>
      </c>
      <c r="BC8">
        <v>0</v>
      </c>
      <c r="BD8">
        <v>0</v>
      </c>
      <c r="BE8">
        <v>0</v>
      </c>
      <c r="BF8">
        <v>0</v>
      </c>
      <c r="BG8">
        <v>0</v>
      </c>
      <c r="BH8">
        <v>0</v>
      </c>
      <c r="BI8">
        <v>0</v>
      </c>
      <c r="BJ8">
        <v>0</v>
      </c>
      <c r="BK8">
        <v>0</v>
      </c>
      <c r="BL8">
        <v>0</v>
      </c>
      <c r="BM8">
        <v>0</v>
      </c>
      <c r="BN8">
        <v>0</v>
      </c>
      <c r="BO8">
        <v>0</v>
      </c>
      <c r="BP8">
        <v>0</v>
      </c>
      <c r="BQ8">
        <v>0</v>
      </c>
      <c r="BR8">
        <v>0</v>
      </c>
      <c r="BS8">
        <v>0</v>
      </c>
      <c r="BT8">
        <v>0</v>
      </c>
      <c r="BU8">
        <v>0</v>
      </c>
      <c r="BV8">
        <v>0</v>
      </c>
      <c r="BW8">
        <v>0</v>
      </c>
      <c r="CX8">
        <f>Y8*Source!I25</f>
        <v>103.50702</v>
      </c>
      <c r="CY8">
        <f>AB8</f>
        <v>466.71</v>
      </c>
      <c r="CZ8">
        <f>AF8</f>
        <v>31.26</v>
      </c>
      <c r="DA8">
        <f>AJ8</f>
        <v>14.93</v>
      </c>
      <c r="DB8">
        <f t="shared" si="0"/>
        <v>241.95</v>
      </c>
      <c r="DC8">
        <f t="shared" si="1"/>
        <v>104.49</v>
      </c>
    </row>
    <row r="9" spans="1:107" x14ac:dyDescent="0.2">
      <c r="A9">
        <f>ROW(Source!A26)</f>
        <v>26</v>
      </c>
      <c r="B9">
        <v>31375913</v>
      </c>
      <c r="C9">
        <v>31376074</v>
      </c>
      <c r="D9">
        <v>18408291</v>
      </c>
      <c r="E9">
        <v>1</v>
      </c>
      <c r="F9">
        <v>1</v>
      </c>
      <c r="G9">
        <v>1</v>
      </c>
      <c r="H9">
        <v>1</v>
      </c>
      <c r="I9" t="s">
        <v>221</v>
      </c>
      <c r="J9" t="s">
        <v>3</v>
      </c>
      <c r="K9" t="s">
        <v>222</v>
      </c>
      <c r="L9">
        <v>1369</v>
      </c>
      <c r="N9">
        <v>1013</v>
      </c>
      <c r="O9" t="s">
        <v>198</v>
      </c>
      <c r="P9" t="s">
        <v>198</v>
      </c>
      <c r="Q9">
        <v>1</v>
      </c>
      <c r="W9">
        <v>0</v>
      </c>
      <c r="X9">
        <v>1933892413</v>
      </c>
      <c r="Y9">
        <v>128.72999999999999</v>
      </c>
      <c r="AA9">
        <v>0</v>
      </c>
      <c r="AB9">
        <v>0</v>
      </c>
      <c r="AC9">
        <v>0</v>
      </c>
      <c r="AD9">
        <v>8.17</v>
      </c>
      <c r="AE9">
        <v>0</v>
      </c>
      <c r="AF9">
        <v>0</v>
      </c>
      <c r="AG9">
        <v>0</v>
      </c>
      <c r="AH9">
        <v>8.17</v>
      </c>
      <c r="AI9">
        <v>1</v>
      </c>
      <c r="AJ9">
        <v>1</v>
      </c>
      <c r="AK9">
        <v>1</v>
      </c>
      <c r="AL9">
        <v>1</v>
      </c>
      <c r="AN9">
        <v>0</v>
      </c>
      <c r="AO9">
        <v>1</v>
      </c>
      <c r="AP9">
        <v>0</v>
      </c>
      <c r="AQ9">
        <v>0</v>
      </c>
      <c r="AR9">
        <v>0</v>
      </c>
      <c r="AS9" t="s">
        <v>3</v>
      </c>
      <c r="AT9">
        <v>128.72999999999999</v>
      </c>
      <c r="AU9" t="s">
        <v>3</v>
      </c>
      <c r="AV9">
        <v>1</v>
      </c>
      <c r="AW9">
        <v>2</v>
      </c>
      <c r="AX9">
        <v>31376075</v>
      </c>
      <c r="AY9">
        <v>1</v>
      </c>
      <c r="AZ9">
        <v>0</v>
      </c>
      <c r="BA9">
        <v>9</v>
      </c>
      <c r="BB9">
        <v>0</v>
      </c>
      <c r="BC9">
        <v>0</v>
      </c>
      <c r="BD9">
        <v>0</v>
      </c>
      <c r="BE9">
        <v>0</v>
      </c>
      <c r="BF9">
        <v>0</v>
      </c>
      <c r="BG9">
        <v>0</v>
      </c>
      <c r="BH9">
        <v>0</v>
      </c>
      <c r="BI9">
        <v>0</v>
      </c>
      <c r="BJ9">
        <v>0</v>
      </c>
      <c r="BK9">
        <v>0</v>
      </c>
      <c r="BL9">
        <v>0</v>
      </c>
      <c r="BM9">
        <v>0</v>
      </c>
      <c r="BN9">
        <v>0</v>
      </c>
      <c r="BO9">
        <v>0</v>
      </c>
      <c r="BP9">
        <v>0</v>
      </c>
      <c r="BQ9">
        <v>0</v>
      </c>
      <c r="BR9">
        <v>0</v>
      </c>
      <c r="BS9">
        <v>0</v>
      </c>
      <c r="BT9">
        <v>0</v>
      </c>
      <c r="BU9">
        <v>0</v>
      </c>
      <c r="BV9">
        <v>0</v>
      </c>
      <c r="BW9">
        <v>0</v>
      </c>
      <c r="CX9">
        <f>Y9*Source!I26</f>
        <v>979.63529999999992</v>
      </c>
      <c r="CY9">
        <f>AD9</f>
        <v>8.17</v>
      </c>
      <c r="CZ9">
        <f>AH9</f>
        <v>8.17</v>
      </c>
      <c r="DA9">
        <f>AL9</f>
        <v>1</v>
      </c>
      <c r="DB9">
        <f t="shared" si="0"/>
        <v>1051.72</v>
      </c>
      <c r="DC9">
        <f t="shared" si="1"/>
        <v>0</v>
      </c>
    </row>
    <row r="10" spans="1:107" x14ac:dyDescent="0.2">
      <c r="A10">
        <f>ROW(Source!A26)</f>
        <v>26</v>
      </c>
      <c r="B10">
        <v>31375913</v>
      </c>
      <c r="C10">
        <v>31376074</v>
      </c>
      <c r="D10">
        <v>121548</v>
      </c>
      <c r="E10">
        <v>1</v>
      </c>
      <c r="F10">
        <v>1</v>
      </c>
      <c r="G10">
        <v>1</v>
      </c>
      <c r="H10">
        <v>1</v>
      </c>
      <c r="I10" t="s">
        <v>23</v>
      </c>
      <c r="J10" t="s">
        <v>3</v>
      </c>
      <c r="K10" t="s">
        <v>216</v>
      </c>
      <c r="L10">
        <v>608254</v>
      </c>
      <c r="N10">
        <v>1013</v>
      </c>
      <c r="O10" t="s">
        <v>217</v>
      </c>
      <c r="P10" t="s">
        <v>217</v>
      </c>
      <c r="Q10">
        <v>1</v>
      </c>
      <c r="W10">
        <v>0</v>
      </c>
      <c r="X10">
        <v>-185737400</v>
      </c>
      <c r="Y10">
        <v>2.15</v>
      </c>
      <c r="AA10">
        <v>0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0</v>
      </c>
      <c r="AH10">
        <v>0</v>
      </c>
      <c r="AI10">
        <v>1</v>
      </c>
      <c r="AJ10">
        <v>1</v>
      </c>
      <c r="AK10">
        <v>1</v>
      </c>
      <c r="AL10">
        <v>1</v>
      </c>
      <c r="AN10">
        <v>0</v>
      </c>
      <c r="AO10">
        <v>1</v>
      </c>
      <c r="AP10">
        <v>0</v>
      </c>
      <c r="AQ10">
        <v>0</v>
      </c>
      <c r="AR10">
        <v>0</v>
      </c>
      <c r="AS10" t="s">
        <v>3</v>
      </c>
      <c r="AT10">
        <v>2.15</v>
      </c>
      <c r="AU10" t="s">
        <v>3</v>
      </c>
      <c r="AV10">
        <v>2</v>
      </c>
      <c r="AW10">
        <v>2</v>
      </c>
      <c r="AX10">
        <v>31376076</v>
      </c>
      <c r="AY10">
        <v>1</v>
      </c>
      <c r="AZ10">
        <v>0</v>
      </c>
      <c r="BA10">
        <v>10</v>
      </c>
      <c r="BB10">
        <v>0</v>
      </c>
      <c r="BC10">
        <v>0</v>
      </c>
      <c r="BD10">
        <v>0</v>
      </c>
      <c r="BE10">
        <v>0</v>
      </c>
      <c r="BF10">
        <v>0</v>
      </c>
      <c r="BG10">
        <v>0</v>
      </c>
      <c r="BH10">
        <v>0</v>
      </c>
      <c r="BI10">
        <v>0</v>
      </c>
      <c r="BJ10">
        <v>0</v>
      </c>
      <c r="BK10">
        <v>0</v>
      </c>
      <c r="BL10">
        <v>0</v>
      </c>
      <c r="BM10">
        <v>0</v>
      </c>
      <c r="BN10">
        <v>0</v>
      </c>
      <c r="BO10">
        <v>0</v>
      </c>
      <c r="BP10">
        <v>0</v>
      </c>
      <c r="BQ10">
        <v>0</v>
      </c>
      <c r="BR10">
        <v>0</v>
      </c>
      <c r="BS10">
        <v>0</v>
      </c>
      <c r="BT10">
        <v>0</v>
      </c>
      <c r="BU10">
        <v>0</v>
      </c>
      <c r="BV10">
        <v>0</v>
      </c>
      <c r="BW10">
        <v>0</v>
      </c>
      <c r="CX10">
        <f>Y10*Source!I26</f>
        <v>16.361499999999999</v>
      </c>
      <c r="CY10">
        <f>AD10</f>
        <v>0</v>
      </c>
      <c r="CZ10">
        <f>AH10</f>
        <v>0</v>
      </c>
      <c r="DA10">
        <f>AL10</f>
        <v>1</v>
      </c>
      <c r="DB10">
        <f t="shared" si="0"/>
        <v>0</v>
      </c>
      <c r="DC10">
        <f t="shared" si="1"/>
        <v>0</v>
      </c>
    </row>
    <row r="11" spans="1:107" x14ac:dyDescent="0.2">
      <c r="A11">
        <f>ROW(Source!A26)</f>
        <v>26</v>
      </c>
      <c r="B11">
        <v>31375913</v>
      </c>
      <c r="C11">
        <v>31376074</v>
      </c>
      <c r="D11">
        <v>29327777</v>
      </c>
      <c r="E11">
        <v>1</v>
      </c>
      <c r="F11">
        <v>1</v>
      </c>
      <c r="G11">
        <v>1</v>
      </c>
      <c r="H11">
        <v>2</v>
      </c>
      <c r="I11" t="s">
        <v>218</v>
      </c>
      <c r="J11" t="s">
        <v>219</v>
      </c>
      <c r="K11" t="s">
        <v>220</v>
      </c>
      <c r="L11">
        <v>1368</v>
      </c>
      <c r="N11">
        <v>1011</v>
      </c>
      <c r="O11" t="s">
        <v>202</v>
      </c>
      <c r="P11" t="s">
        <v>202</v>
      </c>
      <c r="Q11">
        <v>1</v>
      </c>
      <c r="W11">
        <v>0</v>
      </c>
      <c r="X11">
        <v>344519037</v>
      </c>
      <c r="Y11">
        <v>0.7</v>
      </c>
      <c r="AA11">
        <v>0</v>
      </c>
      <c r="AB11">
        <v>466.71</v>
      </c>
      <c r="AC11">
        <v>446.18</v>
      </c>
      <c r="AD11">
        <v>0</v>
      </c>
      <c r="AE11">
        <v>0</v>
      </c>
      <c r="AF11">
        <v>31.26</v>
      </c>
      <c r="AG11">
        <v>13.5</v>
      </c>
      <c r="AH11">
        <v>0</v>
      </c>
      <c r="AI11">
        <v>1</v>
      </c>
      <c r="AJ11">
        <v>14.93</v>
      </c>
      <c r="AK11">
        <v>33.049999999999997</v>
      </c>
      <c r="AL11">
        <v>1</v>
      </c>
      <c r="AN11">
        <v>0</v>
      </c>
      <c r="AO11">
        <v>1</v>
      </c>
      <c r="AP11">
        <v>0</v>
      </c>
      <c r="AQ11">
        <v>0</v>
      </c>
      <c r="AR11">
        <v>0</v>
      </c>
      <c r="AS11" t="s">
        <v>3</v>
      </c>
      <c r="AT11">
        <v>0.7</v>
      </c>
      <c r="AU11" t="s">
        <v>3</v>
      </c>
      <c r="AV11">
        <v>0</v>
      </c>
      <c r="AW11">
        <v>2</v>
      </c>
      <c r="AX11">
        <v>31376077</v>
      </c>
      <c r="AY11">
        <v>1</v>
      </c>
      <c r="AZ11">
        <v>0</v>
      </c>
      <c r="BA11">
        <v>11</v>
      </c>
      <c r="BB11">
        <v>0</v>
      </c>
      <c r="BC11">
        <v>0</v>
      </c>
      <c r="BD11">
        <v>0</v>
      </c>
      <c r="BE11">
        <v>0</v>
      </c>
      <c r="BF11">
        <v>0</v>
      </c>
      <c r="BG11">
        <v>0</v>
      </c>
      <c r="BH11">
        <v>0</v>
      </c>
      <c r="BI11">
        <v>0</v>
      </c>
      <c r="BJ11">
        <v>0</v>
      </c>
      <c r="BK11">
        <v>0</v>
      </c>
      <c r="BL11">
        <v>0</v>
      </c>
      <c r="BM11">
        <v>0</v>
      </c>
      <c r="BN11">
        <v>0</v>
      </c>
      <c r="BO11">
        <v>0</v>
      </c>
      <c r="BP11">
        <v>0</v>
      </c>
      <c r="BQ11">
        <v>0</v>
      </c>
      <c r="BR11">
        <v>0</v>
      </c>
      <c r="BS11">
        <v>0</v>
      </c>
      <c r="BT11">
        <v>0</v>
      </c>
      <c r="BU11">
        <v>0</v>
      </c>
      <c r="BV11">
        <v>0</v>
      </c>
      <c r="BW11">
        <v>0</v>
      </c>
      <c r="CX11">
        <f>Y11*Source!I26</f>
        <v>5.327</v>
      </c>
      <c r="CY11">
        <f>AB11</f>
        <v>466.71</v>
      </c>
      <c r="CZ11">
        <f>AF11</f>
        <v>31.26</v>
      </c>
      <c r="DA11">
        <f>AJ11</f>
        <v>14.93</v>
      </c>
      <c r="DB11">
        <f t="shared" si="0"/>
        <v>21.88</v>
      </c>
      <c r="DC11">
        <f t="shared" si="1"/>
        <v>9.4499999999999993</v>
      </c>
    </row>
    <row r="12" spans="1:107" x14ac:dyDescent="0.2">
      <c r="A12">
        <f>ROW(Source!A26)</f>
        <v>26</v>
      </c>
      <c r="B12">
        <v>31375913</v>
      </c>
      <c r="C12">
        <v>31376074</v>
      </c>
      <c r="D12">
        <v>29327931</v>
      </c>
      <c r="E12">
        <v>1</v>
      </c>
      <c r="F12">
        <v>1</v>
      </c>
      <c r="G12">
        <v>1</v>
      </c>
      <c r="H12">
        <v>2</v>
      </c>
      <c r="I12" t="s">
        <v>223</v>
      </c>
      <c r="J12" t="s">
        <v>224</v>
      </c>
      <c r="K12" t="s">
        <v>225</v>
      </c>
      <c r="L12">
        <v>1368</v>
      </c>
      <c r="N12">
        <v>1011</v>
      </c>
      <c r="O12" t="s">
        <v>202</v>
      </c>
      <c r="P12" t="s">
        <v>202</v>
      </c>
      <c r="Q12">
        <v>1</v>
      </c>
      <c r="W12">
        <v>0</v>
      </c>
      <c r="X12">
        <v>315863809</v>
      </c>
      <c r="Y12">
        <v>1.45</v>
      </c>
      <c r="AA12">
        <v>0</v>
      </c>
      <c r="AB12">
        <v>539.16</v>
      </c>
      <c r="AC12">
        <v>332.48</v>
      </c>
      <c r="AD12">
        <v>0</v>
      </c>
      <c r="AE12">
        <v>0</v>
      </c>
      <c r="AF12">
        <v>46.56</v>
      </c>
      <c r="AG12">
        <v>10.06</v>
      </c>
      <c r="AH12">
        <v>0</v>
      </c>
      <c r="AI12">
        <v>1</v>
      </c>
      <c r="AJ12">
        <v>11.58</v>
      </c>
      <c r="AK12">
        <v>33.049999999999997</v>
      </c>
      <c r="AL12">
        <v>1</v>
      </c>
      <c r="AN12">
        <v>0</v>
      </c>
      <c r="AO12">
        <v>1</v>
      </c>
      <c r="AP12">
        <v>0</v>
      </c>
      <c r="AQ12">
        <v>0</v>
      </c>
      <c r="AR12">
        <v>0</v>
      </c>
      <c r="AS12" t="s">
        <v>3</v>
      </c>
      <c r="AT12">
        <v>1.45</v>
      </c>
      <c r="AU12" t="s">
        <v>3</v>
      </c>
      <c r="AV12">
        <v>0</v>
      </c>
      <c r="AW12">
        <v>2</v>
      </c>
      <c r="AX12">
        <v>31376078</v>
      </c>
      <c r="AY12">
        <v>1</v>
      </c>
      <c r="AZ12">
        <v>0</v>
      </c>
      <c r="BA12">
        <v>12</v>
      </c>
      <c r="BB12">
        <v>0</v>
      </c>
      <c r="BC12">
        <v>0</v>
      </c>
      <c r="BD12">
        <v>0</v>
      </c>
      <c r="BE12">
        <v>0</v>
      </c>
      <c r="BF12">
        <v>0</v>
      </c>
      <c r="BG12">
        <v>0</v>
      </c>
      <c r="BH12">
        <v>0</v>
      </c>
      <c r="BI12">
        <v>0</v>
      </c>
      <c r="BJ12">
        <v>0</v>
      </c>
      <c r="BK12">
        <v>0</v>
      </c>
      <c r="BL12">
        <v>0</v>
      </c>
      <c r="BM12">
        <v>0</v>
      </c>
      <c r="BN12">
        <v>0</v>
      </c>
      <c r="BO12">
        <v>0</v>
      </c>
      <c r="BP12">
        <v>0</v>
      </c>
      <c r="BQ12">
        <v>0</v>
      </c>
      <c r="BR12">
        <v>0</v>
      </c>
      <c r="BS12">
        <v>0</v>
      </c>
      <c r="BT12">
        <v>0</v>
      </c>
      <c r="BU12">
        <v>0</v>
      </c>
      <c r="BV12">
        <v>0</v>
      </c>
      <c r="BW12">
        <v>0</v>
      </c>
      <c r="CX12">
        <f>Y12*Source!I26</f>
        <v>11.0345</v>
      </c>
      <c r="CY12">
        <f>AB12</f>
        <v>539.16</v>
      </c>
      <c r="CZ12">
        <f>AF12</f>
        <v>46.56</v>
      </c>
      <c r="DA12">
        <f>AJ12</f>
        <v>11.58</v>
      </c>
      <c r="DB12">
        <f t="shared" si="0"/>
        <v>67.510000000000005</v>
      </c>
      <c r="DC12">
        <f t="shared" si="1"/>
        <v>14.59</v>
      </c>
    </row>
    <row r="13" spans="1:107" x14ac:dyDescent="0.2">
      <c r="A13">
        <f>ROW(Source!A26)</f>
        <v>26</v>
      </c>
      <c r="B13">
        <v>31375913</v>
      </c>
      <c r="C13">
        <v>31376074</v>
      </c>
      <c r="D13">
        <v>29329754</v>
      </c>
      <c r="E13">
        <v>1</v>
      </c>
      <c r="F13">
        <v>1</v>
      </c>
      <c r="G13">
        <v>1</v>
      </c>
      <c r="H13">
        <v>2</v>
      </c>
      <c r="I13" t="s">
        <v>226</v>
      </c>
      <c r="J13" t="s">
        <v>227</v>
      </c>
      <c r="K13" t="s">
        <v>228</v>
      </c>
      <c r="L13">
        <v>1368</v>
      </c>
      <c r="N13">
        <v>1011</v>
      </c>
      <c r="O13" t="s">
        <v>202</v>
      </c>
      <c r="P13" t="s">
        <v>202</v>
      </c>
      <c r="Q13">
        <v>1</v>
      </c>
      <c r="W13">
        <v>0</v>
      </c>
      <c r="X13">
        <v>-2071518695</v>
      </c>
      <c r="Y13">
        <v>2.89</v>
      </c>
      <c r="AA13">
        <v>0</v>
      </c>
      <c r="AB13">
        <v>5.0599999999999996</v>
      </c>
      <c r="AC13">
        <v>0</v>
      </c>
      <c r="AD13">
        <v>0</v>
      </c>
      <c r="AE13">
        <v>0</v>
      </c>
      <c r="AF13">
        <v>1.53</v>
      </c>
      <c r="AG13">
        <v>0</v>
      </c>
      <c r="AH13">
        <v>0</v>
      </c>
      <c r="AI13">
        <v>1</v>
      </c>
      <c r="AJ13">
        <v>3.31</v>
      </c>
      <c r="AK13">
        <v>33.049999999999997</v>
      </c>
      <c r="AL13">
        <v>1</v>
      </c>
      <c r="AN13">
        <v>0</v>
      </c>
      <c r="AO13">
        <v>1</v>
      </c>
      <c r="AP13">
        <v>0</v>
      </c>
      <c r="AQ13">
        <v>0</v>
      </c>
      <c r="AR13">
        <v>0</v>
      </c>
      <c r="AS13" t="s">
        <v>3</v>
      </c>
      <c r="AT13">
        <v>2.89</v>
      </c>
      <c r="AU13" t="s">
        <v>3</v>
      </c>
      <c r="AV13">
        <v>0</v>
      </c>
      <c r="AW13">
        <v>2</v>
      </c>
      <c r="AX13">
        <v>31376079</v>
      </c>
      <c r="AY13">
        <v>1</v>
      </c>
      <c r="AZ13">
        <v>0</v>
      </c>
      <c r="BA13">
        <v>13</v>
      </c>
      <c r="BB13">
        <v>0</v>
      </c>
      <c r="BC13">
        <v>0</v>
      </c>
      <c r="BD13">
        <v>0</v>
      </c>
      <c r="BE13">
        <v>0</v>
      </c>
      <c r="BF13">
        <v>0</v>
      </c>
      <c r="BG13">
        <v>0</v>
      </c>
      <c r="BH13">
        <v>0</v>
      </c>
      <c r="BI13">
        <v>0</v>
      </c>
      <c r="BJ13">
        <v>0</v>
      </c>
      <c r="BK13">
        <v>0</v>
      </c>
      <c r="BL13">
        <v>0</v>
      </c>
      <c r="BM13">
        <v>0</v>
      </c>
      <c r="BN13">
        <v>0</v>
      </c>
      <c r="BO13">
        <v>0</v>
      </c>
      <c r="BP13">
        <v>0</v>
      </c>
      <c r="BQ13">
        <v>0</v>
      </c>
      <c r="BR13">
        <v>0</v>
      </c>
      <c r="BS13">
        <v>0</v>
      </c>
      <c r="BT13">
        <v>0</v>
      </c>
      <c r="BU13">
        <v>0</v>
      </c>
      <c r="BV13">
        <v>0</v>
      </c>
      <c r="BW13">
        <v>0</v>
      </c>
      <c r="CX13">
        <f>Y13*Source!I26</f>
        <v>21.992900000000002</v>
      </c>
      <c r="CY13">
        <f>AB13</f>
        <v>5.0599999999999996</v>
      </c>
      <c r="CZ13">
        <f>AF13</f>
        <v>1.53</v>
      </c>
      <c r="DA13">
        <f>AJ13</f>
        <v>3.31</v>
      </c>
      <c r="DB13">
        <f t="shared" si="0"/>
        <v>4.42</v>
      </c>
      <c r="DC13">
        <f t="shared" si="1"/>
        <v>0</v>
      </c>
    </row>
    <row r="14" spans="1:107" x14ac:dyDescent="0.2">
      <c r="A14">
        <f>ROW(Source!A26)</f>
        <v>26</v>
      </c>
      <c r="B14">
        <v>31375913</v>
      </c>
      <c r="C14">
        <v>31376074</v>
      </c>
      <c r="D14">
        <v>29319570</v>
      </c>
      <c r="E14">
        <v>1</v>
      </c>
      <c r="F14">
        <v>1</v>
      </c>
      <c r="G14">
        <v>1</v>
      </c>
      <c r="H14">
        <v>3</v>
      </c>
      <c r="I14" t="s">
        <v>39</v>
      </c>
      <c r="J14" t="s">
        <v>42</v>
      </c>
      <c r="K14" t="s">
        <v>40</v>
      </c>
      <c r="L14">
        <v>1348</v>
      </c>
      <c r="N14">
        <v>1009</v>
      </c>
      <c r="O14" t="s">
        <v>41</v>
      </c>
      <c r="P14" t="s">
        <v>41</v>
      </c>
      <c r="Q14">
        <v>1000</v>
      </c>
      <c r="W14">
        <v>0</v>
      </c>
      <c r="X14">
        <v>1876412176</v>
      </c>
      <c r="Y14">
        <v>10.66</v>
      </c>
      <c r="AA14">
        <v>0</v>
      </c>
      <c r="AB14">
        <v>0</v>
      </c>
      <c r="AC14">
        <v>0</v>
      </c>
      <c r="AD14">
        <v>0</v>
      </c>
      <c r="AE14">
        <v>0</v>
      </c>
      <c r="AF14">
        <v>0</v>
      </c>
      <c r="AG14">
        <v>0</v>
      </c>
      <c r="AH14">
        <v>0</v>
      </c>
      <c r="AI14">
        <v>1</v>
      </c>
      <c r="AJ14">
        <v>1</v>
      </c>
      <c r="AK14">
        <v>1</v>
      </c>
      <c r="AL14">
        <v>1</v>
      </c>
      <c r="AN14">
        <v>0</v>
      </c>
      <c r="AO14">
        <v>0</v>
      </c>
      <c r="AP14">
        <v>0</v>
      </c>
      <c r="AQ14">
        <v>0</v>
      </c>
      <c r="AR14">
        <v>0</v>
      </c>
      <c r="AS14" t="s">
        <v>3</v>
      </c>
      <c r="AT14">
        <v>10.66</v>
      </c>
      <c r="AU14" t="s">
        <v>3</v>
      </c>
      <c r="AV14">
        <v>0</v>
      </c>
      <c r="AW14">
        <v>2</v>
      </c>
      <c r="AX14">
        <v>31376080</v>
      </c>
      <c r="AY14">
        <v>1</v>
      </c>
      <c r="AZ14">
        <v>0</v>
      </c>
      <c r="BA14">
        <v>14</v>
      </c>
      <c r="BB14">
        <v>0</v>
      </c>
      <c r="BC14">
        <v>0</v>
      </c>
      <c r="BD14">
        <v>0</v>
      </c>
      <c r="BE14">
        <v>0</v>
      </c>
      <c r="BF14">
        <v>0</v>
      </c>
      <c r="BG14">
        <v>0</v>
      </c>
      <c r="BH14">
        <v>0</v>
      </c>
      <c r="BI14">
        <v>0</v>
      </c>
      <c r="BJ14">
        <v>0</v>
      </c>
      <c r="BK14">
        <v>0</v>
      </c>
      <c r="BL14">
        <v>0</v>
      </c>
      <c r="BM14">
        <v>0</v>
      </c>
      <c r="BN14">
        <v>0</v>
      </c>
      <c r="BO14">
        <v>0</v>
      </c>
      <c r="BP14">
        <v>0</v>
      </c>
      <c r="BQ14">
        <v>0</v>
      </c>
      <c r="BR14">
        <v>0</v>
      </c>
      <c r="BS14">
        <v>0</v>
      </c>
      <c r="BT14">
        <v>0</v>
      </c>
      <c r="BU14">
        <v>0</v>
      </c>
      <c r="BV14">
        <v>0</v>
      </c>
      <c r="BW14">
        <v>0</v>
      </c>
      <c r="CX14">
        <f>Y14*Source!I26</f>
        <v>81.122600000000006</v>
      </c>
      <c r="CY14">
        <f>AA14</f>
        <v>0</v>
      </c>
      <c r="CZ14">
        <f>AE14</f>
        <v>0</v>
      </c>
      <c r="DA14">
        <f>AI14</f>
        <v>1</v>
      </c>
      <c r="DB14">
        <f t="shared" si="0"/>
        <v>0</v>
      </c>
      <c r="DC14">
        <f t="shared" si="1"/>
        <v>0</v>
      </c>
    </row>
    <row r="15" spans="1:107" x14ac:dyDescent="0.2">
      <c r="A15">
        <f>ROW(Source!A28)</f>
        <v>28</v>
      </c>
      <c r="B15">
        <v>31375913</v>
      </c>
      <c r="C15">
        <v>31376082</v>
      </c>
      <c r="D15">
        <v>18410572</v>
      </c>
      <c r="E15">
        <v>1</v>
      </c>
      <c r="F15">
        <v>1</v>
      </c>
      <c r="G15">
        <v>1</v>
      </c>
      <c r="H15">
        <v>1</v>
      </c>
      <c r="I15" t="s">
        <v>229</v>
      </c>
      <c r="J15" t="s">
        <v>3</v>
      </c>
      <c r="K15" t="s">
        <v>230</v>
      </c>
      <c r="L15">
        <v>1369</v>
      </c>
      <c r="N15">
        <v>1013</v>
      </c>
      <c r="O15" t="s">
        <v>198</v>
      </c>
      <c r="P15" t="s">
        <v>198</v>
      </c>
      <c r="Q15">
        <v>1</v>
      </c>
      <c r="W15">
        <v>0</v>
      </c>
      <c r="X15">
        <v>-546915240</v>
      </c>
      <c r="Y15">
        <v>187.55</v>
      </c>
      <c r="AA15">
        <v>0</v>
      </c>
      <c r="AB15">
        <v>0</v>
      </c>
      <c r="AC15">
        <v>0</v>
      </c>
      <c r="AD15">
        <v>8.74</v>
      </c>
      <c r="AE15">
        <v>0</v>
      </c>
      <c r="AF15">
        <v>0</v>
      </c>
      <c r="AG15">
        <v>0</v>
      </c>
      <c r="AH15">
        <v>8.74</v>
      </c>
      <c r="AI15">
        <v>1</v>
      </c>
      <c r="AJ15">
        <v>1</v>
      </c>
      <c r="AK15">
        <v>1</v>
      </c>
      <c r="AL15">
        <v>1</v>
      </c>
      <c r="AN15">
        <v>0</v>
      </c>
      <c r="AO15">
        <v>1</v>
      </c>
      <c r="AP15">
        <v>0</v>
      </c>
      <c r="AQ15">
        <v>0</v>
      </c>
      <c r="AR15">
        <v>0</v>
      </c>
      <c r="AS15" t="s">
        <v>3</v>
      </c>
      <c r="AT15">
        <v>187.55</v>
      </c>
      <c r="AU15" t="s">
        <v>3</v>
      </c>
      <c r="AV15">
        <v>1</v>
      </c>
      <c r="AW15">
        <v>2</v>
      </c>
      <c r="AX15">
        <v>31376083</v>
      </c>
      <c r="AY15">
        <v>1</v>
      </c>
      <c r="AZ15">
        <v>0</v>
      </c>
      <c r="BA15">
        <v>15</v>
      </c>
      <c r="BB15">
        <v>0</v>
      </c>
      <c r="BC15">
        <v>0</v>
      </c>
      <c r="BD15">
        <v>0</v>
      </c>
      <c r="BE15">
        <v>0</v>
      </c>
      <c r="BF15">
        <v>0</v>
      </c>
      <c r="BG15">
        <v>0</v>
      </c>
      <c r="BH15">
        <v>0</v>
      </c>
      <c r="BI15">
        <v>0</v>
      </c>
      <c r="BJ15">
        <v>0</v>
      </c>
      <c r="BK15">
        <v>0</v>
      </c>
      <c r="BL15">
        <v>0</v>
      </c>
      <c r="BM15">
        <v>0</v>
      </c>
      <c r="BN15">
        <v>0</v>
      </c>
      <c r="BO15">
        <v>0</v>
      </c>
      <c r="BP15">
        <v>0</v>
      </c>
      <c r="BQ15">
        <v>0</v>
      </c>
      <c r="BR15">
        <v>0</v>
      </c>
      <c r="BS15">
        <v>0</v>
      </c>
      <c r="BT15">
        <v>0</v>
      </c>
      <c r="BU15">
        <v>0</v>
      </c>
      <c r="BV15">
        <v>0</v>
      </c>
      <c r="BW15">
        <v>0</v>
      </c>
      <c r="CX15">
        <f>Y15*Source!I28</f>
        <v>2508.1061500000001</v>
      </c>
      <c r="CY15">
        <f>AD15</f>
        <v>8.74</v>
      </c>
      <c r="CZ15">
        <f>AH15</f>
        <v>8.74</v>
      </c>
      <c r="DA15">
        <f>AL15</f>
        <v>1</v>
      </c>
      <c r="DB15">
        <f t="shared" si="0"/>
        <v>1639.19</v>
      </c>
      <c r="DC15">
        <f t="shared" si="1"/>
        <v>0</v>
      </c>
    </row>
    <row r="16" spans="1:107" x14ac:dyDescent="0.2">
      <c r="A16">
        <f>ROW(Source!A28)</f>
        <v>28</v>
      </c>
      <c r="B16">
        <v>31375913</v>
      </c>
      <c r="C16">
        <v>31376082</v>
      </c>
      <c r="D16">
        <v>121548</v>
      </c>
      <c r="E16">
        <v>1</v>
      </c>
      <c r="F16">
        <v>1</v>
      </c>
      <c r="G16">
        <v>1</v>
      </c>
      <c r="H16">
        <v>1</v>
      </c>
      <c r="I16" t="s">
        <v>23</v>
      </c>
      <c r="J16" t="s">
        <v>3</v>
      </c>
      <c r="K16" t="s">
        <v>216</v>
      </c>
      <c r="L16">
        <v>608254</v>
      </c>
      <c r="N16">
        <v>1013</v>
      </c>
      <c r="O16" t="s">
        <v>217</v>
      </c>
      <c r="P16" t="s">
        <v>217</v>
      </c>
      <c r="Q16">
        <v>1</v>
      </c>
      <c r="W16">
        <v>0</v>
      </c>
      <c r="X16">
        <v>-185737400</v>
      </c>
      <c r="Y16">
        <v>1.76</v>
      </c>
      <c r="AA16">
        <v>0</v>
      </c>
      <c r="AB16">
        <v>0</v>
      </c>
      <c r="AC16">
        <v>0</v>
      </c>
      <c r="AD16">
        <v>0</v>
      </c>
      <c r="AE16">
        <v>0</v>
      </c>
      <c r="AF16">
        <v>0</v>
      </c>
      <c r="AG16">
        <v>0</v>
      </c>
      <c r="AH16">
        <v>0</v>
      </c>
      <c r="AI16">
        <v>1</v>
      </c>
      <c r="AJ16">
        <v>1</v>
      </c>
      <c r="AK16">
        <v>1</v>
      </c>
      <c r="AL16">
        <v>1</v>
      </c>
      <c r="AN16">
        <v>0</v>
      </c>
      <c r="AO16">
        <v>1</v>
      </c>
      <c r="AP16">
        <v>0</v>
      </c>
      <c r="AQ16">
        <v>0</v>
      </c>
      <c r="AR16">
        <v>0</v>
      </c>
      <c r="AS16" t="s">
        <v>3</v>
      </c>
      <c r="AT16">
        <v>1.76</v>
      </c>
      <c r="AU16" t="s">
        <v>3</v>
      </c>
      <c r="AV16">
        <v>2</v>
      </c>
      <c r="AW16">
        <v>2</v>
      </c>
      <c r="AX16">
        <v>31376084</v>
      </c>
      <c r="AY16">
        <v>1</v>
      </c>
      <c r="AZ16">
        <v>0</v>
      </c>
      <c r="BA16">
        <v>16</v>
      </c>
      <c r="BB16">
        <v>0</v>
      </c>
      <c r="BC16">
        <v>0</v>
      </c>
      <c r="BD16">
        <v>0</v>
      </c>
      <c r="BE16">
        <v>0</v>
      </c>
      <c r="BF16">
        <v>0</v>
      </c>
      <c r="BG16">
        <v>0</v>
      </c>
      <c r="BH16">
        <v>0</v>
      </c>
      <c r="BI16">
        <v>0</v>
      </c>
      <c r="BJ16">
        <v>0</v>
      </c>
      <c r="BK16">
        <v>0</v>
      </c>
      <c r="BL16">
        <v>0</v>
      </c>
      <c r="BM16">
        <v>0</v>
      </c>
      <c r="BN16">
        <v>0</v>
      </c>
      <c r="BO16">
        <v>0</v>
      </c>
      <c r="BP16">
        <v>0</v>
      </c>
      <c r="BQ16">
        <v>0</v>
      </c>
      <c r="BR16">
        <v>0</v>
      </c>
      <c r="BS16">
        <v>0</v>
      </c>
      <c r="BT16">
        <v>0</v>
      </c>
      <c r="BU16">
        <v>0</v>
      </c>
      <c r="BV16">
        <v>0</v>
      </c>
      <c r="BW16">
        <v>0</v>
      </c>
      <c r="CX16">
        <f>Y16*Source!I28</f>
        <v>23.536479999999997</v>
      </c>
      <c r="CY16">
        <f>AD16</f>
        <v>0</v>
      </c>
      <c r="CZ16">
        <f>AH16</f>
        <v>0</v>
      </c>
      <c r="DA16">
        <f>AL16</f>
        <v>1</v>
      </c>
      <c r="DB16">
        <f t="shared" si="0"/>
        <v>0</v>
      </c>
      <c r="DC16">
        <f t="shared" si="1"/>
        <v>0</v>
      </c>
    </row>
    <row r="17" spans="1:107" x14ac:dyDescent="0.2">
      <c r="A17">
        <f>ROW(Source!A28)</f>
        <v>28</v>
      </c>
      <c r="B17">
        <v>31375913</v>
      </c>
      <c r="C17">
        <v>31376082</v>
      </c>
      <c r="D17">
        <v>29327777</v>
      </c>
      <c r="E17">
        <v>1</v>
      </c>
      <c r="F17">
        <v>1</v>
      </c>
      <c r="G17">
        <v>1</v>
      </c>
      <c r="H17">
        <v>2</v>
      </c>
      <c r="I17" t="s">
        <v>218</v>
      </c>
      <c r="J17" t="s">
        <v>219</v>
      </c>
      <c r="K17" t="s">
        <v>220</v>
      </c>
      <c r="L17">
        <v>1368</v>
      </c>
      <c r="N17">
        <v>1011</v>
      </c>
      <c r="O17" t="s">
        <v>202</v>
      </c>
      <c r="P17" t="s">
        <v>202</v>
      </c>
      <c r="Q17">
        <v>1</v>
      </c>
      <c r="W17">
        <v>0</v>
      </c>
      <c r="X17">
        <v>344519037</v>
      </c>
      <c r="Y17">
        <v>1.76</v>
      </c>
      <c r="AA17">
        <v>0</v>
      </c>
      <c r="AB17">
        <v>466.71</v>
      </c>
      <c r="AC17">
        <v>446.18</v>
      </c>
      <c r="AD17">
        <v>0</v>
      </c>
      <c r="AE17">
        <v>0</v>
      </c>
      <c r="AF17">
        <v>31.26</v>
      </c>
      <c r="AG17">
        <v>13.5</v>
      </c>
      <c r="AH17">
        <v>0</v>
      </c>
      <c r="AI17">
        <v>1</v>
      </c>
      <c r="AJ17">
        <v>14.93</v>
      </c>
      <c r="AK17">
        <v>33.049999999999997</v>
      </c>
      <c r="AL17">
        <v>1</v>
      </c>
      <c r="AN17">
        <v>0</v>
      </c>
      <c r="AO17">
        <v>1</v>
      </c>
      <c r="AP17">
        <v>0</v>
      </c>
      <c r="AQ17">
        <v>0</v>
      </c>
      <c r="AR17">
        <v>0</v>
      </c>
      <c r="AS17" t="s">
        <v>3</v>
      </c>
      <c r="AT17">
        <v>1.76</v>
      </c>
      <c r="AU17" t="s">
        <v>3</v>
      </c>
      <c r="AV17">
        <v>0</v>
      </c>
      <c r="AW17">
        <v>2</v>
      </c>
      <c r="AX17">
        <v>31376085</v>
      </c>
      <c r="AY17">
        <v>1</v>
      </c>
      <c r="AZ17">
        <v>0</v>
      </c>
      <c r="BA17">
        <v>17</v>
      </c>
      <c r="BB17">
        <v>0</v>
      </c>
      <c r="BC17">
        <v>0</v>
      </c>
      <c r="BD17">
        <v>0</v>
      </c>
      <c r="BE17">
        <v>0</v>
      </c>
      <c r="BF17">
        <v>0</v>
      </c>
      <c r="BG17">
        <v>0</v>
      </c>
      <c r="BH17">
        <v>0</v>
      </c>
      <c r="BI17">
        <v>0</v>
      </c>
      <c r="BJ17">
        <v>0</v>
      </c>
      <c r="BK17">
        <v>0</v>
      </c>
      <c r="BL17">
        <v>0</v>
      </c>
      <c r="BM17">
        <v>0</v>
      </c>
      <c r="BN17">
        <v>0</v>
      </c>
      <c r="BO17">
        <v>0</v>
      </c>
      <c r="BP17">
        <v>0</v>
      </c>
      <c r="BQ17">
        <v>0</v>
      </c>
      <c r="BR17">
        <v>0</v>
      </c>
      <c r="BS17">
        <v>0</v>
      </c>
      <c r="BT17">
        <v>0</v>
      </c>
      <c r="BU17">
        <v>0</v>
      </c>
      <c r="BV17">
        <v>0</v>
      </c>
      <c r="BW17">
        <v>0</v>
      </c>
      <c r="CX17">
        <f>Y17*Source!I28</f>
        <v>23.536479999999997</v>
      </c>
      <c r="CY17">
        <f>AB17</f>
        <v>466.71</v>
      </c>
      <c r="CZ17">
        <f>AF17</f>
        <v>31.26</v>
      </c>
      <c r="DA17">
        <f>AJ17</f>
        <v>14.93</v>
      </c>
      <c r="DB17">
        <f t="shared" si="0"/>
        <v>55.02</v>
      </c>
      <c r="DC17">
        <f t="shared" si="1"/>
        <v>23.76</v>
      </c>
    </row>
    <row r="18" spans="1:107" x14ac:dyDescent="0.2">
      <c r="A18">
        <f>ROW(Source!A28)</f>
        <v>28</v>
      </c>
      <c r="B18">
        <v>31375913</v>
      </c>
      <c r="C18">
        <v>31376082</v>
      </c>
      <c r="D18">
        <v>29328693</v>
      </c>
      <c r="E18">
        <v>1</v>
      </c>
      <c r="F18">
        <v>1</v>
      </c>
      <c r="G18">
        <v>1</v>
      </c>
      <c r="H18">
        <v>2</v>
      </c>
      <c r="I18" t="s">
        <v>231</v>
      </c>
      <c r="J18" t="s">
        <v>232</v>
      </c>
      <c r="K18" t="s">
        <v>233</v>
      </c>
      <c r="L18">
        <v>1368</v>
      </c>
      <c r="N18">
        <v>1011</v>
      </c>
      <c r="O18" t="s">
        <v>202</v>
      </c>
      <c r="P18" t="s">
        <v>202</v>
      </c>
      <c r="Q18">
        <v>1</v>
      </c>
      <c r="W18">
        <v>0</v>
      </c>
      <c r="X18">
        <v>-1937814132</v>
      </c>
      <c r="Y18">
        <v>19.62</v>
      </c>
      <c r="AA18">
        <v>0</v>
      </c>
      <c r="AB18">
        <v>12.75</v>
      </c>
      <c r="AC18">
        <v>0</v>
      </c>
      <c r="AD18">
        <v>0</v>
      </c>
      <c r="AE18">
        <v>0</v>
      </c>
      <c r="AF18">
        <v>3</v>
      </c>
      <c r="AG18">
        <v>0</v>
      </c>
      <c r="AH18">
        <v>0</v>
      </c>
      <c r="AI18">
        <v>1</v>
      </c>
      <c r="AJ18">
        <v>4.25</v>
      </c>
      <c r="AK18">
        <v>33.049999999999997</v>
      </c>
      <c r="AL18">
        <v>1</v>
      </c>
      <c r="AN18">
        <v>0</v>
      </c>
      <c r="AO18">
        <v>1</v>
      </c>
      <c r="AP18">
        <v>0</v>
      </c>
      <c r="AQ18">
        <v>0</v>
      </c>
      <c r="AR18">
        <v>0</v>
      </c>
      <c r="AS18" t="s">
        <v>3</v>
      </c>
      <c r="AT18">
        <v>19.62</v>
      </c>
      <c r="AU18" t="s">
        <v>3</v>
      </c>
      <c r="AV18">
        <v>0</v>
      </c>
      <c r="AW18">
        <v>2</v>
      </c>
      <c r="AX18">
        <v>31376086</v>
      </c>
      <c r="AY18">
        <v>1</v>
      </c>
      <c r="AZ18">
        <v>0</v>
      </c>
      <c r="BA18">
        <v>18</v>
      </c>
      <c r="BB18">
        <v>0</v>
      </c>
      <c r="BC18">
        <v>0</v>
      </c>
      <c r="BD18">
        <v>0</v>
      </c>
      <c r="BE18">
        <v>0</v>
      </c>
      <c r="BF18">
        <v>0</v>
      </c>
      <c r="BG18">
        <v>0</v>
      </c>
      <c r="BH18">
        <v>0</v>
      </c>
      <c r="BI18">
        <v>0</v>
      </c>
      <c r="BJ18">
        <v>0</v>
      </c>
      <c r="BK18">
        <v>0</v>
      </c>
      <c r="BL18">
        <v>0</v>
      </c>
      <c r="BM18">
        <v>0</v>
      </c>
      <c r="BN18">
        <v>0</v>
      </c>
      <c r="BO18">
        <v>0</v>
      </c>
      <c r="BP18">
        <v>0</v>
      </c>
      <c r="BQ18">
        <v>0</v>
      </c>
      <c r="BR18">
        <v>0</v>
      </c>
      <c r="BS18">
        <v>0</v>
      </c>
      <c r="BT18">
        <v>0</v>
      </c>
      <c r="BU18">
        <v>0</v>
      </c>
      <c r="BV18">
        <v>0</v>
      </c>
      <c r="BW18">
        <v>0</v>
      </c>
      <c r="CX18">
        <f>Y18*Source!I28</f>
        <v>262.37826000000001</v>
      </c>
      <c r="CY18">
        <f>AB18</f>
        <v>12.75</v>
      </c>
      <c r="CZ18">
        <f>AF18</f>
        <v>3</v>
      </c>
      <c r="DA18">
        <f>AJ18</f>
        <v>4.25</v>
      </c>
      <c r="DB18">
        <f t="shared" si="0"/>
        <v>58.86</v>
      </c>
      <c r="DC18">
        <f t="shared" si="1"/>
        <v>0</v>
      </c>
    </row>
    <row r="19" spans="1:107" x14ac:dyDescent="0.2">
      <c r="A19">
        <f>ROW(Source!A28)</f>
        <v>28</v>
      </c>
      <c r="B19">
        <v>31375913</v>
      </c>
      <c r="C19">
        <v>31376082</v>
      </c>
      <c r="D19">
        <v>29329801</v>
      </c>
      <c r="E19">
        <v>1</v>
      </c>
      <c r="F19">
        <v>1</v>
      </c>
      <c r="G19">
        <v>1</v>
      </c>
      <c r="H19">
        <v>2</v>
      </c>
      <c r="I19" t="s">
        <v>234</v>
      </c>
      <c r="J19" t="s">
        <v>235</v>
      </c>
      <c r="K19" t="s">
        <v>236</v>
      </c>
      <c r="L19">
        <v>1368</v>
      </c>
      <c r="N19">
        <v>1011</v>
      </c>
      <c r="O19" t="s">
        <v>202</v>
      </c>
      <c r="P19" t="s">
        <v>202</v>
      </c>
      <c r="Q19">
        <v>1</v>
      </c>
      <c r="W19">
        <v>0</v>
      </c>
      <c r="X19">
        <v>-991672839</v>
      </c>
      <c r="Y19">
        <v>30.23</v>
      </c>
      <c r="AA19">
        <v>0</v>
      </c>
      <c r="AB19">
        <v>31.87</v>
      </c>
      <c r="AC19">
        <v>0</v>
      </c>
      <c r="AD19">
        <v>0</v>
      </c>
      <c r="AE19">
        <v>0</v>
      </c>
      <c r="AF19">
        <v>2.08</v>
      </c>
      <c r="AG19">
        <v>0</v>
      </c>
      <c r="AH19">
        <v>0</v>
      </c>
      <c r="AI19">
        <v>1</v>
      </c>
      <c r="AJ19">
        <v>15.32</v>
      </c>
      <c r="AK19">
        <v>33.049999999999997</v>
      </c>
      <c r="AL19">
        <v>1</v>
      </c>
      <c r="AN19">
        <v>0</v>
      </c>
      <c r="AO19">
        <v>1</v>
      </c>
      <c r="AP19">
        <v>0</v>
      </c>
      <c r="AQ19">
        <v>0</v>
      </c>
      <c r="AR19">
        <v>0</v>
      </c>
      <c r="AS19" t="s">
        <v>3</v>
      </c>
      <c r="AT19">
        <v>30.23</v>
      </c>
      <c r="AU19" t="s">
        <v>3</v>
      </c>
      <c r="AV19">
        <v>0</v>
      </c>
      <c r="AW19">
        <v>2</v>
      </c>
      <c r="AX19">
        <v>31376087</v>
      </c>
      <c r="AY19">
        <v>1</v>
      </c>
      <c r="AZ19">
        <v>0</v>
      </c>
      <c r="BA19">
        <v>19</v>
      </c>
      <c r="BB19">
        <v>0</v>
      </c>
      <c r="BC19">
        <v>0</v>
      </c>
      <c r="BD19">
        <v>0</v>
      </c>
      <c r="BE19">
        <v>0</v>
      </c>
      <c r="BF19">
        <v>0</v>
      </c>
      <c r="BG19">
        <v>0</v>
      </c>
      <c r="BH19">
        <v>0</v>
      </c>
      <c r="BI19">
        <v>0</v>
      </c>
      <c r="BJ19">
        <v>0</v>
      </c>
      <c r="BK19">
        <v>0</v>
      </c>
      <c r="BL19">
        <v>0</v>
      </c>
      <c r="BM19">
        <v>0</v>
      </c>
      <c r="BN19">
        <v>0</v>
      </c>
      <c r="BO19">
        <v>0</v>
      </c>
      <c r="BP19">
        <v>0</v>
      </c>
      <c r="BQ19">
        <v>0</v>
      </c>
      <c r="BR19">
        <v>0</v>
      </c>
      <c r="BS19">
        <v>0</v>
      </c>
      <c r="BT19">
        <v>0</v>
      </c>
      <c r="BU19">
        <v>0</v>
      </c>
      <c r="BV19">
        <v>0</v>
      </c>
      <c r="BW19">
        <v>0</v>
      </c>
      <c r="CX19">
        <f>Y19*Source!I28</f>
        <v>404.26578999999998</v>
      </c>
      <c r="CY19">
        <f>AB19</f>
        <v>31.87</v>
      </c>
      <c r="CZ19">
        <f>AF19</f>
        <v>2.08</v>
      </c>
      <c r="DA19">
        <f>AJ19</f>
        <v>15.32</v>
      </c>
      <c r="DB19">
        <f t="shared" si="0"/>
        <v>62.88</v>
      </c>
      <c r="DC19">
        <f t="shared" si="1"/>
        <v>0</v>
      </c>
    </row>
    <row r="20" spans="1:107" x14ac:dyDescent="0.2">
      <c r="A20">
        <f>ROW(Source!A28)</f>
        <v>28</v>
      </c>
      <c r="B20">
        <v>31375913</v>
      </c>
      <c r="C20">
        <v>31376082</v>
      </c>
      <c r="D20">
        <v>29330134</v>
      </c>
      <c r="E20">
        <v>1</v>
      </c>
      <c r="F20">
        <v>1</v>
      </c>
      <c r="G20">
        <v>1</v>
      </c>
      <c r="H20">
        <v>2</v>
      </c>
      <c r="I20" t="s">
        <v>199</v>
      </c>
      <c r="J20" t="s">
        <v>200</v>
      </c>
      <c r="K20" t="s">
        <v>201</v>
      </c>
      <c r="L20">
        <v>1368</v>
      </c>
      <c r="N20">
        <v>1011</v>
      </c>
      <c r="O20" t="s">
        <v>202</v>
      </c>
      <c r="P20" t="s">
        <v>202</v>
      </c>
      <c r="Q20">
        <v>1</v>
      </c>
      <c r="W20">
        <v>0</v>
      </c>
      <c r="X20">
        <v>1230759911</v>
      </c>
      <c r="Y20">
        <v>3.57</v>
      </c>
      <c r="AA20">
        <v>0</v>
      </c>
      <c r="AB20">
        <v>932.72</v>
      </c>
      <c r="AC20">
        <v>383.38</v>
      </c>
      <c r="AD20">
        <v>0</v>
      </c>
      <c r="AE20">
        <v>0</v>
      </c>
      <c r="AF20">
        <v>87.17</v>
      </c>
      <c r="AG20">
        <v>11.6</v>
      </c>
      <c r="AH20">
        <v>0</v>
      </c>
      <c r="AI20">
        <v>1</v>
      </c>
      <c r="AJ20">
        <v>10.7</v>
      </c>
      <c r="AK20">
        <v>33.049999999999997</v>
      </c>
      <c r="AL20">
        <v>1</v>
      </c>
      <c r="AN20">
        <v>0</v>
      </c>
      <c r="AO20">
        <v>1</v>
      </c>
      <c r="AP20">
        <v>0</v>
      </c>
      <c r="AQ20">
        <v>0</v>
      </c>
      <c r="AR20">
        <v>0</v>
      </c>
      <c r="AS20" t="s">
        <v>3</v>
      </c>
      <c r="AT20">
        <v>3.57</v>
      </c>
      <c r="AU20" t="s">
        <v>3</v>
      </c>
      <c r="AV20">
        <v>0</v>
      </c>
      <c r="AW20">
        <v>2</v>
      </c>
      <c r="AX20">
        <v>31376088</v>
      </c>
      <c r="AY20">
        <v>1</v>
      </c>
      <c r="AZ20">
        <v>0</v>
      </c>
      <c r="BA20">
        <v>20</v>
      </c>
      <c r="BB20">
        <v>0</v>
      </c>
      <c r="BC20">
        <v>0</v>
      </c>
      <c r="BD20">
        <v>0</v>
      </c>
      <c r="BE20">
        <v>0</v>
      </c>
      <c r="BF20">
        <v>0</v>
      </c>
      <c r="BG20">
        <v>0</v>
      </c>
      <c r="BH20">
        <v>0</v>
      </c>
      <c r="BI20">
        <v>0</v>
      </c>
      <c r="BJ20">
        <v>0</v>
      </c>
      <c r="BK20">
        <v>0</v>
      </c>
      <c r="BL20">
        <v>0</v>
      </c>
      <c r="BM20">
        <v>0</v>
      </c>
      <c r="BN20">
        <v>0</v>
      </c>
      <c r="BO20">
        <v>0</v>
      </c>
      <c r="BP20">
        <v>0</v>
      </c>
      <c r="BQ20">
        <v>0</v>
      </c>
      <c r="BR20">
        <v>0</v>
      </c>
      <c r="BS20">
        <v>0</v>
      </c>
      <c r="BT20">
        <v>0</v>
      </c>
      <c r="BU20">
        <v>0</v>
      </c>
      <c r="BV20">
        <v>0</v>
      </c>
      <c r="BW20">
        <v>0</v>
      </c>
      <c r="CX20">
        <f>Y20*Source!I28</f>
        <v>47.741609999999994</v>
      </c>
      <c r="CY20">
        <f>AB20</f>
        <v>932.72</v>
      </c>
      <c r="CZ20">
        <f>AF20</f>
        <v>87.17</v>
      </c>
      <c r="DA20">
        <f>AJ20</f>
        <v>10.7</v>
      </c>
      <c r="DB20">
        <f t="shared" si="0"/>
        <v>311.2</v>
      </c>
      <c r="DC20">
        <f t="shared" si="1"/>
        <v>41.41</v>
      </c>
    </row>
    <row r="21" spans="1:107" x14ac:dyDescent="0.2">
      <c r="A21">
        <f>ROW(Source!A28)</f>
        <v>28</v>
      </c>
      <c r="B21">
        <v>31375913</v>
      </c>
      <c r="C21">
        <v>31376082</v>
      </c>
      <c r="D21">
        <v>29266048</v>
      </c>
      <c r="E21">
        <v>1</v>
      </c>
      <c r="F21">
        <v>1</v>
      </c>
      <c r="G21">
        <v>1</v>
      </c>
      <c r="H21">
        <v>3</v>
      </c>
      <c r="I21" t="s">
        <v>237</v>
      </c>
      <c r="J21" t="s">
        <v>238</v>
      </c>
      <c r="K21" t="s">
        <v>239</v>
      </c>
      <c r="L21">
        <v>1301</v>
      </c>
      <c r="N21">
        <v>1003</v>
      </c>
      <c r="O21" t="s">
        <v>240</v>
      </c>
      <c r="P21" t="s">
        <v>240</v>
      </c>
      <c r="Q21">
        <v>1</v>
      </c>
      <c r="W21">
        <v>0</v>
      </c>
      <c r="X21">
        <v>-115581563</v>
      </c>
      <c r="Y21">
        <v>347</v>
      </c>
      <c r="AA21">
        <v>19.329999999999998</v>
      </c>
      <c r="AB21">
        <v>0</v>
      </c>
      <c r="AC21">
        <v>0</v>
      </c>
      <c r="AD21">
        <v>0</v>
      </c>
      <c r="AE21">
        <v>6.4</v>
      </c>
      <c r="AF21">
        <v>0</v>
      </c>
      <c r="AG21">
        <v>0</v>
      </c>
      <c r="AH21">
        <v>0</v>
      </c>
      <c r="AI21">
        <v>3.02</v>
      </c>
      <c r="AJ21">
        <v>1</v>
      </c>
      <c r="AK21">
        <v>1</v>
      </c>
      <c r="AL21">
        <v>1</v>
      </c>
      <c r="AN21">
        <v>0</v>
      </c>
      <c r="AO21">
        <v>1</v>
      </c>
      <c r="AP21">
        <v>0</v>
      </c>
      <c r="AQ21">
        <v>0</v>
      </c>
      <c r="AR21">
        <v>0</v>
      </c>
      <c r="AS21" t="s">
        <v>3</v>
      </c>
      <c r="AT21">
        <v>347</v>
      </c>
      <c r="AU21" t="s">
        <v>3</v>
      </c>
      <c r="AV21">
        <v>0</v>
      </c>
      <c r="AW21">
        <v>2</v>
      </c>
      <c r="AX21">
        <v>31376089</v>
      </c>
      <c r="AY21">
        <v>1</v>
      </c>
      <c r="AZ21">
        <v>0</v>
      </c>
      <c r="BA21">
        <v>21</v>
      </c>
      <c r="BB21">
        <v>0</v>
      </c>
      <c r="BC21">
        <v>0</v>
      </c>
      <c r="BD21">
        <v>0</v>
      </c>
      <c r="BE21">
        <v>0</v>
      </c>
      <c r="BF21">
        <v>0</v>
      </c>
      <c r="BG21">
        <v>0</v>
      </c>
      <c r="BH21">
        <v>0</v>
      </c>
      <c r="BI21">
        <v>0</v>
      </c>
      <c r="BJ21">
        <v>0</v>
      </c>
      <c r="BK21">
        <v>0</v>
      </c>
      <c r="BL21">
        <v>0</v>
      </c>
      <c r="BM21">
        <v>0</v>
      </c>
      <c r="BN21">
        <v>0</v>
      </c>
      <c r="BO21">
        <v>0</v>
      </c>
      <c r="BP21">
        <v>0</v>
      </c>
      <c r="BQ21">
        <v>0</v>
      </c>
      <c r="BR21">
        <v>0</v>
      </c>
      <c r="BS21">
        <v>0</v>
      </c>
      <c r="BT21">
        <v>0</v>
      </c>
      <c r="BU21">
        <v>0</v>
      </c>
      <c r="BV21">
        <v>0</v>
      </c>
      <c r="BW21">
        <v>0</v>
      </c>
      <c r="CX21">
        <f>Y21*Source!I28</f>
        <v>4640.4309999999996</v>
      </c>
      <c r="CY21">
        <f t="shared" ref="CY21:CY27" si="2">AA21</f>
        <v>19.329999999999998</v>
      </c>
      <c r="CZ21">
        <f t="shared" ref="CZ21:CZ27" si="3">AE21</f>
        <v>6.4</v>
      </c>
      <c r="DA21">
        <f t="shared" ref="DA21:DA27" si="4">AI21</f>
        <v>3.02</v>
      </c>
      <c r="DB21">
        <f t="shared" si="0"/>
        <v>2220.8000000000002</v>
      </c>
      <c r="DC21">
        <f t="shared" si="1"/>
        <v>0</v>
      </c>
    </row>
    <row r="22" spans="1:107" x14ac:dyDescent="0.2">
      <c r="A22">
        <f>ROW(Source!A28)</f>
        <v>28</v>
      </c>
      <c r="B22">
        <v>31375913</v>
      </c>
      <c r="C22">
        <v>31376082</v>
      </c>
      <c r="D22">
        <v>29266049</v>
      </c>
      <c r="E22">
        <v>1</v>
      </c>
      <c r="F22">
        <v>1</v>
      </c>
      <c r="G22">
        <v>1</v>
      </c>
      <c r="H22">
        <v>3</v>
      </c>
      <c r="I22" t="s">
        <v>241</v>
      </c>
      <c r="J22" t="s">
        <v>242</v>
      </c>
      <c r="K22" t="s">
        <v>243</v>
      </c>
      <c r="L22">
        <v>1301</v>
      </c>
      <c r="N22">
        <v>1003</v>
      </c>
      <c r="O22" t="s">
        <v>240</v>
      </c>
      <c r="P22" t="s">
        <v>240</v>
      </c>
      <c r="Q22">
        <v>1</v>
      </c>
      <c r="W22">
        <v>0</v>
      </c>
      <c r="X22">
        <v>1663450262</v>
      </c>
      <c r="Y22">
        <v>71</v>
      </c>
      <c r="AA22">
        <v>34.840000000000003</v>
      </c>
      <c r="AB22">
        <v>0</v>
      </c>
      <c r="AC22">
        <v>0</v>
      </c>
      <c r="AD22">
        <v>0</v>
      </c>
      <c r="AE22">
        <v>7.99</v>
      </c>
      <c r="AF22">
        <v>0</v>
      </c>
      <c r="AG22">
        <v>0</v>
      </c>
      <c r="AH22">
        <v>0</v>
      </c>
      <c r="AI22">
        <v>4.3600000000000003</v>
      </c>
      <c r="AJ22">
        <v>1</v>
      </c>
      <c r="AK22">
        <v>1</v>
      </c>
      <c r="AL22">
        <v>1</v>
      </c>
      <c r="AN22">
        <v>0</v>
      </c>
      <c r="AO22">
        <v>1</v>
      </c>
      <c r="AP22">
        <v>0</v>
      </c>
      <c r="AQ22">
        <v>0</v>
      </c>
      <c r="AR22">
        <v>0</v>
      </c>
      <c r="AS22" t="s">
        <v>3</v>
      </c>
      <c r="AT22">
        <v>71</v>
      </c>
      <c r="AU22" t="s">
        <v>3</v>
      </c>
      <c r="AV22">
        <v>0</v>
      </c>
      <c r="AW22">
        <v>2</v>
      </c>
      <c r="AX22">
        <v>31376090</v>
      </c>
      <c r="AY22">
        <v>1</v>
      </c>
      <c r="AZ22">
        <v>0</v>
      </c>
      <c r="BA22">
        <v>22</v>
      </c>
      <c r="BB22">
        <v>0</v>
      </c>
      <c r="BC22">
        <v>0</v>
      </c>
      <c r="BD22">
        <v>0</v>
      </c>
      <c r="BE22">
        <v>0</v>
      </c>
      <c r="BF22">
        <v>0</v>
      </c>
      <c r="BG22">
        <v>0</v>
      </c>
      <c r="BH22">
        <v>0</v>
      </c>
      <c r="BI22">
        <v>0</v>
      </c>
      <c r="BJ22">
        <v>0</v>
      </c>
      <c r="BK22">
        <v>0</v>
      </c>
      <c r="BL22">
        <v>0</v>
      </c>
      <c r="BM22">
        <v>0</v>
      </c>
      <c r="BN22">
        <v>0</v>
      </c>
      <c r="BO22">
        <v>0</v>
      </c>
      <c r="BP22">
        <v>0</v>
      </c>
      <c r="BQ22">
        <v>0</v>
      </c>
      <c r="BR22">
        <v>0</v>
      </c>
      <c r="BS22">
        <v>0</v>
      </c>
      <c r="BT22">
        <v>0</v>
      </c>
      <c r="BU22">
        <v>0</v>
      </c>
      <c r="BV22">
        <v>0</v>
      </c>
      <c r="BW22">
        <v>0</v>
      </c>
      <c r="CX22">
        <f>Y22*Source!I28</f>
        <v>949.48299999999995</v>
      </c>
      <c r="CY22">
        <f t="shared" si="2"/>
        <v>34.840000000000003</v>
      </c>
      <c r="CZ22">
        <f t="shared" si="3"/>
        <v>7.99</v>
      </c>
      <c r="DA22">
        <f t="shared" si="4"/>
        <v>4.3600000000000003</v>
      </c>
      <c r="DB22">
        <f t="shared" si="0"/>
        <v>567.29</v>
      </c>
      <c r="DC22">
        <f t="shared" si="1"/>
        <v>0</v>
      </c>
    </row>
    <row r="23" spans="1:107" x14ac:dyDescent="0.2">
      <c r="A23">
        <f>ROW(Source!A28)</f>
        <v>28</v>
      </c>
      <c r="B23">
        <v>31375913</v>
      </c>
      <c r="C23">
        <v>31376082</v>
      </c>
      <c r="D23">
        <v>29263917</v>
      </c>
      <c r="E23">
        <v>1</v>
      </c>
      <c r="F23">
        <v>1</v>
      </c>
      <c r="G23">
        <v>1</v>
      </c>
      <c r="H23">
        <v>3</v>
      </c>
      <c r="I23" t="s">
        <v>244</v>
      </c>
      <c r="J23" t="s">
        <v>245</v>
      </c>
      <c r="K23" t="s">
        <v>246</v>
      </c>
      <c r="L23">
        <v>1354</v>
      </c>
      <c r="N23">
        <v>1010</v>
      </c>
      <c r="O23" t="s">
        <v>247</v>
      </c>
      <c r="P23" t="s">
        <v>247</v>
      </c>
      <c r="Q23">
        <v>1</v>
      </c>
      <c r="W23">
        <v>0</v>
      </c>
      <c r="X23">
        <v>-393423820</v>
      </c>
      <c r="Y23">
        <v>92</v>
      </c>
      <c r="AA23">
        <v>310.51</v>
      </c>
      <c r="AB23">
        <v>0</v>
      </c>
      <c r="AC23">
        <v>0</v>
      </c>
      <c r="AD23">
        <v>0</v>
      </c>
      <c r="AE23">
        <v>67.209999999999994</v>
      </c>
      <c r="AF23">
        <v>0</v>
      </c>
      <c r="AG23">
        <v>0</v>
      </c>
      <c r="AH23">
        <v>0</v>
      </c>
      <c r="AI23">
        <v>4.62</v>
      </c>
      <c r="AJ23">
        <v>1</v>
      </c>
      <c r="AK23">
        <v>1</v>
      </c>
      <c r="AL23">
        <v>1</v>
      </c>
      <c r="AN23">
        <v>0</v>
      </c>
      <c r="AO23">
        <v>1</v>
      </c>
      <c r="AP23">
        <v>0</v>
      </c>
      <c r="AQ23">
        <v>0</v>
      </c>
      <c r="AR23">
        <v>0</v>
      </c>
      <c r="AS23" t="s">
        <v>3</v>
      </c>
      <c r="AT23">
        <v>92</v>
      </c>
      <c r="AU23" t="s">
        <v>3</v>
      </c>
      <c r="AV23">
        <v>0</v>
      </c>
      <c r="AW23">
        <v>2</v>
      </c>
      <c r="AX23">
        <v>31376091</v>
      </c>
      <c r="AY23">
        <v>1</v>
      </c>
      <c r="AZ23">
        <v>0</v>
      </c>
      <c r="BA23">
        <v>23</v>
      </c>
      <c r="BB23">
        <v>0</v>
      </c>
      <c r="BC23">
        <v>0</v>
      </c>
      <c r="BD23">
        <v>0</v>
      </c>
      <c r="BE23">
        <v>0</v>
      </c>
      <c r="BF23">
        <v>0</v>
      </c>
      <c r="BG23">
        <v>0</v>
      </c>
      <c r="BH23">
        <v>0</v>
      </c>
      <c r="BI23">
        <v>0</v>
      </c>
      <c r="BJ23">
        <v>0</v>
      </c>
      <c r="BK23">
        <v>0</v>
      </c>
      <c r="BL23">
        <v>0</v>
      </c>
      <c r="BM23">
        <v>0</v>
      </c>
      <c r="BN23">
        <v>0</v>
      </c>
      <c r="BO23">
        <v>0</v>
      </c>
      <c r="BP23">
        <v>0</v>
      </c>
      <c r="BQ23">
        <v>0</v>
      </c>
      <c r="BR23">
        <v>0</v>
      </c>
      <c r="BS23">
        <v>0</v>
      </c>
      <c r="BT23">
        <v>0</v>
      </c>
      <c r="BU23">
        <v>0</v>
      </c>
      <c r="BV23">
        <v>0</v>
      </c>
      <c r="BW23">
        <v>0</v>
      </c>
      <c r="CX23">
        <f>Y23*Source!I28</f>
        <v>1230.316</v>
      </c>
      <c r="CY23">
        <f t="shared" si="2"/>
        <v>310.51</v>
      </c>
      <c r="CZ23">
        <f t="shared" si="3"/>
        <v>67.209999999999994</v>
      </c>
      <c r="DA23">
        <f t="shared" si="4"/>
        <v>4.62</v>
      </c>
      <c r="DB23">
        <f t="shared" si="0"/>
        <v>6183.32</v>
      </c>
      <c r="DC23">
        <f t="shared" si="1"/>
        <v>0</v>
      </c>
    </row>
    <row r="24" spans="1:107" x14ac:dyDescent="0.2">
      <c r="A24">
        <f>ROW(Source!A28)</f>
        <v>28</v>
      </c>
      <c r="B24">
        <v>31375913</v>
      </c>
      <c r="C24">
        <v>31376082</v>
      </c>
      <c r="D24">
        <v>29266051</v>
      </c>
      <c r="E24">
        <v>1</v>
      </c>
      <c r="F24">
        <v>1</v>
      </c>
      <c r="G24">
        <v>1</v>
      </c>
      <c r="H24">
        <v>3</v>
      </c>
      <c r="I24" t="s">
        <v>248</v>
      </c>
      <c r="J24" t="s">
        <v>249</v>
      </c>
      <c r="K24" t="s">
        <v>250</v>
      </c>
      <c r="L24">
        <v>1302</v>
      </c>
      <c r="N24">
        <v>1003</v>
      </c>
      <c r="O24" t="s">
        <v>251</v>
      </c>
      <c r="P24" t="s">
        <v>251</v>
      </c>
      <c r="Q24">
        <v>10</v>
      </c>
      <c r="W24">
        <v>0</v>
      </c>
      <c r="X24">
        <v>-1955048641</v>
      </c>
      <c r="Y24">
        <v>21.4</v>
      </c>
      <c r="AA24">
        <v>195.17</v>
      </c>
      <c r="AB24">
        <v>0</v>
      </c>
      <c r="AC24">
        <v>0</v>
      </c>
      <c r="AD24">
        <v>0</v>
      </c>
      <c r="AE24">
        <v>64.2</v>
      </c>
      <c r="AF24">
        <v>0</v>
      </c>
      <c r="AG24">
        <v>0</v>
      </c>
      <c r="AH24">
        <v>0</v>
      </c>
      <c r="AI24">
        <v>3.04</v>
      </c>
      <c r="AJ24">
        <v>1</v>
      </c>
      <c r="AK24">
        <v>1</v>
      </c>
      <c r="AL24">
        <v>1</v>
      </c>
      <c r="AN24">
        <v>0</v>
      </c>
      <c r="AO24">
        <v>1</v>
      </c>
      <c r="AP24">
        <v>0</v>
      </c>
      <c r="AQ24">
        <v>0</v>
      </c>
      <c r="AR24">
        <v>0</v>
      </c>
      <c r="AS24" t="s">
        <v>3</v>
      </c>
      <c r="AT24">
        <v>21.4</v>
      </c>
      <c r="AU24" t="s">
        <v>3</v>
      </c>
      <c r="AV24">
        <v>0</v>
      </c>
      <c r="AW24">
        <v>2</v>
      </c>
      <c r="AX24">
        <v>31376092</v>
      </c>
      <c r="AY24">
        <v>1</v>
      </c>
      <c r="AZ24">
        <v>0</v>
      </c>
      <c r="BA24">
        <v>24</v>
      </c>
      <c r="BB24">
        <v>0</v>
      </c>
      <c r="BC24">
        <v>0</v>
      </c>
      <c r="BD24">
        <v>0</v>
      </c>
      <c r="BE24">
        <v>0</v>
      </c>
      <c r="BF24">
        <v>0</v>
      </c>
      <c r="BG24">
        <v>0</v>
      </c>
      <c r="BH24">
        <v>0</v>
      </c>
      <c r="BI24">
        <v>0</v>
      </c>
      <c r="BJ24">
        <v>0</v>
      </c>
      <c r="BK24">
        <v>0</v>
      </c>
      <c r="BL24">
        <v>0</v>
      </c>
      <c r="BM24">
        <v>0</v>
      </c>
      <c r="BN24">
        <v>0</v>
      </c>
      <c r="BO24">
        <v>0</v>
      </c>
      <c r="BP24">
        <v>0</v>
      </c>
      <c r="BQ24">
        <v>0</v>
      </c>
      <c r="BR24">
        <v>0</v>
      </c>
      <c r="BS24">
        <v>0</v>
      </c>
      <c r="BT24">
        <v>0</v>
      </c>
      <c r="BU24">
        <v>0</v>
      </c>
      <c r="BV24">
        <v>0</v>
      </c>
      <c r="BW24">
        <v>0</v>
      </c>
      <c r="CX24">
        <f>Y24*Source!I28</f>
        <v>286.18219999999997</v>
      </c>
      <c r="CY24">
        <f t="shared" si="2"/>
        <v>195.17</v>
      </c>
      <c r="CZ24">
        <f t="shared" si="3"/>
        <v>64.2</v>
      </c>
      <c r="DA24">
        <f t="shared" si="4"/>
        <v>3.04</v>
      </c>
      <c r="DB24">
        <f t="shared" si="0"/>
        <v>1373.88</v>
      </c>
      <c r="DC24">
        <f t="shared" si="1"/>
        <v>0</v>
      </c>
    </row>
    <row r="25" spans="1:107" x14ac:dyDescent="0.2">
      <c r="A25">
        <f>ROW(Source!A28)</f>
        <v>28</v>
      </c>
      <c r="B25">
        <v>31375913</v>
      </c>
      <c r="C25">
        <v>31376082</v>
      </c>
      <c r="D25">
        <v>29269644</v>
      </c>
      <c r="E25">
        <v>1</v>
      </c>
      <c r="F25">
        <v>1</v>
      </c>
      <c r="G25">
        <v>1</v>
      </c>
      <c r="H25">
        <v>3</v>
      </c>
      <c r="I25" t="s">
        <v>252</v>
      </c>
      <c r="J25" t="s">
        <v>253</v>
      </c>
      <c r="K25" t="s">
        <v>254</v>
      </c>
      <c r="L25">
        <v>1358</v>
      </c>
      <c r="N25">
        <v>1010</v>
      </c>
      <c r="O25" t="s">
        <v>255</v>
      </c>
      <c r="P25" t="s">
        <v>255</v>
      </c>
      <c r="Q25">
        <v>10</v>
      </c>
      <c r="W25">
        <v>0</v>
      </c>
      <c r="X25">
        <v>-1457531913</v>
      </c>
      <c r="Y25">
        <v>61.2</v>
      </c>
      <c r="AA25">
        <v>56.1</v>
      </c>
      <c r="AB25">
        <v>0</v>
      </c>
      <c r="AC25">
        <v>0</v>
      </c>
      <c r="AD25">
        <v>0</v>
      </c>
      <c r="AE25">
        <v>7.22</v>
      </c>
      <c r="AF25">
        <v>0</v>
      </c>
      <c r="AG25">
        <v>0</v>
      </c>
      <c r="AH25">
        <v>0</v>
      </c>
      <c r="AI25">
        <v>7.77</v>
      </c>
      <c r="AJ25">
        <v>1</v>
      </c>
      <c r="AK25">
        <v>1</v>
      </c>
      <c r="AL25">
        <v>1</v>
      </c>
      <c r="AN25">
        <v>0</v>
      </c>
      <c r="AO25">
        <v>1</v>
      </c>
      <c r="AP25">
        <v>0</v>
      </c>
      <c r="AQ25">
        <v>0</v>
      </c>
      <c r="AR25">
        <v>0</v>
      </c>
      <c r="AS25" t="s">
        <v>3</v>
      </c>
      <c r="AT25">
        <v>61.2</v>
      </c>
      <c r="AU25" t="s">
        <v>3</v>
      </c>
      <c r="AV25">
        <v>0</v>
      </c>
      <c r="AW25">
        <v>2</v>
      </c>
      <c r="AX25">
        <v>31376093</v>
      </c>
      <c r="AY25">
        <v>1</v>
      </c>
      <c r="AZ25">
        <v>0</v>
      </c>
      <c r="BA25">
        <v>25</v>
      </c>
      <c r="BB25">
        <v>0</v>
      </c>
      <c r="BC25">
        <v>0</v>
      </c>
      <c r="BD25">
        <v>0</v>
      </c>
      <c r="BE25">
        <v>0</v>
      </c>
      <c r="BF25">
        <v>0</v>
      </c>
      <c r="BG25">
        <v>0</v>
      </c>
      <c r="BH25">
        <v>0</v>
      </c>
      <c r="BI25">
        <v>0</v>
      </c>
      <c r="BJ25">
        <v>0</v>
      </c>
      <c r="BK25">
        <v>0</v>
      </c>
      <c r="BL25">
        <v>0</v>
      </c>
      <c r="BM25">
        <v>0</v>
      </c>
      <c r="BN25">
        <v>0</v>
      </c>
      <c r="BO25">
        <v>0</v>
      </c>
      <c r="BP25">
        <v>0</v>
      </c>
      <c r="BQ25">
        <v>0</v>
      </c>
      <c r="BR25">
        <v>0</v>
      </c>
      <c r="BS25">
        <v>0</v>
      </c>
      <c r="BT25">
        <v>0</v>
      </c>
      <c r="BU25">
        <v>0</v>
      </c>
      <c r="BV25">
        <v>0</v>
      </c>
      <c r="BW25">
        <v>0</v>
      </c>
      <c r="CX25">
        <f>Y25*Source!I28</f>
        <v>818.42759999999998</v>
      </c>
      <c r="CY25">
        <f t="shared" si="2"/>
        <v>56.1</v>
      </c>
      <c r="CZ25">
        <f t="shared" si="3"/>
        <v>7.22</v>
      </c>
      <c r="DA25">
        <f t="shared" si="4"/>
        <v>7.77</v>
      </c>
      <c r="DB25">
        <f t="shared" si="0"/>
        <v>441.86</v>
      </c>
      <c r="DC25">
        <f t="shared" si="1"/>
        <v>0</v>
      </c>
    </row>
    <row r="26" spans="1:107" x14ac:dyDescent="0.2">
      <c r="A26">
        <f>ROW(Source!A28)</f>
        <v>28</v>
      </c>
      <c r="B26">
        <v>31375913</v>
      </c>
      <c r="C26">
        <v>31376082</v>
      </c>
      <c r="D26">
        <v>29270418</v>
      </c>
      <c r="E26">
        <v>1</v>
      </c>
      <c r="F26">
        <v>1</v>
      </c>
      <c r="G26">
        <v>1</v>
      </c>
      <c r="H26">
        <v>3</v>
      </c>
      <c r="I26" t="s">
        <v>256</v>
      </c>
      <c r="J26" t="s">
        <v>257</v>
      </c>
      <c r="K26" t="s">
        <v>258</v>
      </c>
      <c r="L26">
        <v>1355</v>
      </c>
      <c r="N26">
        <v>1010</v>
      </c>
      <c r="O26" t="s">
        <v>259</v>
      </c>
      <c r="P26" t="s">
        <v>259</v>
      </c>
      <c r="Q26">
        <v>100</v>
      </c>
      <c r="W26">
        <v>0</v>
      </c>
      <c r="X26">
        <v>-619439245</v>
      </c>
      <c r="Y26">
        <v>8</v>
      </c>
      <c r="AA26">
        <v>364.5</v>
      </c>
      <c r="AB26">
        <v>0</v>
      </c>
      <c r="AC26">
        <v>0</v>
      </c>
      <c r="AD26">
        <v>0</v>
      </c>
      <c r="AE26">
        <v>50</v>
      </c>
      <c r="AF26">
        <v>0</v>
      </c>
      <c r="AG26">
        <v>0</v>
      </c>
      <c r="AH26">
        <v>0</v>
      </c>
      <c r="AI26">
        <v>7.29</v>
      </c>
      <c r="AJ26">
        <v>1</v>
      </c>
      <c r="AK26">
        <v>1</v>
      </c>
      <c r="AL26">
        <v>1</v>
      </c>
      <c r="AN26">
        <v>0</v>
      </c>
      <c r="AO26">
        <v>1</v>
      </c>
      <c r="AP26">
        <v>0</v>
      </c>
      <c r="AQ26">
        <v>0</v>
      </c>
      <c r="AR26">
        <v>0</v>
      </c>
      <c r="AS26" t="s">
        <v>3</v>
      </c>
      <c r="AT26">
        <v>8</v>
      </c>
      <c r="AU26" t="s">
        <v>3</v>
      </c>
      <c r="AV26">
        <v>0</v>
      </c>
      <c r="AW26">
        <v>2</v>
      </c>
      <c r="AX26">
        <v>31376094</v>
      </c>
      <c r="AY26">
        <v>1</v>
      </c>
      <c r="AZ26">
        <v>0</v>
      </c>
      <c r="BA26">
        <v>26</v>
      </c>
      <c r="BB26">
        <v>0</v>
      </c>
      <c r="BC26">
        <v>0</v>
      </c>
      <c r="BD26">
        <v>0</v>
      </c>
      <c r="BE26">
        <v>0</v>
      </c>
      <c r="BF26">
        <v>0</v>
      </c>
      <c r="BG26">
        <v>0</v>
      </c>
      <c r="BH26">
        <v>0</v>
      </c>
      <c r="BI26">
        <v>0</v>
      </c>
      <c r="BJ26">
        <v>0</v>
      </c>
      <c r="BK26">
        <v>0</v>
      </c>
      <c r="BL26">
        <v>0</v>
      </c>
      <c r="BM26">
        <v>0</v>
      </c>
      <c r="BN26">
        <v>0</v>
      </c>
      <c r="BO26">
        <v>0</v>
      </c>
      <c r="BP26">
        <v>0</v>
      </c>
      <c r="BQ26">
        <v>0</v>
      </c>
      <c r="BR26">
        <v>0</v>
      </c>
      <c r="BS26">
        <v>0</v>
      </c>
      <c r="BT26">
        <v>0</v>
      </c>
      <c r="BU26">
        <v>0</v>
      </c>
      <c r="BV26">
        <v>0</v>
      </c>
      <c r="BW26">
        <v>0</v>
      </c>
      <c r="CX26">
        <f>Y26*Source!I28</f>
        <v>106.98399999999999</v>
      </c>
      <c r="CY26">
        <f t="shared" si="2"/>
        <v>364.5</v>
      </c>
      <c r="CZ26">
        <f t="shared" si="3"/>
        <v>50</v>
      </c>
      <c r="DA26">
        <f t="shared" si="4"/>
        <v>7.29</v>
      </c>
      <c r="DB26">
        <f t="shared" si="0"/>
        <v>400</v>
      </c>
      <c r="DC26">
        <f t="shared" si="1"/>
        <v>0</v>
      </c>
    </row>
    <row r="27" spans="1:107" x14ac:dyDescent="0.2">
      <c r="A27">
        <f>ROW(Source!A28)</f>
        <v>28</v>
      </c>
      <c r="B27">
        <v>31375913</v>
      </c>
      <c r="C27">
        <v>31376082</v>
      </c>
      <c r="D27">
        <v>29285080</v>
      </c>
      <c r="E27">
        <v>1</v>
      </c>
      <c r="F27">
        <v>1</v>
      </c>
      <c r="G27">
        <v>1</v>
      </c>
      <c r="H27">
        <v>3</v>
      </c>
      <c r="I27" t="s">
        <v>260</v>
      </c>
      <c r="J27" t="s">
        <v>261</v>
      </c>
      <c r="K27" t="s">
        <v>262</v>
      </c>
      <c r="L27">
        <v>1327</v>
      </c>
      <c r="N27">
        <v>1005</v>
      </c>
      <c r="O27" t="s">
        <v>213</v>
      </c>
      <c r="P27" t="s">
        <v>213</v>
      </c>
      <c r="Q27">
        <v>1</v>
      </c>
      <c r="W27">
        <v>0</v>
      </c>
      <c r="X27">
        <v>-1831755306</v>
      </c>
      <c r="Y27">
        <v>100</v>
      </c>
      <c r="AA27">
        <v>4117.3100000000004</v>
      </c>
      <c r="AB27">
        <v>0</v>
      </c>
      <c r="AC27">
        <v>0</v>
      </c>
      <c r="AD27">
        <v>0</v>
      </c>
      <c r="AE27">
        <v>3049.86</v>
      </c>
      <c r="AF27">
        <v>0</v>
      </c>
      <c r="AG27">
        <v>0</v>
      </c>
      <c r="AH27">
        <v>0</v>
      </c>
      <c r="AI27">
        <v>1.35</v>
      </c>
      <c r="AJ27">
        <v>1</v>
      </c>
      <c r="AK27">
        <v>1</v>
      </c>
      <c r="AL27">
        <v>1</v>
      </c>
      <c r="AN27">
        <v>0</v>
      </c>
      <c r="AO27">
        <v>1</v>
      </c>
      <c r="AP27">
        <v>0</v>
      </c>
      <c r="AQ27">
        <v>0</v>
      </c>
      <c r="AR27">
        <v>0</v>
      </c>
      <c r="AS27" t="s">
        <v>3</v>
      </c>
      <c r="AT27">
        <v>100</v>
      </c>
      <c r="AU27" t="s">
        <v>3</v>
      </c>
      <c r="AV27">
        <v>0</v>
      </c>
      <c r="AW27">
        <v>2</v>
      </c>
      <c r="AX27">
        <v>31376095</v>
      </c>
      <c r="AY27">
        <v>1</v>
      </c>
      <c r="AZ27">
        <v>0</v>
      </c>
      <c r="BA27">
        <v>27</v>
      </c>
      <c r="BB27">
        <v>0</v>
      </c>
      <c r="BC27">
        <v>0</v>
      </c>
      <c r="BD27">
        <v>0</v>
      </c>
      <c r="BE27">
        <v>0</v>
      </c>
      <c r="BF27">
        <v>0</v>
      </c>
      <c r="BG27">
        <v>0</v>
      </c>
      <c r="BH27">
        <v>0</v>
      </c>
      <c r="BI27">
        <v>0</v>
      </c>
      <c r="BJ27">
        <v>0</v>
      </c>
      <c r="BK27">
        <v>0</v>
      </c>
      <c r="BL27">
        <v>0</v>
      </c>
      <c r="BM27">
        <v>0</v>
      </c>
      <c r="BN27">
        <v>0</v>
      </c>
      <c r="BO27">
        <v>0</v>
      </c>
      <c r="BP27">
        <v>0</v>
      </c>
      <c r="BQ27">
        <v>0</v>
      </c>
      <c r="BR27">
        <v>0</v>
      </c>
      <c r="BS27">
        <v>0</v>
      </c>
      <c r="BT27">
        <v>0</v>
      </c>
      <c r="BU27">
        <v>0</v>
      </c>
      <c r="BV27">
        <v>0</v>
      </c>
      <c r="BW27">
        <v>0</v>
      </c>
      <c r="CX27">
        <f>Y27*Source!I28</f>
        <v>1337.3</v>
      </c>
      <c r="CY27">
        <f t="shared" si="2"/>
        <v>4117.3100000000004</v>
      </c>
      <c r="CZ27">
        <f t="shared" si="3"/>
        <v>3049.86</v>
      </c>
      <c r="DA27">
        <f t="shared" si="4"/>
        <v>1.35</v>
      </c>
      <c r="DB27">
        <f t="shared" si="0"/>
        <v>304986</v>
      </c>
      <c r="DC27">
        <f t="shared" si="1"/>
        <v>0</v>
      </c>
    </row>
    <row r="28" spans="1:107" x14ac:dyDescent="0.2">
      <c r="A28">
        <f>ROW(Source!A29)</f>
        <v>29</v>
      </c>
      <c r="B28">
        <v>31375913</v>
      </c>
      <c r="C28">
        <v>31376096</v>
      </c>
      <c r="D28">
        <v>18407150</v>
      </c>
      <c r="E28">
        <v>1</v>
      </c>
      <c r="F28">
        <v>1</v>
      </c>
      <c r="G28">
        <v>1</v>
      </c>
      <c r="H28">
        <v>1</v>
      </c>
      <c r="I28" t="s">
        <v>263</v>
      </c>
      <c r="J28" t="s">
        <v>3</v>
      </c>
      <c r="K28" t="s">
        <v>264</v>
      </c>
      <c r="L28">
        <v>1369</v>
      </c>
      <c r="N28">
        <v>1013</v>
      </c>
      <c r="O28" t="s">
        <v>198</v>
      </c>
      <c r="P28" t="s">
        <v>198</v>
      </c>
      <c r="Q28">
        <v>1</v>
      </c>
      <c r="W28">
        <v>0</v>
      </c>
      <c r="X28">
        <v>-931037793</v>
      </c>
      <c r="Y28">
        <v>112.75</v>
      </c>
      <c r="AA28">
        <v>0</v>
      </c>
      <c r="AB28">
        <v>0</v>
      </c>
      <c r="AC28">
        <v>0</v>
      </c>
      <c r="AD28">
        <v>8.5299999999999994</v>
      </c>
      <c r="AE28">
        <v>0</v>
      </c>
      <c r="AF28">
        <v>0</v>
      </c>
      <c r="AG28">
        <v>0</v>
      </c>
      <c r="AH28">
        <v>8.5299999999999994</v>
      </c>
      <c r="AI28">
        <v>1</v>
      </c>
      <c r="AJ28">
        <v>1</v>
      </c>
      <c r="AK28">
        <v>1</v>
      </c>
      <c r="AL28">
        <v>1</v>
      </c>
      <c r="AN28">
        <v>0</v>
      </c>
      <c r="AO28">
        <v>1</v>
      </c>
      <c r="AP28">
        <v>0</v>
      </c>
      <c r="AQ28">
        <v>0</v>
      </c>
      <c r="AR28">
        <v>0</v>
      </c>
      <c r="AS28" t="s">
        <v>3</v>
      </c>
      <c r="AT28">
        <v>112.75</v>
      </c>
      <c r="AU28" t="s">
        <v>3</v>
      </c>
      <c r="AV28">
        <v>1</v>
      </c>
      <c r="AW28">
        <v>2</v>
      </c>
      <c r="AX28">
        <v>31376097</v>
      </c>
      <c r="AY28">
        <v>1</v>
      </c>
      <c r="AZ28">
        <v>0</v>
      </c>
      <c r="BA28">
        <v>28</v>
      </c>
      <c r="BB28">
        <v>0</v>
      </c>
      <c r="BC28">
        <v>0</v>
      </c>
      <c r="BD28">
        <v>0</v>
      </c>
      <c r="BE28">
        <v>0</v>
      </c>
      <c r="BF28">
        <v>0</v>
      </c>
      <c r="BG28">
        <v>0</v>
      </c>
      <c r="BH28">
        <v>0</v>
      </c>
      <c r="BI28">
        <v>0</v>
      </c>
      <c r="BJ28">
        <v>0</v>
      </c>
      <c r="BK28">
        <v>0</v>
      </c>
      <c r="BL28">
        <v>0</v>
      </c>
      <c r="BM28">
        <v>0</v>
      </c>
      <c r="BN28">
        <v>0</v>
      </c>
      <c r="BO28">
        <v>0</v>
      </c>
      <c r="BP28">
        <v>0</v>
      </c>
      <c r="BQ28">
        <v>0</v>
      </c>
      <c r="BR28">
        <v>0</v>
      </c>
      <c r="BS28">
        <v>0</v>
      </c>
      <c r="BT28">
        <v>0</v>
      </c>
      <c r="BU28">
        <v>0</v>
      </c>
      <c r="BV28">
        <v>0</v>
      </c>
      <c r="BW28">
        <v>0</v>
      </c>
      <c r="CX28">
        <f>Y28*Source!I29</f>
        <v>163.904675</v>
      </c>
      <c r="CY28">
        <f>AD28</f>
        <v>8.5299999999999994</v>
      </c>
      <c r="CZ28">
        <f>AH28</f>
        <v>8.5299999999999994</v>
      </c>
      <c r="DA28">
        <f>AL28</f>
        <v>1</v>
      </c>
      <c r="DB28">
        <f t="shared" si="0"/>
        <v>961.76</v>
      </c>
      <c r="DC28">
        <f t="shared" si="1"/>
        <v>0</v>
      </c>
    </row>
    <row r="29" spans="1:107" x14ac:dyDescent="0.2">
      <c r="A29">
        <f>ROW(Source!A29)</f>
        <v>29</v>
      </c>
      <c r="B29">
        <v>31375913</v>
      </c>
      <c r="C29">
        <v>31376096</v>
      </c>
      <c r="D29">
        <v>121548</v>
      </c>
      <c r="E29">
        <v>1</v>
      </c>
      <c r="F29">
        <v>1</v>
      </c>
      <c r="G29">
        <v>1</v>
      </c>
      <c r="H29">
        <v>1</v>
      </c>
      <c r="I29" t="s">
        <v>23</v>
      </c>
      <c r="J29" t="s">
        <v>3</v>
      </c>
      <c r="K29" t="s">
        <v>216</v>
      </c>
      <c r="L29">
        <v>608254</v>
      </c>
      <c r="N29">
        <v>1013</v>
      </c>
      <c r="O29" t="s">
        <v>217</v>
      </c>
      <c r="P29" t="s">
        <v>217</v>
      </c>
      <c r="Q29">
        <v>1</v>
      </c>
      <c r="W29">
        <v>0</v>
      </c>
      <c r="X29">
        <v>-185737400</v>
      </c>
      <c r="Y29">
        <v>0.2</v>
      </c>
      <c r="AA29">
        <v>0</v>
      </c>
      <c r="AB29">
        <v>0</v>
      </c>
      <c r="AC29">
        <v>0</v>
      </c>
      <c r="AD29">
        <v>0</v>
      </c>
      <c r="AE29">
        <v>0</v>
      </c>
      <c r="AF29">
        <v>0</v>
      </c>
      <c r="AG29">
        <v>0</v>
      </c>
      <c r="AH29">
        <v>0</v>
      </c>
      <c r="AI29">
        <v>1</v>
      </c>
      <c r="AJ29">
        <v>1</v>
      </c>
      <c r="AK29">
        <v>1</v>
      </c>
      <c r="AL29">
        <v>1</v>
      </c>
      <c r="AN29">
        <v>0</v>
      </c>
      <c r="AO29">
        <v>1</v>
      </c>
      <c r="AP29">
        <v>0</v>
      </c>
      <c r="AQ29">
        <v>0</v>
      </c>
      <c r="AR29">
        <v>0</v>
      </c>
      <c r="AS29" t="s">
        <v>3</v>
      </c>
      <c r="AT29">
        <v>0.2</v>
      </c>
      <c r="AU29" t="s">
        <v>3</v>
      </c>
      <c r="AV29">
        <v>2</v>
      </c>
      <c r="AW29">
        <v>2</v>
      </c>
      <c r="AX29">
        <v>31376098</v>
      </c>
      <c r="AY29">
        <v>1</v>
      </c>
      <c r="AZ29">
        <v>0</v>
      </c>
      <c r="BA29">
        <v>29</v>
      </c>
      <c r="BB29">
        <v>0</v>
      </c>
      <c r="BC29">
        <v>0</v>
      </c>
      <c r="BD29">
        <v>0</v>
      </c>
      <c r="BE29">
        <v>0</v>
      </c>
      <c r="BF29">
        <v>0</v>
      </c>
      <c r="BG29">
        <v>0</v>
      </c>
      <c r="BH29">
        <v>0</v>
      </c>
      <c r="BI29">
        <v>0</v>
      </c>
      <c r="BJ29">
        <v>0</v>
      </c>
      <c r="BK29">
        <v>0</v>
      </c>
      <c r="BL29">
        <v>0</v>
      </c>
      <c r="BM29">
        <v>0</v>
      </c>
      <c r="BN29">
        <v>0</v>
      </c>
      <c r="BO29">
        <v>0</v>
      </c>
      <c r="BP29">
        <v>0</v>
      </c>
      <c r="BQ29">
        <v>0</v>
      </c>
      <c r="BR29">
        <v>0</v>
      </c>
      <c r="BS29">
        <v>0</v>
      </c>
      <c r="BT29">
        <v>0</v>
      </c>
      <c r="BU29">
        <v>0</v>
      </c>
      <c r="BV29">
        <v>0</v>
      </c>
      <c r="BW29">
        <v>0</v>
      </c>
      <c r="CX29">
        <f>Y29*Source!I29</f>
        <v>0.29074</v>
      </c>
      <c r="CY29">
        <f>AD29</f>
        <v>0</v>
      </c>
      <c r="CZ29">
        <f>AH29</f>
        <v>0</v>
      </c>
      <c r="DA29">
        <f>AL29</f>
        <v>1</v>
      </c>
      <c r="DB29">
        <f t="shared" si="0"/>
        <v>0</v>
      </c>
      <c r="DC29">
        <f t="shared" si="1"/>
        <v>0</v>
      </c>
    </row>
    <row r="30" spans="1:107" x14ac:dyDescent="0.2">
      <c r="A30">
        <f>ROW(Source!A29)</f>
        <v>29</v>
      </c>
      <c r="B30">
        <v>31375913</v>
      </c>
      <c r="C30">
        <v>31376096</v>
      </c>
      <c r="D30">
        <v>29327489</v>
      </c>
      <c r="E30">
        <v>1</v>
      </c>
      <c r="F30">
        <v>1</v>
      </c>
      <c r="G30">
        <v>1</v>
      </c>
      <c r="H30">
        <v>2</v>
      </c>
      <c r="I30" t="s">
        <v>265</v>
      </c>
      <c r="J30" t="s">
        <v>266</v>
      </c>
      <c r="K30" t="s">
        <v>267</v>
      </c>
      <c r="L30">
        <v>1368</v>
      </c>
      <c r="N30">
        <v>1011</v>
      </c>
      <c r="O30" t="s">
        <v>202</v>
      </c>
      <c r="P30" t="s">
        <v>202</v>
      </c>
      <c r="Q30">
        <v>1</v>
      </c>
      <c r="W30">
        <v>0</v>
      </c>
      <c r="X30">
        <v>-438066613</v>
      </c>
      <c r="Y30">
        <v>0.2</v>
      </c>
      <c r="AA30">
        <v>0</v>
      </c>
      <c r="AB30">
        <v>889.06</v>
      </c>
      <c r="AC30">
        <v>446.18</v>
      </c>
      <c r="AD30">
        <v>0</v>
      </c>
      <c r="AE30">
        <v>0</v>
      </c>
      <c r="AF30">
        <v>86.4</v>
      </c>
      <c r="AG30">
        <v>13.5</v>
      </c>
      <c r="AH30">
        <v>0</v>
      </c>
      <c r="AI30">
        <v>1</v>
      </c>
      <c r="AJ30">
        <v>10.29</v>
      </c>
      <c r="AK30">
        <v>33.049999999999997</v>
      </c>
      <c r="AL30">
        <v>1</v>
      </c>
      <c r="AN30">
        <v>0</v>
      </c>
      <c r="AO30">
        <v>1</v>
      </c>
      <c r="AP30">
        <v>0</v>
      </c>
      <c r="AQ30">
        <v>0</v>
      </c>
      <c r="AR30">
        <v>0</v>
      </c>
      <c r="AS30" t="s">
        <v>3</v>
      </c>
      <c r="AT30">
        <v>0.2</v>
      </c>
      <c r="AU30" t="s">
        <v>3</v>
      </c>
      <c r="AV30">
        <v>0</v>
      </c>
      <c r="AW30">
        <v>2</v>
      </c>
      <c r="AX30">
        <v>31376099</v>
      </c>
      <c r="AY30">
        <v>1</v>
      </c>
      <c r="AZ30">
        <v>0</v>
      </c>
      <c r="BA30">
        <v>30</v>
      </c>
      <c r="BB30">
        <v>0</v>
      </c>
      <c r="BC30">
        <v>0</v>
      </c>
      <c r="BD30">
        <v>0</v>
      </c>
      <c r="BE30">
        <v>0</v>
      </c>
      <c r="BF30">
        <v>0</v>
      </c>
      <c r="BG30">
        <v>0</v>
      </c>
      <c r="BH30">
        <v>0</v>
      </c>
      <c r="BI30">
        <v>0</v>
      </c>
      <c r="BJ30">
        <v>0</v>
      </c>
      <c r="BK30">
        <v>0</v>
      </c>
      <c r="BL30">
        <v>0</v>
      </c>
      <c r="BM30">
        <v>0</v>
      </c>
      <c r="BN30">
        <v>0</v>
      </c>
      <c r="BO30">
        <v>0</v>
      </c>
      <c r="BP30">
        <v>0</v>
      </c>
      <c r="BQ30">
        <v>0</v>
      </c>
      <c r="BR30">
        <v>0</v>
      </c>
      <c r="BS30">
        <v>0</v>
      </c>
      <c r="BT30">
        <v>0</v>
      </c>
      <c r="BU30">
        <v>0</v>
      </c>
      <c r="BV30">
        <v>0</v>
      </c>
      <c r="BW30">
        <v>0</v>
      </c>
      <c r="CX30">
        <f>Y30*Source!I29</f>
        <v>0.29074</v>
      </c>
      <c r="CY30">
        <f>AB30</f>
        <v>889.06</v>
      </c>
      <c r="CZ30">
        <f>AF30</f>
        <v>86.4</v>
      </c>
      <c r="DA30">
        <f>AJ30</f>
        <v>10.29</v>
      </c>
      <c r="DB30">
        <f t="shared" si="0"/>
        <v>17.28</v>
      </c>
      <c r="DC30">
        <f t="shared" si="1"/>
        <v>2.7</v>
      </c>
    </row>
    <row r="31" spans="1:107" x14ac:dyDescent="0.2">
      <c r="A31">
        <f>ROW(Source!A29)</f>
        <v>29</v>
      </c>
      <c r="B31">
        <v>31375913</v>
      </c>
      <c r="C31">
        <v>31376096</v>
      </c>
      <c r="D31">
        <v>29330134</v>
      </c>
      <c r="E31">
        <v>1</v>
      </c>
      <c r="F31">
        <v>1</v>
      </c>
      <c r="G31">
        <v>1</v>
      </c>
      <c r="H31">
        <v>2</v>
      </c>
      <c r="I31" t="s">
        <v>199</v>
      </c>
      <c r="J31" t="s">
        <v>200</v>
      </c>
      <c r="K31" t="s">
        <v>201</v>
      </c>
      <c r="L31">
        <v>1368</v>
      </c>
      <c r="N31">
        <v>1011</v>
      </c>
      <c r="O31" t="s">
        <v>202</v>
      </c>
      <c r="P31" t="s">
        <v>202</v>
      </c>
      <c r="Q31">
        <v>1</v>
      </c>
      <c r="W31">
        <v>0</v>
      </c>
      <c r="X31">
        <v>1230759911</v>
      </c>
      <c r="Y31">
        <v>7.0000000000000007E-2</v>
      </c>
      <c r="AA31">
        <v>0</v>
      </c>
      <c r="AB31">
        <v>932.72</v>
      </c>
      <c r="AC31">
        <v>383.38</v>
      </c>
      <c r="AD31">
        <v>0</v>
      </c>
      <c r="AE31">
        <v>0</v>
      </c>
      <c r="AF31">
        <v>87.17</v>
      </c>
      <c r="AG31">
        <v>11.6</v>
      </c>
      <c r="AH31">
        <v>0</v>
      </c>
      <c r="AI31">
        <v>1</v>
      </c>
      <c r="AJ31">
        <v>10.7</v>
      </c>
      <c r="AK31">
        <v>33.049999999999997</v>
      </c>
      <c r="AL31">
        <v>1</v>
      </c>
      <c r="AN31">
        <v>0</v>
      </c>
      <c r="AO31">
        <v>1</v>
      </c>
      <c r="AP31">
        <v>0</v>
      </c>
      <c r="AQ31">
        <v>0</v>
      </c>
      <c r="AR31">
        <v>0</v>
      </c>
      <c r="AS31" t="s">
        <v>3</v>
      </c>
      <c r="AT31">
        <v>7.0000000000000007E-2</v>
      </c>
      <c r="AU31" t="s">
        <v>3</v>
      </c>
      <c r="AV31">
        <v>0</v>
      </c>
      <c r="AW31">
        <v>2</v>
      </c>
      <c r="AX31">
        <v>31376100</v>
      </c>
      <c r="AY31">
        <v>1</v>
      </c>
      <c r="AZ31">
        <v>0</v>
      </c>
      <c r="BA31">
        <v>31</v>
      </c>
      <c r="BB31">
        <v>0</v>
      </c>
      <c r="BC31">
        <v>0</v>
      </c>
      <c r="BD31">
        <v>0</v>
      </c>
      <c r="BE31">
        <v>0</v>
      </c>
      <c r="BF31">
        <v>0</v>
      </c>
      <c r="BG31">
        <v>0</v>
      </c>
      <c r="BH31">
        <v>0</v>
      </c>
      <c r="BI31">
        <v>0</v>
      </c>
      <c r="BJ31">
        <v>0</v>
      </c>
      <c r="BK31">
        <v>0</v>
      </c>
      <c r="BL31">
        <v>0</v>
      </c>
      <c r="BM31">
        <v>0</v>
      </c>
      <c r="BN31">
        <v>0</v>
      </c>
      <c r="BO31">
        <v>0</v>
      </c>
      <c r="BP31">
        <v>0</v>
      </c>
      <c r="BQ31">
        <v>0</v>
      </c>
      <c r="BR31">
        <v>0</v>
      </c>
      <c r="BS31">
        <v>0</v>
      </c>
      <c r="BT31">
        <v>0</v>
      </c>
      <c r="BU31">
        <v>0</v>
      </c>
      <c r="BV31">
        <v>0</v>
      </c>
      <c r="BW31">
        <v>0</v>
      </c>
      <c r="CX31">
        <f>Y31*Source!I29</f>
        <v>0.101759</v>
      </c>
      <c r="CY31">
        <f>AB31</f>
        <v>932.72</v>
      </c>
      <c r="CZ31">
        <f>AF31</f>
        <v>87.17</v>
      </c>
      <c r="DA31">
        <f>AJ31</f>
        <v>10.7</v>
      </c>
      <c r="DB31">
        <f t="shared" si="0"/>
        <v>6.1</v>
      </c>
      <c r="DC31">
        <f t="shared" si="1"/>
        <v>0.81</v>
      </c>
    </row>
    <row r="32" spans="1:107" x14ac:dyDescent="0.2">
      <c r="A32">
        <f>ROW(Source!A29)</f>
        <v>29</v>
      </c>
      <c r="B32">
        <v>31375913</v>
      </c>
      <c r="C32">
        <v>31376096</v>
      </c>
      <c r="D32">
        <v>29269616</v>
      </c>
      <c r="E32">
        <v>1</v>
      </c>
      <c r="F32">
        <v>1</v>
      </c>
      <c r="G32">
        <v>1</v>
      </c>
      <c r="H32">
        <v>3</v>
      </c>
      <c r="I32" t="s">
        <v>268</v>
      </c>
      <c r="J32" t="s">
        <v>269</v>
      </c>
      <c r="K32" t="s">
        <v>270</v>
      </c>
      <c r="L32">
        <v>1348</v>
      </c>
      <c r="N32">
        <v>1009</v>
      </c>
      <c r="O32" t="s">
        <v>41</v>
      </c>
      <c r="P32" t="s">
        <v>41</v>
      </c>
      <c r="Q32">
        <v>1000</v>
      </c>
      <c r="W32">
        <v>0</v>
      </c>
      <c r="X32">
        <v>1043048900</v>
      </c>
      <c r="Y32">
        <v>4.0000000000000001E-3</v>
      </c>
      <c r="AA32">
        <v>69749.25</v>
      </c>
      <c r="AB32">
        <v>0</v>
      </c>
      <c r="AC32">
        <v>0</v>
      </c>
      <c r="AD32">
        <v>0</v>
      </c>
      <c r="AE32">
        <v>8475</v>
      </c>
      <c r="AF32">
        <v>0</v>
      </c>
      <c r="AG32">
        <v>0</v>
      </c>
      <c r="AH32">
        <v>0</v>
      </c>
      <c r="AI32">
        <v>8.23</v>
      </c>
      <c r="AJ32">
        <v>1</v>
      </c>
      <c r="AK32">
        <v>1</v>
      </c>
      <c r="AL32">
        <v>1</v>
      </c>
      <c r="AN32">
        <v>0</v>
      </c>
      <c r="AO32">
        <v>1</v>
      </c>
      <c r="AP32">
        <v>0</v>
      </c>
      <c r="AQ32">
        <v>0</v>
      </c>
      <c r="AR32">
        <v>0</v>
      </c>
      <c r="AS32" t="s">
        <v>3</v>
      </c>
      <c r="AT32">
        <v>4.0000000000000001E-3</v>
      </c>
      <c r="AU32" t="s">
        <v>3</v>
      </c>
      <c r="AV32">
        <v>0</v>
      </c>
      <c r="AW32">
        <v>2</v>
      </c>
      <c r="AX32">
        <v>31376101</v>
      </c>
      <c r="AY32">
        <v>1</v>
      </c>
      <c r="AZ32">
        <v>0</v>
      </c>
      <c r="BA32">
        <v>32</v>
      </c>
      <c r="BB32">
        <v>0</v>
      </c>
      <c r="BC32">
        <v>0</v>
      </c>
      <c r="BD32">
        <v>0</v>
      </c>
      <c r="BE32">
        <v>0</v>
      </c>
      <c r="BF32">
        <v>0</v>
      </c>
      <c r="BG32">
        <v>0</v>
      </c>
      <c r="BH32">
        <v>0</v>
      </c>
      <c r="BI32">
        <v>0</v>
      </c>
      <c r="BJ32">
        <v>0</v>
      </c>
      <c r="BK32">
        <v>0</v>
      </c>
      <c r="BL32">
        <v>0</v>
      </c>
      <c r="BM32">
        <v>0</v>
      </c>
      <c r="BN32">
        <v>0</v>
      </c>
      <c r="BO32">
        <v>0</v>
      </c>
      <c r="BP32">
        <v>0</v>
      </c>
      <c r="BQ32">
        <v>0</v>
      </c>
      <c r="BR32">
        <v>0</v>
      </c>
      <c r="BS32">
        <v>0</v>
      </c>
      <c r="BT32">
        <v>0</v>
      </c>
      <c r="BU32">
        <v>0</v>
      </c>
      <c r="BV32">
        <v>0</v>
      </c>
      <c r="BW32">
        <v>0</v>
      </c>
      <c r="CX32">
        <f>Y32*Source!I29</f>
        <v>5.8148000000000002E-3</v>
      </c>
      <c r="CY32">
        <f>AA32</f>
        <v>69749.25</v>
      </c>
      <c r="CZ32">
        <f>AE32</f>
        <v>8475</v>
      </c>
      <c r="DA32">
        <f>AI32</f>
        <v>8.23</v>
      </c>
      <c r="DB32">
        <f t="shared" si="0"/>
        <v>33.9</v>
      </c>
      <c r="DC32">
        <f t="shared" si="1"/>
        <v>0</v>
      </c>
    </row>
    <row r="33" spans="1:107" x14ac:dyDescent="0.2">
      <c r="A33">
        <f>ROW(Source!A29)</f>
        <v>29</v>
      </c>
      <c r="B33">
        <v>31375913</v>
      </c>
      <c r="C33">
        <v>31376096</v>
      </c>
      <c r="D33">
        <v>29268828</v>
      </c>
      <c r="E33">
        <v>1</v>
      </c>
      <c r="F33">
        <v>1</v>
      </c>
      <c r="G33">
        <v>1</v>
      </c>
      <c r="H33">
        <v>3</v>
      </c>
      <c r="I33" t="s">
        <v>271</v>
      </c>
      <c r="J33" t="s">
        <v>272</v>
      </c>
      <c r="K33" t="s">
        <v>273</v>
      </c>
      <c r="L33">
        <v>1348</v>
      </c>
      <c r="N33">
        <v>1009</v>
      </c>
      <c r="O33" t="s">
        <v>41</v>
      </c>
      <c r="P33" t="s">
        <v>41</v>
      </c>
      <c r="Q33">
        <v>1000</v>
      </c>
      <c r="W33">
        <v>0</v>
      </c>
      <c r="X33">
        <v>696022960</v>
      </c>
      <c r="Y33">
        <v>1.2E-2</v>
      </c>
      <c r="AA33">
        <v>148894.38</v>
      </c>
      <c r="AB33">
        <v>0</v>
      </c>
      <c r="AC33">
        <v>0</v>
      </c>
      <c r="AD33">
        <v>0</v>
      </c>
      <c r="AE33">
        <v>8190.01</v>
      </c>
      <c r="AF33">
        <v>0</v>
      </c>
      <c r="AG33">
        <v>0</v>
      </c>
      <c r="AH33">
        <v>0</v>
      </c>
      <c r="AI33">
        <v>18.18</v>
      </c>
      <c r="AJ33">
        <v>1</v>
      </c>
      <c r="AK33">
        <v>1</v>
      </c>
      <c r="AL33">
        <v>1</v>
      </c>
      <c r="AN33">
        <v>0</v>
      </c>
      <c r="AO33">
        <v>1</v>
      </c>
      <c r="AP33">
        <v>0</v>
      </c>
      <c r="AQ33">
        <v>0</v>
      </c>
      <c r="AR33">
        <v>0</v>
      </c>
      <c r="AS33" t="s">
        <v>3</v>
      </c>
      <c r="AT33">
        <v>1.2E-2</v>
      </c>
      <c r="AU33" t="s">
        <v>3</v>
      </c>
      <c r="AV33">
        <v>0</v>
      </c>
      <c r="AW33">
        <v>2</v>
      </c>
      <c r="AX33">
        <v>31376102</v>
      </c>
      <c r="AY33">
        <v>1</v>
      </c>
      <c r="AZ33">
        <v>0</v>
      </c>
      <c r="BA33">
        <v>33</v>
      </c>
      <c r="BB33">
        <v>0</v>
      </c>
      <c r="BC33">
        <v>0</v>
      </c>
      <c r="BD33">
        <v>0</v>
      </c>
      <c r="BE33">
        <v>0</v>
      </c>
      <c r="BF33">
        <v>0</v>
      </c>
      <c r="BG33">
        <v>0</v>
      </c>
      <c r="BH33">
        <v>0</v>
      </c>
      <c r="BI33">
        <v>0</v>
      </c>
      <c r="BJ33">
        <v>0</v>
      </c>
      <c r="BK33">
        <v>0</v>
      </c>
      <c r="BL33">
        <v>0</v>
      </c>
      <c r="BM33">
        <v>0</v>
      </c>
      <c r="BN33">
        <v>0</v>
      </c>
      <c r="BO33">
        <v>0</v>
      </c>
      <c r="BP33">
        <v>0</v>
      </c>
      <c r="BQ33">
        <v>0</v>
      </c>
      <c r="BR33">
        <v>0</v>
      </c>
      <c r="BS33">
        <v>0</v>
      </c>
      <c r="BT33">
        <v>0</v>
      </c>
      <c r="BU33">
        <v>0</v>
      </c>
      <c r="BV33">
        <v>0</v>
      </c>
      <c r="BW33">
        <v>0</v>
      </c>
      <c r="CX33">
        <f>Y33*Source!I29</f>
        <v>1.7444399999999999E-2</v>
      </c>
      <c r="CY33">
        <f>AA33</f>
        <v>148894.38</v>
      </c>
      <c r="CZ33">
        <f>AE33</f>
        <v>8190.01</v>
      </c>
      <c r="DA33">
        <f>AI33</f>
        <v>18.18</v>
      </c>
      <c r="DB33">
        <f t="shared" si="0"/>
        <v>98.28</v>
      </c>
      <c r="DC33">
        <f t="shared" si="1"/>
        <v>0</v>
      </c>
    </row>
    <row r="34" spans="1:107" x14ac:dyDescent="0.2">
      <c r="A34">
        <f>ROW(Source!A29)</f>
        <v>29</v>
      </c>
      <c r="B34">
        <v>31375913</v>
      </c>
      <c r="C34">
        <v>31376096</v>
      </c>
      <c r="D34">
        <v>29268389</v>
      </c>
      <c r="E34">
        <v>1</v>
      </c>
      <c r="F34">
        <v>1</v>
      </c>
      <c r="G34">
        <v>1</v>
      </c>
      <c r="H34">
        <v>3</v>
      </c>
      <c r="I34" t="s">
        <v>274</v>
      </c>
      <c r="J34" t="s">
        <v>275</v>
      </c>
      <c r="K34" t="s">
        <v>276</v>
      </c>
      <c r="L34">
        <v>1348</v>
      </c>
      <c r="N34">
        <v>1009</v>
      </c>
      <c r="O34" t="s">
        <v>41</v>
      </c>
      <c r="P34" t="s">
        <v>41</v>
      </c>
      <c r="Q34">
        <v>1000</v>
      </c>
      <c r="W34">
        <v>0</v>
      </c>
      <c r="X34">
        <v>-1518623752</v>
      </c>
      <c r="Y34">
        <v>0.78200000000000003</v>
      </c>
      <c r="AA34">
        <v>85568.08</v>
      </c>
      <c r="AB34">
        <v>0</v>
      </c>
      <c r="AC34">
        <v>0</v>
      </c>
      <c r="AD34">
        <v>0</v>
      </c>
      <c r="AE34">
        <v>11200.01</v>
      </c>
      <c r="AF34">
        <v>0</v>
      </c>
      <c r="AG34">
        <v>0</v>
      </c>
      <c r="AH34">
        <v>0</v>
      </c>
      <c r="AI34">
        <v>7.64</v>
      </c>
      <c r="AJ34">
        <v>1</v>
      </c>
      <c r="AK34">
        <v>1</v>
      </c>
      <c r="AL34">
        <v>1</v>
      </c>
      <c r="AN34">
        <v>0</v>
      </c>
      <c r="AO34">
        <v>1</v>
      </c>
      <c r="AP34">
        <v>0</v>
      </c>
      <c r="AQ34">
        <v>0</v>
      </c>
      <c r="AR34">
        <v>0</v>
      </c>
      <c r="AS34" t="s">
        <v>3</v>
      </c>
      <c r="AT34">
        <v>0.78200000000000003</v>
      </c>
      <c r="AU34" t="s">
        <v>3</v>
      </c>
      <c r="AV34">
        <v>0</v>
      </c>
      <c r="AW34">
        <v>2</v>
      </c>
      <c r="AX34">
        <v>31376103</v>
      </c>
      <c r="AY34">
        <v>1</v>
      </c>
      <c r="AZ34">
        <v>0</v>
      </c>
      <c r="BA34">
        <v>34</v>
      </c>
      <c r="BB34">
        <v>0</v>
      </c>
      <c r="BC34">
        <v>0</v>
      </c>
      <c r="BD34">
        <v>0</v>
      </c>
      <c r="BE34">
        <v>0</v>
      </c>
      <c r="BF34">
        <v>0</v>
      </c>
      <c r="BG34">
        <v>0</v>
      </c>
      <c r="BH34">
        <v>0</v>
      </c>
      <c r="BI34">
        <v>0</v>
      </c>
      <c r="BJ34">
        <v>0</v>
      </c>
      <c r="BK34">
        <v>0</v>
      </c>
      <c r="BL34">
        <v>0</v>
      </c>
      <c r="BM34">
        <v>0</v>
      </c>
      <c r="BN34">
        <v>0</v>
      </c>
      <c r="BO34">
        <v>0</v>
      </c>
      <c r="BP34">
        <v>0</v>
      </c>
      <c r="BQ34">
        <v>0</v>
      </c>
      <c r="BR34">
        <v>0</v>
      </c>
      <c r="BS34">
        <v>0</v>
      </c>
      <c r="BT34">
        <v>0</v>
      </c>
      <c r="BU34">
        <v>0</v>
      </c>
      <c r="BV34">
        <v>0</v>
      </c>
      <c r="BW34">
        <v>0</v>
      </c>
      <c r="CX34">
        <f>Y34*Source!I29</f>
        <v>1.1367934</v>
      </c>
      <c r="CY34">
        <f>AA34</f>
        <v>85568.08</v>
      </c>
      <c r="CZ34">
        <f>AE34</f>
        <v>11200.01</v>
      </c>
      <c r="DA34">
        <f>AI34</f>
        <v>7.64</v>
      </c>
      <c r="DB34">
        <f t="shared" si="0"/>
        <v>8758.41</v>
      </c>
      <c r="DC34">
        <f t="shared" si="1"/>
        <v>0</v>
      </c>
    </row>
    <row r="35" spans="1:107" x14ac:dyDescent="0.2">
      <c r="A35">
        <f>ROW(Source!A30)</f>
        <v>30</v>
      </c>
      <c r="B35">
        <v>31375913</v>
      </c>
      <c r="C35">
        <v>31376104</v>
      </c>
      <c r="D35">
        <v>18507573</v>
      </c>
      <c r="E35">
        <v>1</v>
      </c>
      <c r="F35">
        <v>1</v>
      </c>
      <c r="G35">
        <v>1</v>
      </c>
      <c r="H35">
        <v>1</v>
      </c>
      <c r="I35" t="s">
        <v>277</v>
      </c>
      <c r="J35" t="s">
        <v>3</v>
      </c>
      <c r="K35" t="s">
        <v>278</v>
      </c>
      <c r="L35">
        <v>1369</v>
      </c>
      <c r="N35">
        <v>1013</v>
      </c>
      <c r="O35" t="s">
        <v>198</v>
      </c>
      <c r="P35" t="s">
        <v>198</v>
      </c>
      <c r="Q35">
        <v>1</v>
      </c>
      <c r="W35">
        <v>0</v>
      </c>
      <c r="X35">
        <v>-1099440783</v>
      </c>
      <c r="Y35">
        <v>214.32</v>
      </c>
      <c r="AA35">
        <v>0</v>
      </c>
      <c r="AB35">
        <v>0</v>
      </c>
      <c r="AC35">
        <v>0</v>
      </c>
      <c r="AD35">
        <v>7.25</v>
      </c>
      <c r="AE35">
        <v>0</v>
      </c>
      <c r="AF35">
        <v>0</v>
      </c>
      <c r="AG35">
        <v>0</v>
      </c>
      <c r="AH35">
        <v>7.25</v>
      </c>
      <c r="AI35">
        <v>1</v>
      </c>
      <c r="AJ35">
        <v>1</v>
      </c>
      <c r="AK35">
        <v>1</v>
      </c>
      <c r="AL35">
        <v>1</v>
      </c>
      <c r="AN35">
        <v>0</v>
      </c>
      <c r="AO35">
        <v>1</v>
      </c>
      <c r="AP35">
        <v>0</v>
      </c>
      <c r="AQ35">
        <v>0</v>
      </c>
      <c r="AR35">
        <v>0</v>
      </c>
      <c r="AS35" t="s">
        <v>3</v>
      </c>
      <c r="AT35">
        <v>214.32</v>
      </c>
      <c r="AU35" t="s">
        <v>3</v>
      </c>
      <c r="AV35">
        <v>1</v>
      </c>
      <c r="AW35">
        <v>2</v>
      </c>
      <c r="AX35">
        <v>31376105</v>
      </c>
      <c r="AY35">
        <v>1</v>
      </c>
      <c r="AZ35">
        <v>0</v>
      </c>
      <c r="BA35">
        <v>35</v>
      </c>
      <c r="BB35">
        <v>0</v>
      </c>
      <c r="BC35">
        <v>0</v>
      </c>
      <c r="BD35">
        <v>0</v>
      </c>
      <c r="BE35">
        <v>0</v>
      </c>
      <c r="BF35">
        <v>0</v>
      </c>
      <c r="BG35">
        <v>0</v>
      </c>
      <c r="BH35">
        <v>0</v>
      </c>
      <c r="BI35">
        <v>0</v>
      </c>
      <c r="BJ35">
        <v>0</v>
      </c>
      <c r="BK35">
        <v>0</v>
      </c>
      <c r="BL35">
        <v>0</v>
      </c>
      <c r="BM35">
        <v>0</v>
      </c>
      <c r="BN35">
        <v>0</v>
      </c>
      <c r="BO35">
        <v>0</v>
      </c>
      <c r="BP35">
        <v>0</v>
      </c>
      <c r="BQ35">
        <v>0</v>
      </c>
      <c r="BR35">
        <v>0</v>
      </c>
      <c r="BS35">
        <v>0</v>
      </c>
      <c r="BT35">
        <v>0</v>
      </c>
      <c r="BU35">
        <v>0</v>
      </c>
      <c r="BV35">
        <v>0</v>
      </c>
      <c r="BW35">
        <v>0</v>
      </c>
      <c r="CX35">
        <f>Y35*Source!I30</f>
        <v>173.877816</v>
      </c>
      <c r="CY35">
        <f>AD35</f>
        <v>7.25</v>
      </c>
      <c r="CZ35">
        <f>AH35</f>
        <v>7.25</v>
      </c>
      <c r="DA35">
        <f>AL35</f>
        <v>1</v>
      </c>
      <c r="DB35">
        <f t="shared" si="0"/>
        <v>1553.82</v>
      </c>
      <c r="DC35">
        <f t="shared" si="1"/>
        <v>0</v>
      </c>
    </row>
    <row r="36" spans="1:107" x14ac:dyDescent="0.2">
      <c r="A36">
        <f>ROW(Source!A30)</f>
        <v>30</v>
      </c>
      <c r="B36">
        <v>31375913</v>
      </c>
      <c r="C36">
        <v>31376104</v>
      </c>
      <c r="D36">
        <v>29319570</v>
      </c>
      <c r="E36">
        <v>1</v>
      </c>
      <c r="F36">
        <v>1</v>
      </c>
      <c r="G36">
        <v>1</v>
      </c>
      <c r="H36">
        <v>3</v>
      </c>
      <c r="I36" t="s">
        <v>39</v>
      </c>
      <c r="J36" t="s">
        <v>42</v>
      </c>
      <c r="K36" t="s">
        <v>40</v>
      </c>
      <c r="L36">
        <v>1348</v>
      </c>
      <c r="N36">
        <v>1009</v>
      </c>
      <c r="O36" t="s">
        <v>41</v>
      </c>
      <c r="P36" t="s">
        <v>41</v>
      </c>
      <c r="Q36">
        <v>1000</v>
      </c>
      <c r="W36">
        <v>0</v>
      </c>
      <c r="X36">
        <v>1876412176</v>
      </c>
      <c r="Y36">
        <v>100</v>
      </c>
      <c r="AA36">
        <v>0</v>
      </c>
      <c r="AB36">
        <v>0</v>
      </c>
      <c r="AC36">
        <v>0</v>
      </c>
      <c r="AD36">
        <v>0</v>
      </c>
      <c r="AE36">
        <v>0</v>
      </c>
      <c r="AF36">
        <v>0</v>
      </c>
      <c r="AG36">
        <v>0</v>
      </c>
      <c r="AH36">
        <v>0</v>
      </c>
      <c r="AI36">
        <v>1</v>
      </c>
      <c r="AJ36">
        <v>1</v>
      </c>
      <c r="AK36">
        <v>1</v>
      </c>
      <c r="AL36">
        <v>1</v>
      </c>
      <c r="AN36">
        <v>0</v>
      </c>
      <c r="AO36">
        <v>0</v>
      </c>
      <c r="AP36">
        <v>0</v>
      </c>
      <c r="AQ36">
        <v>0</v>
      </c>
      <c r="AR36">
        <v>0</v>
      </c>
      <c r="AS36" t="s">
        <v>3</v>
      </c>
      <c r="AT36">
        <v>100</v>
      </c>
      <c r="AU36" t="s">
        <v>3</v>
      </c>
      <c r="AV36">
        <v>0</v>
      </c>
      <c r="AW36">
        <v>2</v>
      </c>
      <c r="AX36">
        <v>31376106</v>
      </c>
      <c r="AY36">
        <v>1</v>
      </c>
      <c r="AZ36">
        <v>0</v>
      </c>
      <c r="BA36">
        <v>36</v>
      </c>
      <c r="BB36">
        <v>0</v>
      </c>
      <c r="BC36">
        <v>0</v>
      </c>
      <c r="BD36">
        <v>0</v>
      </c>
      <c r="BE36">
        <v>0</v>
      </c>
      <c r="BF36">
        <v>0</v>
      </c>
      <c r="BG36">
        <v>0</v>
      </c>
      <c r="BH36">
        <v>0</v>
      </c>
      <c r="BI36">
        <v>0</v>
      </c>
      <c r="BJ36">
        <v>0</v>
      </c>
      <c r="BK36">
        <v>0</v>
      </c>
      <c r="BL36">
        <v>0</v>
      </c>
      <c r="BM36">
        <v>0</v>
      </c>
      <c r="BN36">
        <v>0</v>
      </c>
      <c r="BO36">
        <v>0</v>
      </c>
      <c r="BP36">
        <v>0</v>
      </c>
      <c r="BQ36">
        <v>0</v>
      </c>
      <c r="BR36">
        <v>0</v>
      </c>
      <c r="BS36">
        <v>0</v>
      </c>
      <c r="BT36">
        <v>0</v>
      </c>
      <c r="BU36">
        <v>0</v>
      </c>
      <c r="BV36">
        <v>0</v>
      </c>
      <c r="BW36">
        <v>0</v>
      </c>
      <c r="CX36">
        <f>Y36*Source!I30</f>
        <v>81.13</v>
      </c>
      <c r="CY36">
        <f>AA36</f>
        <v>0</v>
      </c>
      <c r="CZ36">
        <f>AE36</f>
        <v>0</v>
      </c>
      <c r="DA36">
        <f>AI36</f>
        <v>1</v>
      </c>
      <c r="DB36">
        <f t="shared" si="0"/>
        <v>0</v>
      </c>
      <c r="DC36">
        <f t="shared" si="1"/>
        <v>0</v>
      </c>
    </row>
    <row r="37" spans="1:107" x14ac:dyDescent="0.2">
      <c r="A37">
        <f>ROW(Source!A32)</f>
        <v>32</v>
      </c>
      <c r="B37">
        <v>31375913</v>
      </c>
      <c r="C37">
        <v>31376109</v>
      </c>
      <c r="D37">
        <v>18411568</v>
      </c>
      <c r="E37">
        <v>1</v>
      </c>
      <c r="F37">
        <v>1</v>
      </c>
      <c r="G37">
        <v>1</v>
      </c>
      <c r="H37">
        <v>1</v>
      </c>
      <c r="I37" t="s">
        <v>279</v>
      </c>
      <c r="J37" t="s">
        <v>3</v>
      </c>
      <c r="K37" t="s">
        <v>280</v>
      </c>
      <c r="L37">
        <v>1369</v>
      </c>
      <c r="N37">
        <v>1013</v>
      </c>
      <c r="O37" t="s">
        <v>198</v>
      </c>
      <c r="P37" t="s">
        <v>198</v>
      </c>
      <c r="Q37">
        <v>1</v>
      </c>
      <c r="W37">
        <v>0</v>
      </c>
      <c r="X37">
        <v>-667300694</v>
      </c>
      <c r="Y37">
        <v>0.57769999999999999</v>
      </c>
      <c r="AA37">
        <v>0</v>
      </c>
      <c r="AB37">
        <v>0</v>
      </c>
      <c r="AC37">
        <v>0</v>
      </c>
      <c r="AD37">
        <v>7.19</v>
      </c>
      <c r="AE37">
        <v>0</v>
      </c>
      <c r="AF37">
        <v>0</v>
      </c>
      <c r="AG37">
        <v>0</v>
      </c>
      <c r="AH37">
        <v>7.19</v>
      </c>
      <c r="AI37">
        <v>1</v>
      </c>
      <c r="AJ37">
        <v>1</v>
      </c>
      <c r="AK37">
        <v>1</v>
      </c>
      <c r="AL37">
        <v>1</v>
      </c>
      <c r="AN37">
        <v>0</v>
      </c>
      <c r="AO37">
        <v>1</v>
      </c>
      <c r="AP37">
        <v>0</v>
      </c>
      <c r="AQ37">
        <v>0</v>
      </c>
      <c r="AR37">
        <v>0</v>
      </c>
      <c r="AS37" t="s">
        <v>3</v>
      </c>
      <c r="AT37">
        <v>0.57769999999999999</v>
      </c>
      <c r="AU37" t="s">
        <v>3</v>
      </c>
      <c r="AV37">
        <v>1</v>
      </c>
      <c r="AW37">
        <v>2</v>
      </c>
      <c r="AX37">
        <v>31376110</v>
      </c>
      <c r="AY37">
        <v>1</v>
      </c>
      <c r="AZ37">
        <v>0</v>
      </c>
      <c r="BA37">
        <v>37</v>
      </c>
      <c r="BB37">
        <v>0</v>
      </c>
      <c r="BC37">
        <v>0</v>
      </c>
      <c r="BD37">
        <v>0</v>
      </c>
      <c r="BE37">
        <v>0</v>
      </c>
      <c r="BF37">
        <v>0</v>
      </c>
      <c r="BG37">
        <v>0</v>
      </c>
      <c r="BH37">
        <v>0</v>
      </c>
      <c r="BI37">
        <v>0</v>
      </c>
      <c r="BJ37">
        <v>0</v>
      </c>
      <c r="BK37">
        <v>0</v>
      </c>
      <c r="BL37">
        <v>0</v>
      </c>
      <c r="BM37">
        <v>0</v>
      </c>
      <c r="BN37">
        <v>0</v>
      </c>
      <c r="BO37">
        <v>0</v>
      </c>
      <c r="BP37">
        <v>0</v>
      </c>
      <c r="BQ37">
        <v>0</v>
      </c>
      <c r="BR37">
        <v>0</v>
      </c>
      <c r="BS37">
        <v>0</v>
      </c>
      <c r="BT37">
        <v>0</v>
      </c>
      <c r="BU37">
        <v>0</v>
      </c>
      <c r="BV37">
        <v>0</v>
      </c>
      <c r="BW37">
        <v>0</v>
      </c>
      <c r="CX37">
        <f>Y37*Source!I32</f>
        <v>46.868800999999998</v>
      </c>
      <c r="CY37">
        <f>AD37</f>
        <v>7.19</v>
      </c>
      <c r="CZ37">
        <f>AH37</f>
        <v>7.19</v>
      </c>
      <c r="DA37">
        <f>AL37</f>
        <v>1</v>
      </c>
      <c r="DB37">
        <f t="shared" si="0"/>
        <v>4.1500000000000004</v>
      </c>
      <c r="DC37">
        <f t="shared" si="1"/>
        <v>0</v>
      </c>
    </row>
    <row r="38" spans="1:107" x14ac:dyDescent="0.2">
      <c r="A38">
        <f>ROW(Source!A32)</f>
        <v>32</v>
      </c>
      <c r="B38">
        <v>31375913</v>
      </c>
      <c r="C38">
        <v>31376109</v>
      </c>
      <c r="D38">
        <v>29330145</v>
      </c>
      <c r="E38">
        <v>1</v>
      </c>
      <c r="F38">
        <v>1</v>
      </c>
      <c r="G38">
        <v>1</v>
      </c>
      <c r="H38">
        <v>2</v>
      </c>
      <c r="I38" t="s">
        <v>281</v>
      </c>
      <c r="J38" t="s">
        <v>282</v>
      </c>
      <c r="K38" t="s">
        <v>283</v>
      </c>
      <c r="L38">
        <v>1368</v>
      </c>
      <c r="N38">
        <v>1011</v>
      </c>
      <c r="O38" t="s">
        <v>202</v>
      </c>
      <c r="P38" t="s">
        <v>202</v>
      </c>
      <c r="Q38">
        <v>1</v>
      </c>
      <c r="W38">
        <v>0</v>
      </c>
      <c r="X38">
        <v>-1888888004</v>
      </c>
      <c r="Y38">
        <v>0.28999999999999998</v>
      </c>
      <c r="AA38">
        <v>0</v>
      </c>
      <c r="AB38">
        <v>907.98</v>
      </c>
      <c r="AC38">
        <v>383.38</v>
      </c>
      <c r="AD38">
        <v>0</v>
      </c>
      <c r="AE38">
        <v>0</v>
      </c>
      <c r="AF38">
        <v>111</v>
      </c>
      <c r="AG38">
        <v>11.6</v>
      </c>
      <c r="AH38">
        <v>0</v>
      </c>
      <c r="AI38">
        <v>1</v>
      </c>
      <c r="AJ38">
        <v>8.18</v>
      </c>
      <c r="AK38">
        <v>33.049999999999997</v>
      </c>
      <c r="AL38">
        <v>1</v>
      </c>
      <c r="AN38">
        <v>0</v>
      </c>
      <c r="AO38">
        <v>1</v>
      </c>
      <c r="AP38">
        <v>0</v>
      </c>
      <c r="AQ38">
        <v>0</v>
      </c>
      <c r="AR38">
        <v>0</v>
      </c>
      <c r="AS38" t="s">
        <v>3</v>
      </c>
      <c r="AT38">
        <v>0.28999999999999998</v>
      </c>
      <c r="AU38" t="s">
        <v>3</v>
      </c>
      <c r="AV38">
        <v>0</v>
      </c>
      <c r="AW38">
        <v>2</v>
      </c>
      <c r="AX38">
        <v>31376111</v>
      </c>
      <c r="AY38">
        <v>1</v>
      </c>
      <c r="AZ38">
        <v>0</v>
      </c>
      <c r="BA38">
        <v>38</v>
      </c>
      <c r="BB38">
        <v>0</v>
      </c>
      <c r="BC38">
        <v>0</v>
      </c>
      <c r="BD38">
        <v>0</v>
      </c>
      <c r="BE38">
        <v>0</v>
      </c>
      <c r="BF38">
        <v>0</v>
      </c>
      <c r="BG38">
        <v>0</v>
      </c>
      <c r="BH38">
        <v>0</v>
      </c>
      <c r="BI38">
        <v>0</v>
      </c>
      <c r="BJ38">
        <v>0</v>
      </c>
      <c r="BK38">
        <v>0</v>
      </c>
      <c r="BL38">
        <v>0</v>
      </c>
      <c r="BM38">
        <v>0</v>
      </c>
      <c r="BN38">
        <v>0</v>
      </c>
      <c r="BO38">
        <v>0</v>
      </c>
      <c r="BP38">
        <v>0</v>
      </c>
      <c r="BQ38">
        <v>0</v>
      </c>
      <c r="BR38">
        <v>0</v>
      </c>
      <c r="BS38">
        <v>0</v>
      </c>
      <c r="BT38">
        <v>0</v>
      </c>
      <c r="BU38">
        <v>0</v>
      </c>
      <c r="BV38">
        <v>0</v>
      </c>
      <c r="BW38">
        <v>0</v>
      </c>
      <c r="CX38">
        <f>Y38*Source!I32</f>
        <v>23.527699999999996</v>
      </c>
      <c r="CY38">
        <f>AB38</f>
        <v>907.98</v>
      </c>
      <c r="CZ38">
        <f>AF38</f>
        <v>111</v>
      </c>
      <c r="DA38">
        <f>AJ38</f>
        <v>8.18</v>
      </c>
      <c r="DB38">
        <f t="shared" si="0"/>
        <v>32.19</v>
      </c>
      <c r="DC38">
        <f t="shared" si="1"/>
        <v>3.36</v>
      </c>
    </row>
  </sheetData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38"/>
  <sheetViews>
    <sheetView workbookViewId="0"/>
  </sheetViews>
  <sheetFormatPr defaultColWidth="9.140625" defaultRowHeight="12.75" x14ac:dyDescent="0.2"/>
  <cols>
    <col min="1" max="256" width="9.140625" customWidth="1"/>
  </cols>
  <sheetData>
    <row r="1" spans="1:44" x14ac:dyDescent="0.2">
      <c r="A1">
        <f>ROW(Source!A24)</f>
        <v>24</v>
      </c>
      <c r="B1">
        <v>31376065</v>
      </c>
      <c r="C1">
        <v>31376064</v>
      </c>
      <c r="D1">
        <v>18409661</v>
      </c>
      <c r="E1">
        <v>1</v>
      </c>
      <c r="F1">
        <v>1</v>
      </c>
      <c r="G1">
        <v>1</v>
      </c>
      <c r="H1">
        <v>1</v>
      </c>
      <c r="I1" t="s">
        <v>196</v>
      </c>
      <c r="J1" t="s">
        <v>3</v>
      </c>
      <c r="K1" t="s">
        <v>197</v>
      </c>
      <c r="L1">
        <v>1369</v>
      </c>
      <c r="N1">
        <v>1013</v>
      </c>
      <c r="O1" t="s">
        <v>198</v>
      </c>
      <c r="P1" t="s">
        <v>198</v>
      </c>
      <c r="Q1">
        <v>1</v>
      </c>
      <c r="X1">
        <v>70.2</v>
      </c>
      <c r="Y1">
        <v>0</v>
      </c>
      <c r="Z1">
        <v>0</v>
      </c>
      <c r="AA1">
        <v>0</v>
      </c>
      <c r="AB1">
        <v>8.64</v>
      </c>
      <c r="AC1">
        <v>0</v>
      </c>
      <c r="AD1">
        <v>1</v>
      </c>
      <c r="AE1">
        <v>1</v>
      </c>
      <c r="AF1" t="s">
        <v>3</v>
      </c>
      <c r="AG1">
        <v>70.2</v>
      </c>
      <c r="AH1">
        <v>2</v>
      </c>
      <c r="AI1">
        <v>31376065</v>
      </c>
      <c r="AJ1">
        <v>1</v>
      </c>
      <c r="AK1">
        <v>0</v>
      </c>
      <c r="AL1">
        <v>0</v>
      </c>
      <c r="AM1">
        <v>0</v>
      </c>
      <c r="AN1">
        <v>0</v>
      </c>
      <c r="AO1">
        <v>0</v>
      </c>
      <c r="AP1">
        <v>0</v>
      </c>
      <c r="AQ1">
        <v>0</v>
      </c>
      <c r="AR1">
        <v>0</v>
      </c>
    </row>
    <row r="2" spans="1:44" x14ac:dyDescent="0.2">
      <c r="A2">
        <f>ROW(Source!A24)</f>
        <v>24</v>
      </c>
      <c r="B2">
        <v>31376066</v>
      </c>
      <c r="C2">
        <v>31376064</v>
      </c>
      <c r="D2">
        <v>29330134</v>
      </c>
      <c r="E2">
        <v>1</v>
      </c>
      <c r="F2">
        <v>1</v>
      </c>
      <c r="G2">
        <v>1</v>
      </c>
      <c r="H2">
        <v>2</v>
      </c>
      <c r="I2" t="s">
        <v>199</v>
      </c>
      <c r="J2" t="s">
        <v>200</v>
      </c>
      <c r="K2" t="s">
        <v>201</v>
      </c>
      <c r="L2">
        <v>1368</v>
      </c>
      <c r="N2">
        <v>1011</v>
      </c>
      <c r="O2" t="s">
        <v>202</v>
      </c>
      <c r="P2" t="s">
        <v>202</v>
      </c>
      <c r="Q2">
        <v>1</v>
      </c>
      <c r="X2">
        <v>0.18</v>
      </c>
      <c r="Y2">
        <v>0</v>
      </c>
      <c r="Z2">
        <v>87.17</v>
      </c>
      <c r="AA2">
        <v>11.6</v>
      </c>
      <c r="AB2">
        <v>0</v>
      </c>
      <c r="AC2">
        <v>0</v>
      </c>
      <c r="AD2">
        <v>1</v>
      </c>
      <c r="AE2">
        <v>0</v>
      </c>
      <c r="AF2" t="s">
        <v>3</v>
      </c>
      <c r="AG2">
        <v>0.18</v>
      </c>
      <c r="AH2">
        <v>2</v>
      </c>
      <c r="AI2">
        <v>31376066</v>
      </c>
      <c r="AJ2">
        <v>2</v>
      </c>
      <c r="AK2">
        <v>0</v>
      </c>
      <c r="AL2">
        <v>0</v>
      </c>
      <c r="AM2">
        <v>0</v>
      </c>
      <c r="AN2">
        <v>0</v>
      </c>
      <c r="AO2">
        <v>0</v>
      </c>
      <c r="AP2">
        <v>0</v>
      </c>
      <c r="AQ2">
        <v>0</v>
      </c>
      <c r="AR2">
        <v>0</v>
      </c>
    </row>
    <row r="3" spans="1:44" x14ac:dyDescent="0.2">
      <c r="A3">
        <f>ROW(Source!A24)</f>
        <v>24</v>
      </c>
      <c r="B3">
        <v>31376067</v>
      </c>
      <c r="C3">
        <v>31376064</v>
      </c>
      <c r="D3">
        <v>29270312</v>
      </c>
      <c r="E3">
        <v>1</v>
      </c>
      <c r="F3">
        <v>1</v>
      </c>
      <c r="G3">
        <v>1</v>
      </c>
      <c r="H3">
        <v>3</v>
      </c>
      <c r="I3" t="s">
        <v>203</v>
      </c>
      <c r="J3" t="s">
        <v>204</v>
      </c>
      <c r="K3" t="s">
        <v>205</v>
      </c>
      <c r="L3">
        <v>1339</v>
      </c>
      <c r="N3">
        <v>1007</v>
      </c>
      <c r="O3" t="s">
        <v>206</v>
      </c>
      <c r="P3" t="s">
        <v>206</v>
      </c>
      <c r="Q3">
        <v>1</v>
      </c>
      <c r="X3">
        <v>8.0000000000000002E-3</v>
      </c>
      <c r="Y3">
        <v>1086.52</v>
      </c>
      <c r="Z3">
        <v>0</v>
      </c>
      <c r="AA3">
        <v>0</v>
      </c>
      <c r="AB3">
        <v>0</v>
      </c>
      <c r="AC3">
        <v>0</v>
      </c>
      <c r="AD3">
        <v>1</v>
      </c>
      <c r="AE3">
        <v>0</v>
      </c>
      <c r="AF3" t="s">
        <v>3</v>
      </c>
      <c r="AG3">
        <v>8.0000000000000002E-3</v>
      </c>
      <c r="AH3">
        <v>2</v>
      </c>
      <c r="AI3">
        <v>31376067</v>
      </c>
      <c r="AJ3">
        <v>3</v>
      </c>
      <c r="AK3">
        <v>0</v>
      </c>
      <c r="AL3">
        <v>0</v>
      </c>
      <c r="AM3">
        <v>0</v>
      </c>
      <c r="AN3">
        <v>0</v>
      </c>
      <c r="AO3">
        <v>0</v>
      </c>
      <c r="AP3">
        <v>0</v>
      </c>
      <c r="AQ3">
        <v>0</v>
      </c>
      <c r="AR3">
        <v>0</v>
      </c>
    </row>
    <row r="4" spans="1:44" x14ac:dyDescent="0.2">
      <c r="A4">
        <f>ROW(Source!A24)</f>
        <v>24</v>
      </c>
      <c r="B4">
        <v>31376068</v>
      </c>
      <c r="C4">
        <v>31376064</v>
      </c>
      <c r="D4">
        <v>29270316</v>
      </c>
      <c r="E4">
        <v>1</v>
      </c>
      <c r="F4">
        <v>1</v>
      </c>
      <c r="G4">
        <v>1</v>
      </c>
      <c r="H4">
        <v>3</v>
      </c>
      <c r="I4" t="s">
        <v>207</v>
      </c>
      <c r="J4" t="s">
        <v>208</v>
      </c>
      <c r="K4" t="s">
        <v>209</v>
      </c>
      <c r="L4">
        <v>1348</v>
      </c>
      <c r="N4">
        <v>1009</v>
      </c>
      <c r="O4" t="s">
        <v>41</v>
      </c>
      <c r="P4" t="s">
        <v>41</v>
      </c>
      <c r="Q4">
        <v>1000</v>
      </c>
      <c r="X4">
        <v>2.9000000000000001E-2</v>
      </c>
      <c r="Y4">
        <v>6045.31</v>
      </c>
      <c r="Z4">
        <v>0</v>
      </c>
      <c r="AA4">
        <v>0</v>
      </c>
      <c r="AB4">
        <v>0</v>
      </c>
      <c r="AC4">
        <v>0</v>
      </c>
      <c r="AD4">
        <v>1</v>
      </c>
      <c r="AE4">
        <v>0</v>
      </c>
      <c r="AF4" t="s">
        <v>3</v>
      </c>
      <c r="AG4">
        <v>2.9000000000000001E-2</v>
      </c>
      <c r="AH4">
        <v>2</v>
      </c>
      <c r="AI4">
        <v>31376068</v>
      </c>
      <c r="AJ4">
        <v>4</v>
      </c>
      <c r="AK4">
        <v>0</v>
      </c>
      <c r="AL4">
        <v>0</v>
      </c>
      <c r="AM4">
        <v>0</v>
      </c>
      <c r="AN4">
        <v>0</v>
      </c>
      <c r="AO4">
        <v>0</v>
      </c>
      <c r="AP4">
        <v>0</v>
      </c>
      <c r="AQ4">
        <v>0</v>
      </c>
      <c r="AR4">
        <v>0</v>
      </c>
    </row>
    <row r="5" spans="1:44" x14ac:dyDescent="0.2">
      <c r="A5">
        <f>ROW(Source!A24)</f>
        <v>24</v>
      </c>
      <c r="B5">
        <v>31376069</v>
      </c>
      <c r="C5">
        <v>31376064</v>
      </c>
      <c r="D5">
        <v>29286533</v>
      </c>
      <c r="E5">
        <v>1</v>
      </c>
      <c r="F5">
        <v>1</v>
      </c>
      <c r="G5">
        <v>1</v>
      </c>
      <c r="H5">
        <v>3</v>
      </c>
      <c r="I5" t="s">
        <v>210</v>
      </c>
      <c r="J5" t="s">
        <v>211</v>
      </c>
      <c r="K5" t="s">
        <v>212</v>
      </c>
      <c r="L5">
        <v>1327</v>
      </c>
      <c r="N5">
        <v>1005</v>
      </c>
      <c r="O5" t="s">
        <v>213</v>
      </c>
      <c r="P5" t="s">
        <v>213</v>
      </c>
      <c r="Q5">
        <v>1</v>
      </c>
      <c r="X5">
        <v>5.5</v>
      </c>
      <c r="Y5">
        <v>35.22</v>
      </c>
      <c r="Z5">
        <v>0</v>
      </c>
      <c r="AA5">
        <v>0</v>
      </c>
      <c r="AB5">
        <v>0</v>
      </c>
      <c r="AC5">
        <v>0</v>
      </c>
      <c r="AD5">
        <v>1</v>
      </c>
      <c r="AE5">
        <v>0</v>
      </c>
      <c r="AF5" t="s">
        <v>3</v>
      </c>
      <c r="AG5">
        <v>5.5</v>
      </c>
      <c r="AH5">
        <v>2</v>
      </c>
      <c r="AI5">
        <v>31376069</v>
      </c>
      <c r="AJ5">
        <v>5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</row>
    <row r="6" spans="1:44" x14ac:dyDescent="0.2">
      <c r="A6">
        <f>ROW(Source!A25)</f>
        <v>25</v>
      </c>
      <c r="B6">
        <v>31376071</v>
      </c>
      <c r="C6">
        <v>31376070</v>
      </c>
      <c r="D6">
        <v>18409992</v>
      </c>
      <c r="E6">
        <v>1</v>
      </c>
      <c r="F6">
        <v>1</v>
      </c>
      <c r="G6">
        <v>1</v>
      </c>
      <c r="H6">
        <v>1</v>
      </c>
      <c r="I6" t="s">
        <v>214</v>
      </c>
      <c r="J6" t="s">
        <v>3</v>
      </c>
      <c r="K6" t="s">
        <v>215</v>
      </c>
      <c r="L6">
        <v>1369</v>
      </c>
      <c r="N6">
        <v>1013</v>
      </c>
      <c r="O6" t="s">
        <v>198</v>
      </c>
      <c r="P6" t="s">
        <v>198</v>
      </c>
      <c r="Q6">
        <v>1</v>
      </c>
      <c r="X6">
        <v>172.76</v>
      </c>
      <c r="Y6">
        <v>0</v>
      </c>
      <c r="Z6">
        <v>0</v>
      </c>
      <c r="AA6">
        <v>0</v>
      </c>
      <c r="AB6">
        <v>8.09</v>
      </c>
      <c r="AC6">
        <v>0</v>
      </c>
      <c r="AD6">
        <v>1</v>
      </c>
      <c r="AE6">
        <v>1</v>
      </c>
      <c r="AF6" t="s">
        <v>3</v>
      </c>
      <c r="AG6">
        <v>172.76</v>
      </c>
      <c r="AH6">
        <v>2</v>
      </c>
      <c r="AI6">
        <v>31376071</v>
      </c>
      <c r="AJ6">
        <v>6</v>
      </c>
      <c r="AK6">
        <v>0</v>
      </c>
      <c r="AL6">
        <v>0</v>
      </c>
      <c r="AM6">
        <v>0</v>
      </c>
      <c r="AN6">
        <v>0</v>
      </c>
      <c r="AO6">
        <v>0</v>
      </c>
      <c r="AP6">
        <v>0</v>
      </c>
      <c r="AQ6">
        <v>0</v>
      </c>
      <c r="AR6">
        <v>0</v>
      </c>
    </row>
    <row r="7" spans="1:44" x14ac:dyDescent="0.2">
      <c r="A7">
        <f>ROW(Source!A25)</f>
        <v>25</v>
      </c>
      <c r="B7">
        <v>31376072</v>
      </c>
      <c r="C7">
        <v>31376070</v>
      </c>
      <c r="D7">
        <v>121548</v>
      </c>
      <c r="E7">
        <v>1</v>
      </c>
      <c r="F7">
        <v>1</v>
      </c>
      <c r="G7">
        <v>1</v>
      </c>
      <c r="H7">
        <v>1</v>
      </c>
      <c r="I7" t="s">
        <v>23</v>
      </c>
      <c r="J7" t="s">
        <v>3</v>
      </c>
      <c r="K7" t="s">
        <v>216</v>
      </c>
      <c r="L7">
        <v>608254</v>
      </c>
      <c r="N7">
        <v>1013</v>
      </c>
      <c r="O7" t="s">
        <v>217</v>
      </c>
      <c r="P7" t="s">
        <v>217</v>
      </c>
      <c r="Q7">
        <v>1</v>
      </c>
      <c r="X7">
        <v>7.74</v>
      </c>
      <c r="Y7">
        <v>0</v>
      </c>
      <c r="Z7">
        <v>0</v>
      </c>
      <c r="AA7">
        <v>0</v>
      </c>
      <c r="AB7">
        <v>0</v>
      </c>
      <c r="AC7">
        <v>0</v>
      </c>
      <c r="AD7">
        <v>1</v>
      </c>
      <c r="AE7">
        <v>2</v>
      </c>
      <c r="AF7" t="s">
        <v>3</v>
      </c>
      <c r="AG7">
        <v>7.74</v>
      </c>
      <c r="AH7">
        <v>2</v>
      </c>
      <c r="AI7">
        <v>31376072</v>
      </c>
      <c r="AJ7">
        <v>7</v>
      </c>
      <c r="AK7">
        <v>0</v>
      </c>
      <c r="AL7">
        <v>0</v>
      </c>
      <c r="AM7">
        <v>0</v>
      </c>
      <c r="AN7">
        <v>0</v>
      </c>
      <c r="AO7">
        <v>0</v>
      </c>
      <c r="AP7">
        <v>0</v>
      </c>
      <c r="AQ7">
        <v>0</v>
      </c>
      <c r="AR7">
        <v>0</v>
      </c>
    </row>
    <row r="8" spans="1:44" x14ac:dyDescent="0.2">
      <c r="A8">
        <f>ROW(Source!A25)</f>
        <v>25</v>
      </c>
      <c r="B8">
        <v>31376073</v>
      </c>
      <c r="C8">
        <v>31376070</v>
      </c>
      <c r="D8">
        <v>29327777</v>
      </c>
      <c r="E8">
        <v>1</v>
      </c>
      <c r="F8">
        <v>1</v>
      </c>
      <c r="G8">
        <v>1</v>
      </c>
      <c r="H8">
        <v>2</v>
      </c>
      <c r="I8" t="s">
        <v>218</v>
      </c>
      <c r="J8" t="s">
        <v>219</v>
      </c>
      <c r="K8" t="s">
        <v>220</v>
      </c>
      <c r="L8">
        <v>1368</v>
      </c>
      <c r="N8">
        <v>1011</v>
      </c>
      <c r="O8" t="s">
        <v>202</v>
      </c>
      <c r="P8" t="s">
        <v>202</v>
      </c>
      <c r="Q8">
        <v>1</v>
      </c>
      <c r="X8">
        <v>7.74</v>
      </c>
      <c r="Y8">
        <v>0</v>
      </c>
      <c r="Z8">
        <v>31.26</v>
      </c>
      <c r="AA8">
        <v>13.5</v>
      </c>
      <c r="AB8">
        <v>0</v>
      </c>
      <c r="AC8">
        <v>0</v>
      </c>
      <c r="AD8">
        <v>1</v>
      </c>
      <c r="AE8">
        <v>0</v>
      </c>
      <c r="AF8" t="s">
        <v>3</v>
      </c>
      <c r="AG8">
        <v>7.74</v>
      </c>
      <c r="AH8">
        <v>2</v>
      </c>
      <c r="AI8">
        <v>31376073</v>
      </c>
      <c r="AJ8">
        <v>8</v>
      </c>
      <c r="AK8">
        <v>0</v>
      </c>
      <c r="AL8">
        <v>0</v>
      </c>
      <c r="AM8">
        <v>0</v>
      </c>
      <c r="AN8">
        <v>0</v>
      </c>
      <c r="AO8">
        <v>0</v>
      </c>
      <c r="AP8">
        <v>0</v>
      </c>
      <c r="AQ8">
        <v>0</v>
      </c>
      <c r="AR8">
        <v>0</v>
      </c>
    </row>
    <row r="9" spans="1:44" x14ac:dyDescent="0.2">
      <c r="A9">
        <f>ROW(Source!A26)</f>
        <v>26</v>
      </c>
      <c r="B9">
        <v>31376075</v>
      </c>
      <c r="C9">
        <v>31376074</v>
      </c>
      <c r="D9">
        <v>18408291</v>
      </c>
      <c r="E9">
        <v>1</v>
      </c>
      <c r="F9">
        <v>1</v>
      </c>
      <c r="G9">
        <v>1</v>
      </c>
      <c r="H9">
        <v>1</v>
      </c>
      <c r="I9" t="s">
        <v>221</v>
      </c>
      <c r="J9" t="s">
        <v>3</v>
      </c>
      <c r="K9" t="s">
        <v>222</v>
      </c>
      <c r="L9">
        <v>1369</v>
      </c>
      <c r="N9">
        <v>1013</v>
      </c>
      <c r="O9" t="s">
        <v>198</v>
      </c>
      <c r="P9" t="s">
        <v>198</v>
      </c>
      <c r="Q9">
        <v>1</v>
      </c>
      <c r="X9">
        <v>128.72999999999999</v>
      </c>
      <c r="Y9">
        <v>0</v>
      </c>
      <c r="Z9">
        <v>0</v>
      </c>
      <c r="AA9">
        <v>0</v>
      </c>
      <c r="AB9">
        <v>8.17</v>
      </c>
      <c r="AC9">
        <v>0</v>
      </c>
      <c r="AD9">
        <v>1</v>
      </c>
      <c r="AE9">
        <v>1</v>
      </c>
      <c r="AF9" t="s">
        <v>3</v>
      </c>
      <c r="AG9">
        <v>128.72999999999999</v>
      </c>
      <c r="AH9">
        <v>2</v>
      </c>
      <c r="AI9">
        <v>31376075</v>
      </c>
      <c r="AJ9">
        <v>9</v>
      </c>
      <c r="AK9">
        <v>0</v>
      </c>
      <c r="AL9">
        <v>0</v>
      </c>
      <c r="AM9">
        <v>0</v>
      </c>
      <c r="AN9">
        <v>0</v>
      </c>
      <c r="AO9">
        <v>0</v>
      </c>
      <c r="AP9">
        <v>0</v>
      </c>
      <c r="AQ9">
        <v>0</v>
      </c>
      <c r="AR9">
        <v>0</v>
      </c>
    </row>
    <row r="10" spans="1:44" x14ac:dyDescent="0.2">
      <c r="A10">
        <f>ROW(Source!A26)</f>
        <v>26</v>
      </c>
      <c r="B10">
        <v>31376076</v>
      </c>
      <c r="C10">
        <v>31376074</v>
      </c>
      <c r="D10">
        <v>121548</v>
      </c>
      <c r="E10">
        <v>1</v>
      </c>
      <c r="F10">
        <v>1</v>
      </c>
      <c r="G10">
        <v>1</v>
      </c>
      <c r="H10">
        <v>1</v>
      </c>
      <c r="I10" t="s">
        <v>23</v>
      </c>
      <c r="J10" t="s">
        <v>3</v>
      </c>
      <c r="K10" t="s">
        <v>216</v>
      </c>
      <c r="L10">
        <v>608254</v>
      </c>
      <c r="N10">
        <v>1013</v>
      </c>
      <c r="O10" t="s">
        <v>217</v>
      </c>
      <c r="P10" t="s">
        <v>217</v>
      </c>
      <c r="Q10">
        <v>1</v>
      </c>
      <c r="X10">
        <v>2.15</v>
      </c>
      <c r="Y10">
        <v>0</v>
      </c>
      <c r="Z10">
        <v>0</v>
      </c>
      <c r="AA10">
        <v>0</v>
      </c>
      <c r="AB10">
        <v>0</v>
      </c>
      <c r="AC10">
        <v>0</v>
      </c>
      <c r="AD10">
        <v>1</v>
      </c>
      <c r="AE10">
        <v>2</v>
      </c>
      <c r="AF10" t="s">
        <v>3</v>
      </c>
      <c r="AG10">
        <v>2.15</v>
      </c>
      <c r="AH10">
        <v>2</v>
      </c>
      <c r="AI10">
        <v>31376076</v>
      </c>
      <c r="AJ10">
        <v>10</v>
      </c>
      <c r="AK10">
        <v>0</v>
      </c>
      <c r="AL10">
        <v>0</v>
      </c>
      <c r="AM10">
        <v>0</v>
      </c>
      <c r="AN10">
        <v>0</v>
      </c>
      <c r="AO10">
        <v>0</v>
      </c>
      <c r="AP10">
        <v>0</v>
      </c>
      <c r="AQ10">
        <v>0</v>
      </c>
      <c r="AR10">
        <v>0</v>
      </c>
    </row>
    <row r="11" spans="1:44" x14ac:dyDescent="0.2">
      <c r="A11">
        <f>ROW(Source!A26)</f>
        <v>26</v>
      </c>
      <c r="B11">
        <v>31376077</v>
      </c>
      <c r="C11">
        <v>31376074</v>
      </c>
      <c r="D11">
        <v>29327777</v>
      </c>
      <c r="E11">
        <v>1</v>
      </c>
      <c r="F11">
        <v>1</v>
      </c>
      <c r="G11">
        <v>1</v>
      </c>
      <c r="H11">
        <v>2</v>
      </c>
      <c r="I11" t="s">
        <v>218</v>
      </c>
      <c r="J11" t="s">
        <v>219</v>
      </c>
      <c r="K11" t="s">
        <v>220</v>
      </c>
      <c r="L11">
        <v>1368</v>
      </c>
      <c r="N11">
        <v>1011</v>
      </c>
      <c r="O11" t="s">
        <v>202</v>
      </c>
      <c r="P11" t="s">
        <v>202</v>
      </c>
      <c r="Q11">
        <v>1</v>
      </c>
      <c r="X11">
        <v>0.7</v>
      </c>
      <c r="Y11">
        <v>0</v>
      </c>
      <c r="Z11">
        <v>31.26</v>
      </c>
      <c r="AA11">
        <v>13.5</v>
      </c>
      <c r="AB11">
        <v>0</v>
      </c>
      <c r="AC11">
        <v>0</v>
      </c>
      <c r="AD11">
        <v>1</v>
      </c>
      <c r="AE11">
        <v>0</v>
      </c>
      <c r="AF11" t="s">
        <v>3</v>
      </c>
      <c r="AG11">
        <v>0.7</v>
      </c>
      <c r="AH11">
        <v>2</v>
      </c>
      <c r="AI11">
        <v>31376077</v>
      </c>
      <c r="AJ11">
        <v>11</v>
      </c>
      <c r="AK11">
        <v>0</v>
      </c>
      <c r="AL11">
        <v>0</v>
      </c>
      <c r="AM11">
        <v>0</v>
      </c>
      <c r="AN11">
        <v>0</v>
      </c>
      <c r="AO11">
        <v>0</v>
      </c>
      <c r="AP11">
        <v>0</v>
      </c>
      <c r="AQ11">
        <v>0</v>
      </c>
      <c r="AR11">
        <v>0</v>
      </c>
    </row>
    <row r="12" spans="1:44" x14ac:dyDescent="0.2">
      <c r="A12">
        <f>ROW(Source!A26)</f>
        <v>26</v>
      </c>
      <c r="B12">
        <v>31376078</v>
      </c>
      <c r="C12">
        <v>31376074</v>
      </c>
      <c r="D12">
        <v>29327931</v>
      </c>
      <c r="E12">
        <v>1</v>
      </c>
      <c r="F12">
        <v>1</v>
      </c>
      <c r="G12">
        <v>1</v>
      </c>
      <c r="H12">
        <v>2</v>
      </c>
      <c r="I12" t="s">
        <v>223</v>
      </c>
      <c r="J12" t="s">
        <v>224</v>
      </c>
      <c r="K12" t="s">
        <v>225</v>
      </c>
      <c r="L12">
        <v>1368</v>
      </c>
      <c r="N12">
        <v>1011</v>
      </c>
      <c r="O12" t="s">
        <v>202</v>
      </c>
      <c r="P12" t="s">
        <v>202</v>
      </c>
      <c r="Q12">
        <v>1</v>
      </c>
      <c r="X12">
        <v>1.45</v>
      </c>
      <c r="Y12">
        <v>0</v>
      </c>
      <c r="Z12">
        <v>46.56</v>
      </c>
      <c r="AA12">
        <v>10.06</v>
      </c>
      <c r="AB12">
        <v>0</v>
      </c>
      <c r="AC12">
        <v>0</v>
      </c>
      <c r="AD12">
        <v>1</v>
      </c>
      <c r="AE12">
        <v>0</v>
      </c>
      <c r="AF12" t="s">
        <v>3</v>
      </c>
      <c r="AG12">
        <v>1.45</v>
      </c>
      <c r="AH12">
        <v>2</v>
      </c>
      <c r="AI12">
        <v>31376078</v>
      </c>
      <c r="AJ12">
        <v>12</v>
      </c>
      <c r="AK12">
        <v>0</v>
      </c>
      <c r="AL12">
        <v>0</v>
      </c>
      <c r="AM12">
        <v>0</v>
      </c>
      <c r="AN12">
        <v>0</v>
      </c>
      <c r="AO12">
        <v>0</v>
      </c>
      <c r="AP12">
        <v>0</v>
      </c>
      <c r="AQ12">
        <v>0</v>
      </c>
      <c r="AR12">
        <v>0</v>
      </c>
    </row>
    <row r="13" spans="1:44" x14ac:dyDescent="0.2">
      <c r="A13">
        <f>ROW(Source!A26)</f>
        <v>26</v>
      </c>
      <c r="B13">
        <v>31376079</v>
      </c>
      <c r="C13">
        <v>31376074</v>
      </c>
      <c r="D13">
        <v>29329754</v>
      </c>
      <c r="E13">
        <v>1</v>
      </c>
      <c r="F13">
        <v>1</v>
      </c>
      <c r="G13">
        <v>1</v>
      </c>
      <c r="H13">
        <v>2</v>
      </c>
      <c r="I13" t="s">
        <v>226</v>
      </c>
      <c r="J13" t="s">
        <v>227</v>
      </c>
      <c r="K13" t="s">
        <v>228</v>
      </c>
      <c r="L13">
        <v>1368</v>
      </c>
      <c r="N13">
        <v>1011</v>
      </c>
      <c r="O13" t="s">
        <v>202</v>
      </c>
      <c r="P13" t="s">
        <v>202</v>
      </c>
      <c r="Q13">
        <v>1</v>
      </c>
      <c r="X13">
        <v>2.89</v>
      </c>
      <c r="Y13">
        <v>0</v>
      </c>
      <c r="Z13">
        <v>1.53</v>
      </c>
      <c r="AA13">
        <v>0</v>
      </c>
      <c r="AB13">
        <v>0</v>
      </c>
      <c r="AC13">
        <v>0</v>
      </c>
      <c r="AD13">
        <v>1</v>
      </c>
      <c r="AE13">
        <v>0</v>
      </c>
      <c r="AF13" t="s">
        <v>3</v>
      </c>
      <c r="AG13">
        <v>2.89</v>
      </c>
      <c r="AH13">
        <v>2</v>
      </c>
      <c r="AI13">
        <v>31376079</v>
      </c>
      <c r="AJ13">
        <v>13</v>
      </c>
      <c r="AK13">
        <v>0</v>
      </c>
      <c r="AL13">
        <v>0</v>
      </c>
      <c r="AM13">
        <v>0</v>
      </c>
      <c r="AN13">
        <v>0</v>
      </c>
      <c r="AO13">
        <v>0</v>
      </c>
      <c r="AP13">
        <v>0</v>
      </c>
      <c r="AQ13">
        <v>0</v>
      </c>
      <c r="AR13">
        <v>0</v>
      </c>
    </row>
    <row r="14" spans="1:44" x14ac:dyDescent="0.2">
      <c r="A14">
        <f>ROW(Source!A26)</f>
        <v>26</v>
      </c>
      <c r="B14">
        <v>31376080</v>
      </c>
      <c r="C14">
        <v>31376074</v>
      </c>
      <c r="D14">
        <v>29319570</v>
      </c>
      <c r="E14">
        <v>1</v>
      </c>
      <c r="F14">
        <v>1</v>
      </c>
      <c r="G14">
        <v>1</v>
      </c>
      <c r="H14">
        <v>3</v>
      </c>
      <c r="I14" t="s">
        <v>39</v>
      </c>
      <c r="J14" t="s">
        <v>42</v>
      </c>
      <c r="K14" t="s">
        <v>40</v>
      </c>
      <c r="L14">
        <v>1348</v>
      </c>
      <c r="N14">
        <v>1009</v>
      </c>
      <c r="O14" t="s">
        <v>41</v>
      </c>
      <c r="P14" t="s">
        <v>41</v>
      </c>
      <c r="Q14">
        <v>1000</v>
      </c>
      <c r="X14">
        <v>10.66</v>
      </c>
      <c r="Y14">
        <v>0</v>
      </c>
      <c r="Z14">
        <v>0</v>
      </c>
      <c r="AA14">
        <v>0</v>
      </c>
      <c r="AB14">
        <v>0</v>
      </c>
      <c r="AC14">
        <v>0</v>
      </c>
      <c r="AD14">
        <v>0</v>
      </c>
      <c r="AE14">
        <v>0</v>
      </c>
      <c r="AF14" t="s">
        <v>3</v>
      </c>
      <c r="AG14">
        <v>10.66</v>
      </c>
      <c r="AH14">
        <v>2</v>
      </c>
      <c r="AI14">
        <v>31376080</v>
      </c>
      <c r="AJ14">
        <v>14</v>
      </c>
      <c r="AK14">
        <v>0</v>
      </c>
      <c r="AL14">
        <v>0</v>
      </c>
      <c r="AM14">
        <v>0</v>
      </c>
      <c r="AN14">
        <v>0</v>
      </c>
      <c r="AO14">
        <v>0</v>
      </c>
      <c r="AP14">
        <v>0</v>
      </c>
      <c r="AQ14">
        <v>0</v>
      </c>
      <c r="AR14">
        <v>0</v>
      </c>
    </row>
    <row r="15" spans="1:44" x14ac:dyDescent="0.2">
      <c r="A15">
        <f>ROW(Source!A28)</f>
        <v>28</v>
      </c>
      <c r="B15">
        <v>31376083</v>
      </c>
      <c r="C15">
        <v>31376082</v>
      </c>
      <c r="D15">
        <v>18410572</v>
      </c>
      <c r="E15">
        <v>1</v>
      </c>
      <c r="F15">
        <v>1</v>
      </c>
      <c r="G15">
        <v>1</v>
      </c>
      <c r="H15">
        <v>1</v>
      </c>
      <c r="I15" t="s">
        <v>229</v>
      </c>
      <c r="J15" t="s">
        <v>3</v>
      </c>
      <c r="K15" t="s">
        <v>230</v>
      </c>
      <c r="L15">
        <v>1369</v>
      </c>
      <c r="N15">
        <v>1013</v>
      </c>
      <c r="O15" t="s">
        <v>198</v>
      </c>
      <c r="P15" t="s">
        <v>198</v>
      </c>
      <c r="Q15">
        <v>1</v>
      </c>
      <c r="X15">
        <v>187.55</v>
      </c>
      <c r="Y15">
        <v>0</v>
      </c>
      <c r="Z15">
        <v>0</v>
      </c>
      <c r="AA15">
        <v>0</v>
      </c>
      <c r="AB15">
        <v>8.74</v>
      </c>
      <c r="AC15">
        <v>0</v>
      </c>
      <c r="AD15">
        <v>1</v>
      </c>
      <c r="AE15">
        <v>1</v>
      </c>
      <c r="AF15" t="s">
        <v>3</v>
      </c>
      <c r="AG15">
        <v>187.55</v>
      </c>
      <c r="AH15">
        <v>2</v>
      </c>
      <c r="AI15">
        <v>31376083</v>
      </c>
      <c r="AJ15">
        <v>15</v>
      </c>
      <c r="AK15">
        <v>0</v>
      </c>
      <c r="AL15">
        <v>0</v>
      </c>
      <c r="AM15">
        <v>0</v>
      </c>
      <c r="AN15">
        <v>0</v>
      </c>
      <c r="AO15">
        <v>0</v>
      </c>
      <c r="AP15">
        <v>0</v>
      </c>
      <c r="AQ15">
        <v>0</v>
      </c>
      <c r="AR15">
        <v>0</v>
      </c>
    </row>
    <row r="16" spans="1:44" x14ac:dyDescent="0.2">
      <c r="A16">
        <f>ROW(Source!A28)</f>
        <v>28</v>
      </c>
      <c r="B16">
        <v>31376084</v>
      </c>
      <c r="C16">
        <v>31376082</v>
      </c>
      <c r="D16">
        <v>121548</v>
      </c>
      <c r="E16">
        <v>1</v>
      </c>
      <c r="F16">
        <v>1</v>
      </c>
      <c r="G16">
        <v>1</v>
      </c>
      <c r="H16">
        <v>1</v>
      </c>
      <c r="I16" t="s">
        <v>23</v>
      </c>
      <c r="J16" t="s">
        <v>3</v>
      </c>
      <c r="K16" t="s">
        <v>216</v>
      </c>
      <c r="L16">
        <v>608254</v>
      </c>
      <c r="N16">
        <v>1013</v>
      </c>
      <c r="O16" t="s">
        <v>217</v>
      </c>
      <c r="P16" t="s">
        <v>217</v>
      </c>
      <c r="Q16">
        <v>1</v>
      </c>
      <c r="X16">
        <v>1.76</v>
      </c>
      <c r="Y16">
        <v>0</v>
      </c>
      <c r="Z16">
        <v>0</v>
      </c>
      <c r="AA16">
        <v>0</v>
      </c>
      <c r="AB16">
        <v>0</v>
      </c>
      <c r="AC16">
        <v>0</v>
      </c>
      <c r="AD16">
        <v>1</v>
      </c>
      <c r="AE16">
        <v>2</v>
      </c>
      <c r="AF16" t="s">
        <v>3</v>
      </c>
      <c r="AG16">
        <v>1.76</v>
      </c>
      <c r="AH16">
        <v>2</v>
      </c>
      <c r="AI16">
        <v>31376084</v>
      </c>
      <c r="AJ16">
        <v>16</v>
      </c>
      <c r="AK16">
        <v>0</v>
      </c>
      <c r="AL16">
        <v>0</v>
      </c>
      <c r="AM16">
        <v>0</v>
      </c>
      <c r="AN16">
        <v>0</v>
      </c>
      <c r="AO16">
        <v>0</v>
      </c>
      <c r="AP16">
        <v>0</v>
      </c>
      <c r="AQ16">
        <v>0</v>
      </c>
      <c r="AR16">
        <v>0</v>
      </c>
    </row>
    <row r="17" spans="1:44" x14ac:dyDescent="0.2">
      <c r="A17">
        <f>ROW(Source!A28)</f>
        <v>28</v>
      </c>
      <c r="B17">
        <v>31376085</v>
      </c>
      <c r="C17">
        <v>31376082</v>
      </c>
      <c r="D17">
        <v>29327777</v>
      </c>
      <c r="E17">
        <v>1</v>
      </c>
      <c r="F17">
        <v>1</v>
      </c>
      <c r="G17">
        <v>1</v>
      </c>
      <c r="H17">
        <v>2</v>
      </c>
      <c r="I17" t="s">
        <v>218</v>
      </c>
      <c r="J17" t="s">
        <v>219</v>
      </c>
      <c r="K17" t="s">
        <v>220</v>
      </c>
      <c r="L17">
        <v>1368</v>
      </c>
      <c r="N17">
        <v>1011</v>
      </c>
      <c r="O17" t="s">
        <v>202</v>
      </c>
      <c r="P17" t="s">
        <v>202</v>
      </c>
      <c r="Q17">
        <v>1</v>
      </c>
      <c r="X17">
        <v>1.76</v>
      </c>
      <c r="Y17">
        <v>0</v>
      </c>
      <c r="Z17">
        <v>31.26</v>
      </c>
      <c r="AA17">
        <v>13.5</v>
      </c>
      <c r="AB17">
        <v>0</v>
      </c>
      <c r="AC17">
        <v>0</v>
      </c>
      <c r="AD17">
        <v>1</v>
      </c>
      <c r="AE17">
        <v>0</v>
      </c>
      <c r="AF17" t="s">
        <v>3</v>
      </c>
      <c r="AG17">
        <v>1.76</v>
      </c>
      <c r="AH17">
        <v>2</v>
      </c>
      <c r="AI17">
        <v>31376085</v>
      </c>
      <c r="AJ17">
        <v>17</v>
      </c>
      <c r="AK17">
        <v>0</v>
      </c>
      <c r="AL17">
        <v>0</v>
      </c>
      <c r="AM17">
        <v>0</v>
      </c>
      <c r="AN17">
        <v>0</v>
      </c>
      <c r="AO17">
        <v>0</v>
      </c>
      <c r="AP17">
        <v>0</v>
      </c>
      <c r="AQ17">
        <v>0</v>
      </c>
      <c r="AR17">
        <v>0</v>
      </c>
    </row>
    <row r="18" spans="1:44" x14ac:dyDescent="0.2">
      <c r="A18">
        <f>ROW(Source!A28)</f>
        <v>28</v>
      </c>
      <c r="B18">
        <v>31376086</v>
      </c>
      <c r="C18">
        <v>31376082</v>
      </c>
      <c r="D18">
        <v>29328693</v>
      </c>
      <c r="E18">
        <v>1</v>
      </c>
      <c r="F18">
        <v>1</v>
      </c>
      <c r="G18">
        <v>1</v>
      </c>
      <c r="H18">
        <v>2</v>
      </c>
      <c r="I18" t="s">
        <v>231</v>
      </c>
      <c r="J18" t="s">
        <v>232</v>
      </c>
      <c r="K18" t="s">
        <v>233</v>
      </c>
      <c r="L18">
        <v>1368</v>
      </c>
      <c r="N18">
        <v>1011</v>
      </c>
      <c r="O18" t="s">
        <v>202</v>
      </c>
      <c r="P18" t="s">
        <v>202</v>
      </c>
      <c r="Q18">
        <v>1</v>
      </c>
      <c r="X18">
        <v>19.62</v>
      </c>
      <c r="Y18">
        <v>0</v>
      </c>
      <c r="Z18">
        <v>3</v>
      </c>
      <c r="AA18">
        <v>0</v>
      </c>
      <c r="AB18">
        <v>0</v>
      </c>
      <c r="AC18">
        <v>0</v>
      </c>
      <c r="AD18">
        <v>1</v>
      </c>
      <c r="AE18">
        <v>0</v>
      </c>
      <c r="AF18" t="s">
        <v>3</v>
      </c>
      <c r="AG18">
        <v>19.62</v>
      </c>
      <c r="AH18">
        <v>2</v>
      </c>
      <c r="AI18">
        <v>31376086</v>
      </c>
      <c r="AJ18">
        <v>18</v>
      </c>
      <c r="AK18">
        <v>0</v>
      </c>
      <c r="AL18">
        <v>0</v>
      </c>
      <c r="AM18">
        <v>0</v>
      </c>
      <c r="AN18">
        <v>0</v>
      </c>
      <c r="AO18">
        <v>0</v>
      </c>
      <c r="AP18">
        <v>0</v>
      </c>
      <c r="AQ18">
        <v>0</v>
      </c>
      <c r="AR18">
        <v>0</v>
      </c>
    </row>
    <row r="19" spans="1:44" x14ac:dyDescent="0.2">
      <c r="A19">
        <f>ROW(Source!A28)</f>
        <v>28</v>
      </c>
      <c r="B19">
        <v>31376087</v>
      </c>
      <c r="C19">
        <v>31376082</v>
      </c>
      <c r="D19">
        <v>29329801</v>
      </c>
      <c r="E19">
        <v>1</v>
      </c>
      <c r="F19">
        <v>1</v>
      </c>
      <c r="G19">
        <v>1</v>
      </c>
      <c r="H19">
        <v>2</v>
      </c>
      <c r="I19" t="s">
        <v>234</v>
      </c>
      <c r="J19" t="s">
        <v>235</v>
      </c>
      <c r="K19" t="s">
        <v>236</v>
      </c>
      <c r="L19">
        <v>1368</v>
      </c>
      <c r="N19">
        <v>1011</v>
      </c>
      <c r="O19" t="s">
        <v>202</v>
      </c>
      <c r="P19" t="s">
        <v>202</v>
      </c>
      <c r="Q19">
        <v>1</v>
      </c>
      <c r="X19">
        <v>30.23</v>
      </c>
      <c r="Y19">
        <v>0</v>
      </c>
      <c r="Z19">
        <v>2.08</v>
      </c>
      <c r="AA19">
        <v>0</v>
      </c>
      <c r="AB19">
        <v>0</v>
      </c>
      <c r="AC19">
        <v>0</v>
      </c>
      <c r="AD19">
        <v>1</v>
      </c>
      <c r="AE19">
        <v>0</v>
      </c>
      <c r="AF19" t="s">
        <v>3</v>
      </c>
      <c r="AG19">
        <v>30.23</v>
      </c>
      <c r="AH19">
        <v>2</v>
      </c>
      <c r="AI19">
        <v>31376087</v>
      </c>
      <c r="AJ19">
        <v>19</v>
      </c>
      <c r="AK19">
        <v>0</v>
      </c>
      <c r="AL19">
        <v>0</v>
      </c>
      <c r="AM19">
        <v>0</v>
      </c>
      <c r="AN19">
        <v>0</v>
      </c>
      <c r="AO19">
        <v>0</v>
      </c>
      <c r="AP19">
        <v>0</v>
      </c>
      <c r="AQ19">
        <v>0</v>
      </c>
      <c r="AR19">
        <v>0</v>
      </c>
    </row>
    <row r="20" spans="1:44" x14ac:dyDescent="0.2">
      <c r="A20">
        <f>ROW(Source!A28)</f>
        <v>28</v>
      </c>
      <c r="B20">
        <v>31376088</v>
      </c>
      <c r="C20">
        <v>31376082</v>
      </c>
      <c r="D20">
        <v>29330134</v>
      </c>
      <c r="E20">
        <v>1</v>
      </c>
      <c r="F20">
        <v>1</v>
      </c>
      <c r="G20">
        <v>1</v>
      </c>
      <c r="H20">
        <v>2</v>
      </c>
      <c r="I20" t="s">
        <v>199</v>
      </c>
      <c r="J20" t="s">
        <v>200</v>
      </c>
      <c r="K20" t="s">
        <v>201</v>
      </c>
      <c r="L20">
        <v>1368</v>
      </c>
      <c r="N20">
        <v>1011</v>
      </c>
      <c r="O20" t="s">
        <v>202</v>
      </c>
      <c r="P20" t="s">
        <v>202</v>
      </c>
      <c r="Q20">
        <v>1</v>
      </c>
      <c r="X20">
        <v>3.57</v>
      </c>
      <c r="Y20">
        <v>0</v>
      </c>
      <c r="Z20">
        <v>87.17</v>
      </c>
      <c r="AA20">
        <v>11.6</v>
      </c>
      <c r="AB20">
        <v>0</v>
      </c>
      <c r="AC20">
        <v>0</v>
      </c>
      <c r="AD20">
        <v>1</v>
      </c>
      <c r="AE20">
        <v>0</v>
      </c>
      <c r="AF20" t="s">
        <v>3</v>
      </c>
      <c r="AG20">
        <v>3.57</v>
      </c>
      <c r="AH20">
        <v>2</v>
      </c>
      <c r="AI20">
        <v>31376088</v>
      </c>
      <c r="AJ20">
        <v>20</v>
      </c>
      <c r="AK20">
        <v>0</v>
      </c>
      <c r="AL20">
        <v>0</v>
      </c>
      <c r="AM20">
        <v>0</v>
      </c>
      <c r="AN20">
        <v>0</v>
      </c>
      <c r="AO20">
        <v>0</v>
      </c>
      <c r="AP20">
        <v>0</v>
      </c>
      <c r="AQ20">
        <v>0</v>
      </c>
      <c r="AR20">
        <v>0</v>
      </c>
    </row>
    <row r="21" spans="1:44" x14ac:dyDescent="0.2">
      <c r="A21">
        <f>ROW(Source!A28)</f>
        <v>28</v>
      </c>
      <c r="B21">
        <v>31376089</v>
      </c>
      <c r="C21">
        <v>31376082</v>
      </c>
      <c r="D21">
        <v>29266048</v>
      </c>
      <c r="E21">
        <v>1</v>
      </c>
      <c r="F21">
        <v>1</v>
      </c>
      <c r="G21">
        <v>1</v>
      </c>
      <c r="H21">
        <v>3</v>
      </c>
      <c r="I21" t="s">
        <v>237</v>
      </c>
      <c r="J21" t="s">
        <v>238</v>
      </c>
      <c r="K21" t="s">
        <v>239</v>
      </c>
      <c r="L21">
        <v>1301</v>
      </c>
      <c r="N21">
        <v>1003</v>
      </c>
      <c r="O21" t="s">
        <v>240</v>
      </c>
      <c r="P21" t="s">
        <v>240</v>
      </c>
      <c r="Q21">
        <v>1</v>
      </c>
      <c r="X21">
        <v>347</v>
      </c>
      <c r="Y21">
        <v>6.4</v>
      </c>
      <c r="Z21">
        <v>0</v>
      </c>
      <c r="AA21">
        <v>0</v>
      </c>
      <c r="AB21">
        <v>0</v>
      </c>
      <c r="AC21">
        <v>0</v>
      </c>
      <c r="AD21">
        <v>1</v>
      </c>
      <c r="AE21">
        <v>0</v>
      </c>
      <c r="AF21" t="s">
        <v>3</v>
      </c>
      <c r="AG21">
        <v>347</v>
      </c>
      <c r="AH21">
        <v>2</v>
      </c>
      <c r="AI21">
        <v>31376089</v>
      </c>
      <c r="AJ21">
        <v>21</v>
      </c>
      <c r="AK21">
        <v>0</v>
      </c>
      <c r="AL21">
        <v>0</v>
      </c>
      <c r="AM21">
        <v>0</v>
      </c>
      <c r="AN21">
        <v>0</v>
      </c>
      <c r="AO21">
        <v>0</v>
      </c>
      <c r="AP21">
        <v>0</v>
      </c>
      <c r="AQ21">
        <v>0</v>
      </c>
      <c r="AR21">
        <v>0</v>
      </c>
    </row>
    <row r="22" spans="1:44" x14ac:dyDescent="0.2">
      <c r="A22">
        <f>ROW(Source!A28)</f>
        <v>28</v>
      </c>
      <c r="B22">
        <v>31376090</v>
      </c>
      <c r="C22">
        <v>31376082</v>
      </c>
      <c r="D22">
        <v>29266049</v>
      </c>
      <c r="E22">
        <v>1</v>
      </c>
      <c r="F22">
        <v>1</v>
      </c>
      <c r="G22">
        <v>1</v>
      </c>
      <c r="H22">
        <v>3</v>
      </c>
      <c r="I22" t="s">
        <v>241</v>
      </c>
      <c r="J22" t="s">
        <v>242</v>
      </c>
      <c r="K22" t="s">
        <v>243</v>
      </c>
      <c r="L22">
        <v>1301</v>
      </c>
      <c r="N22">
        <v>1003</v>
      </c>
      <c r="O22" t="s">
        <v>240</v>
      </c>
      <c r="P22" t="s">
        <v>240</v>
      </c>
      <c r="Q22">
        <v>1</v>
      </c>
      <c r="X22">
        <v>71</v>
      </c>
      <c r="Y22">
        <v>7.99</v>
      </c>
      <c r="Z22">
        <v>0</v>
      </c>
      <c r="AA22">
        <v>0</v>
      </c>
      <c r="AB22">
        <v>0</v>
      </c>
      <c r="AC22">
        <v>0</v>
      </c>
      <c r="AD22">
        <v>1</v>
      </c>
      <c r="AE22">
        <v>0</v>
      </c>
      <c r="AF22" t="s">
        <v>3</v>
      </c>
      <c r="AG22">
        <v>71</v>
      </c>
      <c r="AH22">
        <v>2</v>
      </c>
      <c r="AI22">
        <v>31376090</v>
      </c>
      <c r="AJ22">
        <v>22</v>
      </c>
      <c r="AK22">
        <v>0</v>
      </c>
      <c r="AL22">
        <v>0</v>
      </c>
      <c r="AM22">
        <v>0</v>
      </c>
      <c r="AN22">
        <v>0</v>
      </c>
      <c r="AO22">
        <v>0</v>
      </c>
      <c r="AP22">
        <v>0</v>
      </c>
      <c r="AQ22">
        <v>0</v>
      </c>
      <c r="AR22">
        <v>0</v>
      </c>
    </row>
    <row r="23" spans="1:44" x14ac:dyDescent="0.2">
      <c r="A23">
        <f>ROW(Source!A28)</f>
        <v>28</v>
      </c>
      <c r="B23">
        <v>31376091</v>
      </c>
      <c r="C23">
        <v>31376082</v>
      </c>
      <c r="D23">
        <v>29263917</v>
      </c>
      <c r="E23">
        <v>1</v>
      </c>
      <c r="F23">
        <v>1</v>
      </c>
      <c r="G23">
        <v>1</v>
      </c>
      <c r="H23">
        <v>3</v>
      </c>
      <c r="I23" t="s">
        <v>244</v>
      </c>
      <c r="J23" t="s">
        <v>245</v>
      </c>
      <c r="K23" t="s">
        <v>246</v>
      </c>
      <c r="L23">
        <v>1354</v>
      </c>
      <c r="N23">
        <v>1010</v>
      </c>
      <c r="O23" t="s">
        <v>247</v>
      </c>
      <c r="P23" t="s">
        <v>247</v>
      </c>
      <c r="Q23">
        <v>1</v>
      </c>
      <c r="X23">
        <v>92</v>
      </c>
      <c r="Y23">
        <v>67.209999999999994</v>
      </c>
      <c r="Z23">
        <v>0</v>
      </c>
      <c r="AA23">
        <v>0</v>
      </c>
      <c r="AB23">
        <v>0</v>
      </c>
      <c r="AC23">
        <v>0</v>
      </c>
      <c r="AD23">
        <v>1</v>
      </c>
      <c r="AE23">
        <v>0</v>
      </c>
      <c r="AF23" t="s">
        <v>3</v>
      </c>
      <c r="AG23">
        <v>92</v>
      </c>
      <c r="AH23">
        <v>2</v>
      </c>
      <c r="AI23">
        <v>31376091</v>
      </c>
      <c r="AJ23">
        <v>23</v>
      </c>
      <c r="AK23">
        <v>0</v>
      </c>
      <c r="AL23">
        <v>0</v>
      </c>
      <c r="AM23">
        <v>0</v>
      </c>
      <c r="AN23">
        <v>0</v>
      </c>
      <c r="AO23">
        <v>0</v>
      </c>
      <c r="AP23">
        <v>0</v>
      </c>
      <c r="AQ23">
        <v>0</v>
      </c>
      <c r="AR23">
        <v>0</v>
      </c>
    </row>
    <row r="24" spans="1:44" x14ac:dyDescent="0.2">
      <c r="A24">
        <f>ROW(Source!A28)</f>
        <v>28</v>
      </c>
      <c r="B24">
        <v>31376092</v>
      </c>
      <c r="C24">
        <v>31376082</v>
      </c>
      <c r="D24">
        <v>29266051</v>
      </c>
      <c r="E24">
        <v>1</v>
      </c>
      <c r="F24">
        <v>1</v>
      </c>
      <c r="G24">
        <v>1</v>
      </c>
      <c r="H24">
        <v>3</v>
      </c>
      <c r="I24" t="s">
        <v>248</v>
      </c>
      <c r="J24" t="s">
        <v>249</v>
      </c>
      <c r="K24" t="s">
        <v>250</v>
      </c>
      <c r="L24">
        <v>1302</v>
      </c>
      <c r="N24">
        <v>1003</v>
      </c>
      <c r="O24" t="s">
        <v>251</v>
      </c>
      <c r="P24" t="s">
        <v>251</v>
      </c>
      <c r="Q24">
        <v>10</v>
      </c>
      <c r="X24">
        <v>21.4</v>
      </c>
      <c r="Y24">
        <v>64.2</v>
      </c>
      <c r="Z24">
        <v>0</v>
      </c>
      <c r="AA24">
        <v>0</v>
      </c>
      <c r="AB24">
        <v>0</v>
      </c>
      <c r="AC24">
        <v>0</v>
      </c>
      <c r="AD24">
        <v>1</v>
      </c>
      <c r="AE24">
        <v>0</v>
      </c>
      <c r="AF24" t="s">
        <v>3</v>
      </c>
      <c r="AG24">
        <v>21.4</v>
      </c>
      <c r="AH24">
        <v>2</v>
      </c>
      <c r="AI24">
        <v>31376092</v>
      </c>
      <c r="AJ24">
        <v>24</v>
      </c>
      <c r="AK24">
        <v>0</v>
      </c>
      <c r="AL24">
        <v>0</v>
      </c>
      <c r="AM24">
        <v>0</v>
      </c>
      <c r="AN24">
        <v>0</v>
      </c>
      <c r="AO24">
        <v>0</v>
      </c>
      <c r="AP24">
        <v>0</v>
      </c>
      <c r="AQ24">
        <v>0</v>
      </c>
      <c r="AR24">
        <v>0</v>
      </c>
    </row>
    <row r="25" spans="1:44" x14ac:dyDescent="0.2">
      <c r="A25">
        <f>ROW(Source!A28)</f>
        <v>28</v>
      </c>
      <c r="B25">
        <v>31376093</v>
      </c>
      <c r="C25">
        <v>31376082</v>
      </c>
      <c r="D25">
        <v>29269644</v>
      </c>
      <c r="E25">
        <v>1</v>
      </c>
      <c r="F25">
        <v>1</v>
      </c>
      <c r="G25">
        <v>1</v>
      </c>
      <c r="H25">
        <v>3</v>
      </c>
      <c r="I25" t="s">
        <v>252</v>
      </c>
      <c r="J25" t="s">
        <v>253</v>
      </c>
      <c r="K25" t="s">
        <v>254</v>
      </c>
      <c r="L25">
        <v>1358</v>
      </c>
      <c r="N25">
        <v>1010</v>
      </c>
      <c r="O25" t="s">
        <v>255</v>
      </c>
      <c r="P25" t="s">
        <v>255</v>
      </c>
      <c r="Q25">
        <v>10</v>
      </c>
      <c r="X25">
        <v>61.2</v>
      </c>
      <c r="Y25">
        <v>7.22</v>
      </c>
      <c r="Z25">
        <v>0</v>
      </c>
      <c r="AA25">
        <v>0</v>
      </c>
      <c r="AB25">
        <v>0</v>
      </c>
      <c r="AC25">
        <v>0</v>
      </c>
      <c r="AD25">
        <v>1</v>
      </c>
      <c r="AE25">
        <v>0</v>
      </c>
      <c r="AF25" t="s">
        <v>3</v>
      </c>
      <c r="AG25">
        <v>61.2</v>
      </c>
      <c r="AH25">
        <v>2</v>
      </c>
      <c r="AI25">
        <v>31376093</v>
      </c>
      <c r="AJ25">
        <v>25</v>
      </c>
      <c r="AK25">
        <v>0</v>
      </c>
      <c r="AL25">
        <v>0</v>
      </c>
      <c r="AM25">
        <v>0</v>
      </c>
      <c r="AN25">
        <v>0</v>
      </c>
      <c r="AO25">
        <v>0</v>
      </c>
      <c r="AP25">
        <v>0</v>
      </c>
      <c r="AQ25">
        <v>0</v>
      </c>
      <c r="AR25">
        <v>0</v>
      </c>
    </row>
    <row r="26" spans="1:44" x14ac:dyDescent="0.2">
      <c r="A26">
        <f>ROW(Source!A28)</f>
        <v>28</v>
      </c>
      <c r="B26">
        <v>31376094</v>
      </c>
      <c r="C26">
        <v>31376082</v>
      </c>
      <c r="D26">
        <v>29270418</v>
      </c>
      <c r="E26">
        <v>1</v>
      </c>
      <c r="F26">
        <v>1</v>
      </c>
      <c r="G26">
        <v>1</v>
      </c>
      <c r="H26">
        <v>3</v>
      </c>
      <c r="I26" t="s">
        <v>256</v>
      </c>
      <c r="J26" t="s">
        <v>257</v>
      </c>
      <c r="K26" t="s">
        <v>258</v>
      </c>
      <c r="L26">
        <v>1355</v>
      </c>
      <c r="N26">
        <v>1010</v>
      </c>
      <c r="O26" t="s">
        <v>259</v>
      </c>
      <c r="P26" t="s">
        <v>259</v>
      </c>
      <c r="Q26">
        <v>100</v>
      </c>
      <c r="X26">
        <v>8</v>
      </c>
      <c r="Y26">
        <v>50</v>
      </c>
      <c r="Z26">
        <v>0</v>
      </c>
      <c r="AA26">
        <v>0</v>
      </c>
      <c r="AB26">
        <v>0</v>
      </c>
      <c r="AC26">
        <v>0</v>
      </c>
      <c r="AD26">
        <v>1</v>
      </c>
      <c r="AE26">
        <v>0</v>
      </c>
      <c r="AF26" t="s">
        <v>3</v>
      </c>
      <c r="AG26">
        <v>8</v>
      </c>
      <c r="AH26">
        <v>2</v>
      </c>
      <c r="AI26">
        <v>31376094</v>
      </c>
      <c r="AJ26">
        <v>26</v>
      </c>
      <c r="AK26">
        <v>0</v>
      </c>
      <c r="AL26">
        <v>0</v>
      </c>
      <c r="AM26">
        <v>0</v>
      </c>
      <c r="AN26">
        <v>0</v>
      </c>
      <c r="AO26">
        <v>0</v>
      </c>
      <c r="AP26">
        <v>0</v>
      </c>
      <c r="AQ26">
        <v>0</v>
      </c>
      <c r="AR26">
        <v>0</v>
      </c>
    </row>
    <row r="27" spans="1:44" x14ac:dyDescent="0.2">
      <c r="A27">
        <f>ROW(Source!A28)</f>
        <v>28</v>
      </c>
      <c r="B27">
        <v>31376095</v>
      </c>
      <c r="C27">
        <v>31376082</v>
      </c>
      <c r="D27">
        <v>29285080</v>
      </c>
      <c r="E27">
        <v>1</v>
      </c>
      <c r="F27">
        <v>1</v>
      </c>
      <c r="G27">
        <v>1</v>
      </c>
      <c r="H27">
        <v>3</v>
      </c>
      <c r="I27" t="s">
        <v>260</v>
      </c>
      <c r="J27" t="s">
        <v>261</v>
      </c>
      <c r="K27" t="s">
        <v>262</v>
      </c>
      <c r="L27">
        <v>1327</v>
      </c>
      <c r="N27">
        <v>1005</v>
      </c>
      <c r="O27" t="s">
        <v>213</v>
      </c>
      <c r="P27" t="s">
        <v>213</v>
      </c>
      <c r="Q27">
        <v>1</v>
      </c>
      <c r="X27">
        <v>100</v>
      </c>
      <c r="Y27">
        <v>3049.86</v>
      </c>
      <c r="Z27">
        <v>0</v>
      </c>
      <c r="AA27">
        <v>0</v>
      </c>
      <c r="AB27">
        <v>0</v>
      </c>
      <c r="AC27">
        <v>0</v>
      </c>
      <c r="AD27">
        <v>1</v>
      </c>
      <c r="AE27">
        <v>0</v>
      </c>
      <c r="AF27" t="s">
        <v>3</v>
      </c>
      <c r="AG27">
        <v>100</v>
      </c>
      <c r="AH27">
        <v>2</v>
      </c>
      <c r="AI27">
        <v>31376095</v>
      </c>
      <c r="AJ27">
        <v>27</v>
      </c>
      <c r="AK27">
        <v>0</v>
      </c>
      <c r="AL27">
        <v>0</v>
      </c>
      <c r="AM27">
        <v>0</v>
      </c>
      <c r="AN27">
        <v>0</v>
      </c>
      <c r="AO27">
        <v>0</v>
      </c>
      <c r="AP27">
        <v>0</v>
      </c>
      <c r="AQ27">
        <v>0</v>
      </c>
      <c r="AR27">
        <v>0</v>
      </c>
    </row>
    <row r="28" spans="1:44" x14ac:dyDescent="0.2">
      <c r="A28">
        <f>ROW(Source!A29)</f>
        <v>29</v>
      </c>
      <c r="B28">
        <v>31376097</v>
      </c>
      <c r="C28">
        <v>31376096</v>
      </c>
      <c r="D28">
        <v>18407150</v>
      </c>
      <c r="E28">
        <v>1</v>
      </c>
      <c r="F28">
        <v>1</v>
      </c>
      <c r="G28">
        <v>1</v>
      </c>
      <c r="H28">
        <v>1</v>
      </c>
      <c r="I28" t="s">
        <v>263</v>
      </c>
      <c r="J28" t="s">
        <v>3</v>
      </c>
      <c r="K28" t="s">
        <v>264</v>
      </c>
      <c r="L28">
        <v>1369</v>
      </c>
      <c r="N28">
        <v>1013</v>
      </c>
      <c r="O28" t="s">
        <v>198</v>
      </c>
      <c r="P28" t="s">
        <v>198</v>
      </c>
      <c r="Q28">
        <v>1</v>
      </c>
      <c r="X28">
        <v>112.75</v>
      </c>
      <c r="Y28">
        <v>0</v>
      </c>
      <c r="Z28">
        <v>0</v>
      </c>
      <c r="AA28">
        <v>0</v>
      </c>
      <c r="AB28">
        <v>8.5299999999999994</v>
      </c>
      <c r="AC28">
        <v>0</v>
      </c>
      <c r="AD28">
        <v>1</v>
      </c>
      <c r="AE28">
        <v>1</v>
      </c>
      <c r="AF28" t="s">
        <v>3</v>
      </c>
      <c r="AG28">
        <v>112.75</v>
      </c>
      <c r="AH28">
        <v>2</v>
      </c>
      <c r="AI28">
        <v>31376097</v>
      </c>
      <c r="AJ28">
        <v>28</v>
      </c>
      <c r="AK28">
        <v>0</v>
      </c>
      <c r="AL28">
        <v>0</v>
      </c>
      <c r="AM28">
        <v>0</v>
      </c>
      <c r="AN28">
        <v>0</v>
      </c>
      <c r="AO28">
        <v>0</v>
      </c>
      <c r="AP28">
        <v>0</v>
      </c>
      <c r="AQ28">
        <v>0</v>
      </c>
      <c r="AR28">
        <v>0</v>
      </c>
    </row>
    <row r="29" spans="1:44" x14ac:dyDescent="0.2">
      <c r="A29">
        <f>ROW(Source!A29)</f>
        <v>29</v>
      </c>
      <c r="B29">
        <v>31376098</v>
      </c>
      <c r="C29">
        <v>31376096</v>
      </c>
      <c r="D29">
        <v>121548</v>
      </c>
      <c r="E29">
        <v>1</v>
      </c>
      <c r="F29">
        <v>1</v>
      </c>
      <c r="G29">
        <v>1</v>
      </c>
      <c r="H29">
        <v>1</v>
      </c>
      <c r="I29" t="s">
        <v>23</v>
      </c>
      <c r="J29" t="s">
        <v>3</v>
      </c>
      <c r="K29" t="s">
        <v>216</v>
      </c>
      <c r="L29">
        <v>608254</v>
      </c>
      <c r="N29">
        <v>1013</v>
      </c>
      <c r="O29" t="s">
        <v>217</v>
      </c>
      <c r="P29" t="s">
        <v>217</v>
      </c>
      <c r="Q29">
        <v>1</v>
      </c>
      <c r="X29">
        <v>0.2</v>
      </c>
      <c r="Y29">
        <v>0</v>
      </c>
      <c r="Z29">
        <v>0</v>
      </c>
      <c r="AA29">
        <v>0</v>
      </c>
      <c r="AB29">
        <v>0</v>
      </c>
      <c r="AC29">
        <v>0</v>
      </c>
      <c r="AD29">
        <v>1</v>
      </c>
      <c r="AE29">
        <v>2</v>
      </c>
      <c r="AF29" t="s">
        <v>3</v>
      </c>
      <c r="AG29">
        <v>0.2</v>
      </c>
      <c r="AH29">
        <v>2</v>
      </c>
      <c r="AI29">
        <v>31376098</v>
      </c>
      <c r="AJ29">
        <v>29</v>
      </c>
      <c r="AK29">
        <v>0</v>
      </c>
      <c r="AL29">
        <v>0</v>
      </c>
      <c r="AM29">
        <v>0</v>
      </c>
      <c r="AN29">
        <v>0</v>
      </c>
      <c r="AO29">
        <v>0</v>
      </c>
      <c r="AP29">
        <v>0</v>
      </c>
      <c r="AQ29">
        <v>0</v>
      </c>
      <c r="AR29">
        <v>0</v>
      </c>
    </row>
    <row r="30" spans="1:44" x14ac:dyDescent="0.2">
      <c r="A30">
        <f>ROW(Source!A29)</f>
        <v>29</v>
      </c>
      <c r="B30">
        <v>31376099</v>
      </c>
      <c r="C30">
        <v>31376096</v>
      </c>
      <c r="D30">
        <v>29327489</v>
      </c>
      <c r="E30">
        <v>1</v>
      </c>
      <c r="F30">
        <v>1</v>
      </c>
      <c r="G30">
        <v>1</v>
      </c>
      <c r="H30">
        <v>2</v>
      </c>
      <c r="I30" t="s">
        <v>265</v>
      </c>
      <c r="J30" t="s">
        <v>266</v>
      </c>
      <c r="K30" t="s">
        <v>267</v>
      </c>
      <c r="L30">
        <v>1368</v>
      </c>
      <c r="N30">
        <v>1011</v>
      </c>
      <c r="O30" t="s">
        <v>202</v>
      </c>
      <c r="P30" t="s">
        <v>202</v>
      </c>
      <c r="Q30">
        <v>1</v>
      </c>
      <c r="X30">
        <v>0.2</v>
      </c>
      <c r="Y30">
        <v>0</v>
      </c>
      <c r="Z30">
        <v>86.4</v>
      </c>
      <c r="AA30">
        <v>13.5</v>
      </c>
      <c r="AB30">
        <v>0</v>
      </c>
      <c r="AC30">
        <v>0</v>
      </c>
      <c r="AD30">
        <v>1</v>
      </c>
      <c r="AE30">
        <v>0</v>
      </c>
      <c r="AF30" t="s">
        <v>3</v>
      </c>
      <c r="AG30">
        <v>0.2</v>
      </c>
      <c r="AH30">
        <v>2</v>
      </c>
      <c r="AI30">
        <v>31376099</v>
      </c>
      <c r="AJ30">
        <v>30</v>
      </c>
      <c r="AK30">
        <v>0</v>
      </c>
      <c r="AL30">
        <v>0</v>
      </c>
      <c r="AM30">
        <v>0</v>
      </c>
      <c r="AN30">
        <v>0</v>
      </c>
      <c r="AO30">
        <v>0</v>
      </c>
      <c r="AP30">
        <v>0</v>
      </c>
      <c r="AQ30">
        <v>0</v>
      </c>
      <c r="AR30">
        <v>0</v>
      </c>
    </row>
    <row r="31" spans="1:44" x14ac:dyDescent="0.2">
      <c r="A31">
        <f>ROW(Source!A29)</f>
        <v>29</v>
      </c>
      <c r="B31">
        <v>31376100</v>
      </c>
      <c r="C31">
        <v>31376096</v>
      </c>
      <c r="D31">
        <v>29330134</v>
      </c>
      <c r="E31">
        <v>1</v>
      </c>
      <c r="F31">
        <v>1</v>
      </c>
      <c r="G31">
        <v>1</v>
      </c>
      <c r="H31">
        <v>2</v>
      </c>
      <c r="I31" t="s">
        <v>199</v>
      </c>
      <c r="J31" t="s">
        <v>200</v>
      </c>
      <c r="K31" t="s">
        <v>201</v>
      </c>
      <c r="L31">
        <v>1368</v>
      </c>
      <c r="N31">
        <v>1011</v>
      </c>
      <c r="O31" t="s">
        <v>202</v>
      </c>
      <c r="P31" t="s">
        <v>202</v>
      </c>
      <c r="Q31">
        <v>1</v>
      </c>
      <c r="X31">
        <v>7.0000000000000007E-2</v>
      </c>
      <c r="Y31">
        <v>0</v>
      </c>
      <c r="Z31">
        <v>87.17</v>
      </c>
      <c r="AA31">
        <v>11.6</v>
      </c>
      <c r="AB31">
        <v>0</v>
      </c>
      <c r="AC31">
        <v>0</v>
      </c>
      <c r="AD31">
        <v>1</v>
      </c>
      <c r="AE31">
        <v>0</v>
      </c>
      <c r="AF31" t="s">
        <v>3</v>
      </c>
      <c r="AG31">
        <v>7.0000000000000007E-2</v>
      </c>
      <c r="AH31">
        <v>2</v>
      </c>
      <c r="AI31">
        <v>31376100</v>
      </c>
      <c r="AJ31">
        <v>31</v>
      </c>
      <c r="AK31">
        <v>0</v>
      </c>
      <c r="AL31">
        <v>0</v>
      </c>
      <c r="AM31">
        <v>0</v>
      </c>
      <c r="AN31">
        <v>0</v>
      </c>
      <c r="AO31">
        <v>0</v>
      </c>
      <c r="AP31">
        <v>0</v>
      </c>
      <c r="AQ31">
        <v>0</v>
      </c>
      <c r="AR31">
        <v>0</v>
      </c>
    </row>
    <row r="32" spans="1:44" x14ac:dyDescent="0.2">
      <c r="A32">
        <f>ROW(Source!A29)</f>
        <v>29</v>
      </c>
      <c r="B32">
        <v>31376101</v>
      </c>
      <c r="C32">
        <v>31376096</v>
      </c>
      <c r="D32">
        <v>29269616</v>
      </c>
      <c r="E32">
        <v>1</v>
      </c>
      <c r="F32">
        <v>1</v>
      </c>
      <c r="G32">
        <v>1</v>
      </c>
      <c r="H32">
        <v>3</v>
      </c>
      <c r="I32" t="s">
        <v>268</v>
      </c>
      <c r="J32" t="s">
        <v>269</v>
      </c>
      <c r="K32" t="s">
        <v>270</v>
      </c>
      <c r="L32">
        <v>1348</v>
      </c>
      <c r="N32">
        <v>1009</v>
      </c>
      <c r="O32" t="s">
        <v>41</v>
      </c>
      <c r="P32" t="s">
        <v>41</v>
      </c>
      <c r="Q32">
        <v>1000</v>
      </c>
      <c r="X32">
        <v>4.0000000000000001E-3</v>
      </c>
      <c r="Y32">
        <v>8475</v>
      </c>
      <c r="Z32">
        <v>0</v>
      </c>
      <c r="AA32">
        <v>0</v>
      </c>
      <c r="AB32">
        <v>0</v>
      </c>
      <c r="AC32">
        <v>0</v>
      </c>
      <c r="AD32">
        <v>1</v>
      </c>
      <c r="AE32">
        <v>0</v>
      </c>
      <c r="AF32" t="s">
        <v>3</v>
      </c>
      <c r="AG32">
        <v>4.0000000000000001E-3</v>
      </c>
      <c r="AH32">
        <v>2</v>
      </c>
      <c r="AI32">
        <v>31376101</v>
      </c>
      <c r="AJ32">
        <v>32</v>
      </c>
      <c r="AK32">
        <v>0</v>
      </c>
      <c r="AL32">
        <v>0</v>
      </c>
      <c r="AM32">
        <v>0</v>
      </c>
      <c r="AN32">
        <v>0</v>
      </c>
      <c r="AO32">
        <v>0</v>
      </c>
      <c r="AP32">
        <v>0</v>
      </c>
      <c r="AQ32">
        <v>0</v>
      </c>
      <c r="AR32">
        <v>0</v>
      </c>
    </row>
    <row r="33" spans="1:44" x14ac:dyDescent="0.2">
      <c r="A33">
        <f>ROW(Source!A29)</f>
        <v>29</v>
      </c>
      <c r="B33">
        <v>31376102</v>
      </c>
      <c r="C33">
        <v>31376096</v>
      </c>
      <c r="D33">
        <v>29268828</v>
      </c>
      <c r="E33">
        <v>1</v>
      </c>
      <c r="F33">
        <v>1</v>
      </c>
      <c r="G33">
        <v>1</v>
      </c>
      <c r="H33">
        <v>3</v>
      </c>
      <c r="I33" t="s">
        <v>271</v>
      </c>
      <c r="J33" t="s">
        <v>272</v>
      </c>
      <c r="K33" t="s">
        <v>273</v>
      </c>
      <c r="L33">
        <v>1348</v>
      </c>
      <c r="N33">
        <v>1009</v>
      </c>
      <c r="O33" t="s">
        <v>41</v>
      </c>
      <c r="P33" t="s">
        <v>41</v>
      </c>
      <c r="Q33">
        <v>1000</v>
      </c>
      <c r="X33">
        <v>1.2E-2</v>
      </c>
      <c r="Y33">
        <v>8190.01</v>
      </c>
      <c r="Z33">
        <v>0</v>
      </c>
      <c r="AA33">
        <v>0</v>
      </c>
      <c r="AB33">
        <v>0</v>
      </c>
      <c r="AC33">
        <v>0</v>
      </c>
      <c r="AD33">
        <v>1</v>
      </c>
      <c r="AE33">
        <v>0</v>
      </c>
      <c r="AF33" t="s">
        <v>3</v>
      </c>
      <c r="AG33">
        <v>1.2E-2</v>
      </c>
      <c r="AH33">
        <v>2</v>
      </c>
      <c r="AI33">
        <v>31376102</v>
      </c>
      <c r="AJ33">
        <v>33</v>
      </c>
      <c r="AK33">
        <v>0</v>
      </c>
      <c r="AL33">
        <v>0</v>
      </c>
      <c r="AM33">
        <v>0</v>
      </c>
      <c r="AN33">
        <v>0</v>
      </c>
      <c r="AO33">
        <v>0</v>
      </c>
      <c r="AP33">
        <v>0</v>
      </c>
      <c r="AQ33">
        <v>0</v>
      </c>
      <c r="AR33">
        <v>0</v>
      </c>
    </row>
    <row r="34" spans="1:44" x14ac:dyDescent="0.2">
      <c r="A34">
        <f>ROW(Source!A29)</f>
        <v>29</v>
      </c>
      <c r="B34">
        <v>31376103</v>
      </c>
      <c r="C34">
        <v>31376096</v>
      </c>
      <c r="D34">
        <v>29268389</v>
      </c>
      <c r="E34">
        <v>1</v>
      </c>
      <c r="F34">
        <v>1</v>
      </c>
      <c r="G34">
        <v>1</v>
      </c>
      <c r="H34">
        <v>3</v>
      </c>
      <c r="I34" t="s">
        <v>274</v>
      </c>
      <c r="J34" t="s">
        <v>275</v>
      </c>
      <c r="K34" t="s">
        <v>276</v>
      </c>
      <c r="L34">
        <v>1348</v>
      </c>
      <c r="N34">
        <v>1009</v>
      </c>
      <c r="O34" t="s">
        <v>41</v>
      </c>
      <c r="P34" t="s">
        <v>41</v>
      </c>
      <c r="Q34">
        <v>1000</v>
      </c>
      <c r="X34">
        <v>0.78200000000000003</v>
      </c>
      <c r="Y34">
        <v>11200.01</v>
      </c>
      <c r="Z34">
        <v>0</v>
      </c>
      <c r="AA34">
        <v>0</v>
      </c>
      <c r="AB34">
        <v>0</v>
      </c>
      <c r="AC34">
        <v>0</v>
      </c>
      <c r="AD34">
        <v>1</v>
      </c>
      <c r="AE34">
        <v>0</v>
      </c>
      <c r="AF34" t="s">
        <v>3</v>
      </c>
      <c r="AG34">
        <v>0.78200000000000003</v>
      </c>
      <c r="AH34">
        <v>2</v>
      </c>
      <c r="AI34">
        <v>31376103</v>
      </c>
      <c r="AJ34">
        <v>34</v>
      </c>
      <c r="AK34">
        <v>0</v>
      </c>
      <c r="AL34">
        <v>0</v>
      </c>
      <c r="AM34">
        <v>0</v>
      </c>
      <c r="AN34">
        <v>0</v>
      </c>
      <c r="AO34">
        <v>0</v>
      </c>
      <c r="AP34">
        <v>0</v>
      </c>
      <c r="AQ34">
        <v>0</v>
      </c>
      <c r="AR34">
        <v>0</v>
      </c>
    </row>
    <row r="35" spans="1:44" x14ac:dyDescent="0.2">
      <c r="A35">
        <f>ROW(Source!A30)</f>
        <v>30</v>
      </c>
      <c r="B35">
        <v>31376105</v>
      </c>
      <c r="C35">
        <v>31376104</v>
      </c>
      <c r="D35">
        <v>18507573</v>
      </c>
      <c r="E35">
        <v>1</v>
      </c>
      <c r="F35">
        <v>1</v>
      </c>
      <c r="G35">
        <v>1</v>
      </c>
      <c r="H35">
        <v>1</v>
      </c>
      <c r="I35" t="s">
        <v>277</v>
      </c>
      <c r="J35" t="s">
        <v>3</v>
      </c>
      <c r="K35" t="s">
        <v>278</v>
      </c>
      <c r="L35">
        <v>1369</v>
      </c>
      <c r="N35">
        <v>1013</v>
      </c>
      <c r="O35" t="s">
        <v>198</v>
      </c>
      <c r="P35" t="s">
        <v>198</v>
      </c>
      <c r="Q35">
        <v>1</v>
      </c>
      <c r="X35">
        <v>214.32</v>
      </c>
      <c r="Y35">
        <v>0</v>
      </c>
      <c r="Z35">
        <v>0</v>
      </c>
      <c r="AA35">
        <v>0</v>
      </c>
      <c r="AB35">
        <v>7.25</v>
      </c>
      <c r="AC35">
        <v>0</v>
      </c>
      <c r="AD35">
        <v>1</v>
      </c>
      <c r="AE35">
        <v>1</v>
      </c>
      <c r="AF35" t="s">
        <v>3</v>
      </c>
      <c r="AG35">
        <v>214.32</v>
      </c>
      <c r="AH35">
        <v>2</v>
      </c>
      <c r="AI35">
        <v>31376105</v>
      </c>
      <c r="AJ35">
        <v>35</v>
      </c>
      <c r="AK35">
        <v>0</v>
      </c>
      <c r="AL35">
        <v>0</v>
      </c>
      <c r="AM35">
        <v>0</v>
      </c>
      <c r="AN35">
        <v>0</v>
      </c>
      <c r="AO35">
        <v>0</v>
      </c>
      <c r="AP35">
        <v>0</v>
      </c>
      <c r="AQ35">
        <v>0</v>
      </c>
      <c r="AR35">
        <v>0</v>
      </c>
    </row>
    <row r="36" spans="1:44" x14ac:dyDescent="0.2">
      <c r="A36">
        <f>ROW(Source!A30)</f>
        <v>30</v>
      </c>
      <c r="B36">
        <v>31376106</v>
      </c>
      <c r="C36">
        <v>31376104</v>
      </c>
      <c r="D36">
        <v>29319570</v>
      </c>
      <c r="E36">
        <v>1</v>
      </c>
      <c r="F36">
        <v>1</v>
      </c>
      <c r="G36">
        <v>1</v>
      </c>
      <c r="H36">
        <v>3</v>
      </c>
      <c r="I36" t="s">
        <v>39</v>
      </c>
      <c r="J36" t="s">
        <v>42</v>
      </c>
      <c r="K36" t="s">
        <v>40</v>
      </c>
      <c r="L36">
        <v>1348</v>
      </c>
      <c r="N36">
        <v>1009</v>
      </c>
      <c r="O36" t="s">
        <v>41</v>
      </c>
      <c r="P36" t="s">
        <v>41</v>
      </c>
      <c r="Q36">
        <v>1000</v>
      </c>
      <c r="X36">
        <v>100</v>
      </c>
      <c r="Y36">
        <v>0</v>
      </c>
      <c r="Z36">
        <v>0</v>
      </c>
      <c r="AA36">
        <v>0</v>
      </c>
      <c r="AB36">
        <v>0</v>
      </c>
      <c r="AC36">
        <v>0</v>
      </c>
      <c r="AD36">
        <v>0</v>
      </c>
      <c r="AE36">
        <v>0</v>
      </c>
      <c r="AF36" t="s">
        <v>3</v>
      </c>
      <c r="AG36">
        <v>100</v>
      </c>
      <c r="AH36">
        <v>2</v>
      </c>
      <c r="AI36">
        <v>31376106</v>
      </c>
      <c r="AJ36">
        <v>36</v>
      </c>
      <c r="AK36">
        <v>0</v>
      </c>
      <c r="AL36">
        <v>0</v>
      </c>
      <c r="AM36">
        <v>0</v>
      </c>
      <c r="AN36">
        <v>0</v>
      </c>
      <c r="AO36">
        <v>0</v>
      </c>
      <c r="AP36">
        <v>0</v>
      </c>
      <c r="AQ36">
        <v>0</v>
      </c>
      <c r="AR36">
        <v>0</v>
      </c>
    </row>
    <row r="37" spans="1:44" x14ac:dyDescent="0.2">
      <c r="A37">
        <f>ROW(Source!A32)</f>
        <v>32</v>
      </c>
      <c r="B37">
        <v>31376110</v>
      </c>
      <c r="C37">
        <v>31376109</v>
      </c>
      <c r="D37">
        <v>18411568</v>
      </c>
      <c r="E37">
        <v>1</v>
      </c>
      <c r="F37">
        <v>1</v>
      </c>
      <c r="G37">
        <v>1</v>
      </c>
      <c r="H37">
        <v>1</v>
      </c>
      <c r="I37" t="s">
        <v>279</v>
      </c>
      <c r="J37" t="s">
        <v>3</v>
      </c>
      <c r="K37" t="s">
        <v>280</v>
      </c>
      <c r="L37">
        <v>1369</v>
      </c>
      <c r="N37">
        <v>1013</v>
      </c>
      <c r="O37" t="s">
        <v>198</v>
      </c>
      <c r="P37" t="s">
        <v>198</v>
      </c>
      <c r="Q37">
        <v>1</v>
      </c>
      <c r="X37">
        <v>0.57769999999999999</v>
      </c>
      <c r="Y37">
        <v>0</v>
      </c>
      <c r="Z37">
        <v>0</v>
      </c>
      <c r="AA37">
        <v>0</v>
      </c>
      <c r="AB37">
        <v>7.19</v>
      </c>
      <c r="AC37">
        <v>0</v>
      </c>
      <c r="AD37">
        <v>1</v>
      </c>
      <c r="AE37">
        <v>1</v>
      </c>
      <c r="AF37" t="s">
        <v>3</v>
      </c>
      <c r="AG37">
        <v>0.57769999999999999</v>
      </c>
      <c r="AH37">
        <v>2</v>
      </c>
      <c r="AI37">
        <v>31376110</v>
      </c>
      <c r="AJ37">
        <v>37</v>
      </c>
      <c r="AK37">
        <v>0</v>
      </c>
      <c r="AL37">
        <v>0</v>
      </c>
      <c r="AM37">
        <v>0</v>
      </c>
      <c r="AN37">
        <v>0</v>
      </c>
      <c r="AO37">
        <v>0</v>
      </c>
      <c r="AP37">
        <v>0</v>
      </c>
      <c r="AQ37">
        <v>0</v>
      </c>
      <c r="AR37">
        <v>0</v>
      </c>
    </row>
    <row r="38" spans="1:44" x14ac:dyDescent="0.2">
      <c r="A38">
        <f>ROW(Source!A32)</f>
        <v>32</v>
      </c>
      <c r="B38">
        <v>31376111</v>
      </c>
      <c r="C38">
        <v>31376109</v>
      </c>
      <c r="D38">
        <v>29330145</v>
      </c>
      <c r="E38">
        <v>1</v>
      </c>
      <c r="F38">
        <v>1</v>
      </c>
      <c r="G38">
        <v>1</v>
      </c>
      <c r="H38">
        <v>2</v>
      </c>
      <c r="I38" t="s">
        <v>281</v>
      </c>
      <c r="J38" t="s">
        <v>282</v>
      </c>
      <c r="K38" t="s">
        <v>283</v>
      </c>
      <c r="L38">
        <v>1368</v>
      </c>
      <c r="N38">
        <v>1011</v>
      </c>
      <c r="O38" t="s">
        <v>202</v>
      </c>
      <c r="P38" t="s">
        <v>202</v>
      </c>
      <c r="Q38">
        <v>1</v>
      </c>
      <c r="X38">
        <v>0.28999999999999998</v>
      </c>
      <c r="Y38">
        <v>0</v>
      </c>
      <c r="Z38">
        <v>111</v>
      </c>
      <c r="AA38">
        <v>11.6</v>
      </c>
      <c r="AB38">
        <v>0</v>
      </c>
      <c r="AC38">
        <v>0</v>
      </c>
      <c r="AD38">
        <v>1</v>
      </c>
      <c r="AE38">
        <v>0</v>
      </c>
      <c r="AF38" t="s">
        <v>3</v>
      </c>
      <c r="AG38">
        <v>0.28999999999999998</v>
      </c>
      <c r="AH38">
        <v>2</v>
      </c>
      <c r="AI38">
        <v>31376111</v>
      </c>
      <c r="AJ38">
        <v>38</v>
      </c>
      <c r="AK38">
        <v>0</v>
      </c>
      <c r="AL38">
        <v>0</v>
      </c>
      <c r="AM38">
        <v>0</v>
      </c>
      <c r="AN38">
        <v>0</v>
      </c>
      <c r="AO38">
        <v>0</v>
      </c>
      <c r="AP38">
        <v>0</v>
      </c>
      <c r="AQ38">
        <v>0</v>
      </c>
      <c r="AR38">
        <v>0</v>
      </c>
    </row>
  </sheetData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2</vt:i4>
      </vt:variant>
    </vt:vector>
  </HeadingPairs>
  <TitlesOfParts>
    <vt:vector size="7" baseType="lpstr">
      <vt:lpstr>Смета 12 гр. ТЕР МО</vt:lpstr>
      <vt:lpstr>Source</vt:lpstr>
      <vt:lpstr>SourceObSm</vt:lpstr>
      <vt:lpstr>SmtRes</vt:lpstr>
      <vt:lpstr>EtalonRes</vt:lpstr>
      <vt:lpstr>'Смета 12 гр. ТЕР МО'!Заголовки_для_печати</vt:lpstr>
      <vt:lpstr>'Смета 12 гр. ТЕР МО'!Область_печати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RePack by Diakov</cp:lastModifiedBy>
  <cp:lastPrinted>2021-03-25T11:47:19Z</cp:lastPrinted>
  <dcterms:created xsi:type="dcterms:W3CDTF">2021-03-24T09:04:21Z</dcterms:created>
  <dcterms:modified xsi:type="dcterms:W3CDTF">2021-03-25T11:47:35Z</dcterms:modified>
</cp:coreProperties>
</file>