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92" windowHeight="1140" activeTab="1"/>
  </bookViews>
  <sheets>
    <sheet name="Смета 12 гр. ТЕР МО" sheetId="5" r:id="rId1"/>
    <sheet name="Дефектная ведомость" sheetId="6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1">'Дефектная ведомость'!$9:$9</definedName>
    <definedName name="_xlnm.Print_Titles" localSheetId="0">'Смета 12 гр. ТЕР МО'!$40:$40</definedName>
    <definedName name="_xlnm.Print_Area" localSheetId="1">'Дефектная ведомость'!$A$1:$E$51</definedName>
    <definedName name="_xlnm.Print_Area" localSheetId="0">'Смета 12 гр. ТЕР МО'!$A$1:$L$270</definedName>
  </definedNames>
  <calcPr calcId="125725"/>
</workbook>
</file>

<file path=xl/calcChain.xml><?xml version="1.0" encoding="utf-8"?>
<calcChain xmlns="http://schemas.openxmlformats.org/spreadsheetml/2006/main">
  <c r="D46" i="6"/>
  <c r="C46"/>
  <c r="B46"/>
  <c r="A46"/>
  <c r="D45"/>
  <c r="C45"/>
  <c r="B45"/>
  <c r="A45"/>
  <c r="D44"/>
  <c r="C44"/>
  <c r="B44"/>
  <c r="A44"/>
  <c r="D43"/>
  <c r="C43"/>
  <c r="B43"/>
  <c r="A43"/>
  <c r="D42"/>
  <c r="C42"/>
  <c r="B42"/>
  <c r="A42"/>
  <c r="D41"/>
  <c r="C41"/>
  <c r="B41"/>
  <c r="A41"/>
  <c r="D40"/>
  <c r="C40"/>
  <c r="B40"/>
  <c r="A40"/>
  <c r="D39"/>
  <c r="C39"/>
  <c r="B39"/>
  <c r="A39"/>
  <c r="D38"/>
  <c r="C38"/>
  <c r="B38"/>
  <c r="A38"/>
  <c r="D37"/>
  <c r="C37"/>
  <c r="B37"/>
  <c r="A37"/>
  <c r="D36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A21"/>
  <c r="D20"/>
  <c r="C20"/>
  <c r="B20"/>
  <c r="A20"/>
  <c r="D19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A11"/>
  <c r="A10"/>
  <c r="A3"/>
  <c r="A2"/>
  <c r="AF256" i="5"/>
  <c r="I268"/>
  <c r="I265"/>
  <c r="I262"/>
  <c r="D268"/>
  <c r="D265"/>
  <c r="D262"/>
  <c r="J259"/>
  <c r="C259"/>
  <c r="J258"/>
  <c r="C258"/>
  <c r="I32"/>
  <c r="G31"/>
  <c r="I31"/>
  <c r="I30"/>
  <c r="I29"/>
  <c r="I28"/>
  <c r="I27"/>
  <c r="I26"/>
  <c r="A256"/>
  <c r="A252"/>
  <c r="A248"/>
  <c r="L246"/>
  <c r="Q246" s="1"/>
  <c r="J246"/>
  <c r="P246" s="1"/>
  <c r="Z246"/>
  <c r="Y246"/>
  <c r="X246"/>
  <c r="K245"/>
  <c r="J245"/>
  <c r="H245"/>
  <c r="G246" s="1"/>
  <c r="O246" s="1"/>
  <c r="G245"/>
  <c r="F245"/>
  <c r="V244"/>
  <c r="T244"/>
  <c r="U244"/>
  <c r="S244"/>
  <c r="F244"/>
  <c r="E244"/>
  <c r="D244"/>
  <c r="I244"/>
  <c r="C244"/>
  <c r="B244"/>
  <c r="A244"/>
  <c r="L243"/>
  <c r="Q243" s="1"/>
  <c r="G243"/>
  <c r="O243" s="1"/>
  <c r="Z243"/>
  <c r="Y243"/>
  <c r="X243"/>
  <c r="W243"/>
  <c r="K242"/>
  <c r="J243" s="1"/>
  <c r="P243" s="1"/>
  <c r="J242"/>
  <c r="H242"/>
  <c r="G242"/>
  <c r="F242"/>
  <c r="V241"/>
  <c r="T241"/>
  <c r="U241"/>
  <c r="S241"/>
  <c r="F241"/>
  <c r="E241"/>
  <c r="D241"/>
  <c r="I241"/>
  <c r="C241"/>
  <c r="B241"/>
  <c r="A241"/>
  <c r="L240"/>
  <c r="Q240" s="1"/>
  <c r="Z240"/>
  <c r="Y240"/>
  <c r="X240"/>
  <c r="H238"/>
  <c r="L239"/>
  <c r="G239"/>
  <c r="E239"/>
  <c r="J238"/>
  <c r="F238"/>
  <c r="E238"/>
  <c r="J237"/>
  <c r="F237"/>
  <c r="E237"/>
  <c r="K236"/>
  <c r="J236"/>
  <c r="H236"/>
  <c r="G236"/>
  <c r="F236"/>
  <c r="K235"/>
  <c r="J235"/>
  <c r="H235"/>
  <c r="R235" s="1"/>
  <c r="G235"/>
  <c r="F235"/>
  <c r="K234"/>
  <c r="J234"/>
  <c r="H234"/>
  <c r="G234"/>
  <c r="F234"/>
  <c r="K233"/>
  <c r="J233"/>
  <c r="R233"/>
  <c r="H233"/>
  <c r="G233"/>
  <c r="F233"/>
  <c r="C232"/>
  <c r="V231"/>
  <c r="K238" s="1"/>
  <c r="T231"/>
  <c r="K237" s="1"/>
  <c r="U231"/>
  <c r="S231"/>
  <c r="H237" s="1"/>
  <c r="F231"/>
  <c r="E231"/>
  <c r="D231"/>
  <c r="I231"/>
  <c r="C231"/>
  <c r="A231"/>
  <c r="L230"/>
  <c r="Q230" s="1"/>
  <c r="Z230"/>
  <c r="Y230"/>
  <c r="X230"/>
  <c r="H228"/>
  <c r="L229"/>
  <c r="G229"/>
  <c r="E229"/>
  <c r="J228"/>
  <c r="F228"/>
  <c r="E228"/>
  <c r="J227"/>
  <c r="F227"/>
  <c r="E227"/>
  <c r="K226"/>
  <c r="J226"/>
  <c r="H226"/>
  <c r="G226"/>
  <c r="F226"/>
  <c r="K225"/>
  <c r="J225"/>
  <c r="H225"/>
  <c r="R225" s="1"/>
  <c r="G225"/>
  <c r="F225"/>
  <c r="K224"/>
  <c r="J224"/>
  <c r="H224"/>
  <c r="G224"/>
  <c r="F224"/>
  <c r="K223"/>
  <c r="J223"/>
  <c r="R223"/>
  <c r="H223"/>
  <c r="G223"/>
  <c r="F223"/>
  <c r="C222"/>
  <c r="V221"/>
  <c r="K228" s="1"/>
  <c r="T221"/>
  <c r="K227" s="1"/>
  <c r="U221"/>
  <c r="S221"/>
  <c r="H227" s="1"/>
  <c r="F221"/>
  <c r="E221"/>
  <c r="D221"/>
  <c r="I221"/>
  <c r="C221"/>
  <c r="A221"/>
  <c r="L220"/>
  <c r="Q220" s="1"/>
  <c r="Z220"/>
  <c r="Y220"/>
  <c r="X220"/>
  <c r="H218"/>
  <c r="L219"/>
  <c r="G219"/>
  <c r="E219"/>
  <c r="J218"/>
  <c r="F218"/>
  <c r="E218"/>
  <c r="J217"/>
  <c r="F217"/>
  <c r="E217"/>
  <c r="K216"/>
  <c r="J216"/>
  <c r="H216"/>
  <c r="G216"/>
  <c r="F216"/>
  <c r="K215"/>
  <c r="J215"/>
  <c r="H215"/>
  <c r="R215" s="1"/>
  <c r="G215"/>
  <c r="F215"/>
  <c r="K214"/>
  <c r="J214"/>
  <c r="H214"/>
  <c r="G214"/>
  <c r="F214"/>
  <c r="K213"/>
  <c r="J213"/>
  <c r="R213"/>
  <c r="H213"/>
  <c r="G213"/>
  <c r="F213"/>
  <c r="C212"/>
  <c r="V211"/>
  <c r="K218" s="1"/>
  <c r="T211"/>
  <c r="K217" s="1"/>
  <c r="U211"/>
  <c r="S211"/>
  <c r="H217" s="1"/>
  <c r="F211"/>
  <c r="E211"/>
  <c r="D211"/>
  <c r="I211"/>
  <c r="C211"/>
  <c r="A211"/>
  <c r="L210"/>
  <c r="Q210" s="1"/>
  <c r="Z210"/>
  <c r="Y210"/>
  <c r="X210"/>
  <c r="H208"/>
  <c r="L209"/>
  <c r="G209"/>
  <c r="E209"/>
  <c r="J208"/>
  <c r="F208"/>
  <c r="E208"/>
  <c r="J207"/>
  <c r="F207"/>
  <c r="E207"/>
  <c r="K206"/>
  <c r="J206"/>
  <c r="H206"/>
  <c r="G206"/>
  <c r="F206"/>
  <c r="K205"/>
  <c r="J205"/>
  <c r="H205"/>
  <c r="R205" s="1"/>
  <c r="G205"/>
  <c r="F205"/>
  <c r="K204"/>
  <c r="J204"/>
  <c r="H204"/>
  <c r="G204"/>
  <c r="F204"/>
  <c r="K203"/>
  <c r="J203"/>
  <c r="R203"/>
  <c r="H203"/>
  <c r="G203"/>
  <c r="F203"/>
  <c r="C202"/>
  <c r="V201"/>
  <c r="K208" s="1"/>
  <c r="T201"/>
  <c r="K207" s="1"/>
  <c r="U201"/>
  <c r="S201"/>
  <c r="H207" s="1"/>
  <c r="F201"/>
  <c r="E201"/>
  <c r="D201"/>
  <c r="I201"/>
  <c r="C201"/>
  <c r="A201"/>
  <c r="L200"/>
  <c r="Q200" s="1"/>
  <c r="Z200"/>
  <c r="Y200"/>
  <c r="X200"/>
  <c r="L199"/>
  <c r="G199"/>
  <c r="E199"/>
  <c r="J198"/>
  <c r="F198"/>
  <c r="E198"/>
  <c r="J197"/>
  <c r="F197"/>
  <c r="E197"/>
  <c r="K196"/>
  <c r="J196"/>
  <c r="H196"/>
  <c r="G196"/>
  <c r="F196"/>
  <c r="K195"/>
  <c r="J195"/>
  <c r="H195"/>
  <c r="R195" s="1"/>
  <c r="G195"/>
  <c r="F195"/>
  <c r="K194"/>
  <c r="J194"/>
  <c r="H194"/>
  <c r="G194"/>
  <c r="F194"/>
  <c r="K193"/>
  <c r="J193"/>
  <c r="R193"/>
  <c r="H193"/>
  <c r="G193"/>
  <c r="F193"/>
  <c r="C192"/>
  <c r="V191"/>
  <c r="K198" s="1"/>
  <c r="T191"/>
  <c r="K197" s="1"/>
  <c r="U191"/>
  <c r="H198" s="1"/>
  <c r="S191"/>
  <c r="H197" s="1"/>
  <c r="F191"/>
  <c r="E191"/>
  <c r="D191"/>
  <c r="I191"/>
  <c r="C191"/>
  <c r="A191"/>
  <c r="L190"/>
  <c r="Q190" s="1"/>
  <c r="Z190"/>
  <c r="Y190"/>
  <c r="X190"/>
  <c r="K189"/>
  <c r="J189"/>
  <c r="Z189"/>
  <c r="Y189"/>
  <c r="X189"/>
  <c r="W189"/>
  <c r="H189"/>
  <c r="F189"/>
  <c r="V189"/>
  <c r="T189"/>
  <c r="U189"/>
  <c r="S189"/>
  <c r="E189"/>
  <c r="D189"/>
  <c r="C189"/>
  <c r="B189"/>
  <c r="A189"/>
  <c r="K188"/>
  <c r="J188"/>
  <c r="Z188"/>
  <c r="Y188"/>
  <c r="X188"/>
  <c r="H188"/>
  <c r="W188" s="1"/>
  <c r="F188"/>
  <c r="V188"/>
  <c r="T188"/>
  <c r="U188"/>
  <c r="H186" s="1"/>
  <c r="S188"/>
  <c r="E188"/>
  <c r="D188"/>
  <c r="C188"/>
  <c r="B188"/>
  <c r="A188"/>
  <c r="L187"/>
  <c r="G187"/>
  <c r="E187"/>
  <c r="J186"/>
  <c r="F186"/>
  <c r="E186"/>
  <c r="J185"/>
  <c r="F185"/>
  <c r="E185"/>
  <c r="K184"/>
  <c r="J184"/>
  <c r="H184"/>
  <c r="G184"/>
  <c r="F184"/>
  <c r="K183"/>
  <c r="J183"/>
  <c r="H183"/>
  <c r="R183" s="1"/>
  <c r="G183"/>
  <c r="F183"/>
  <c r="K182"/>
  <c r="J182"/>
  <c r="H182"/>
  <c r="G182"/>
  <c r="F182"/>
  <c r="K181"/>
  <c r="J181"/>
  <c r="H181"/>
  <c r="G181"/>
  <c r="F181"/>
  <c r="C180"/>
  <c r="V179"/>
  <c r="K186" s="1"/>
  <c r="T179"/>
  <c r="K185" s="1"/>
  <c r="U179"/>
  <c r="S179"/>
  <c r="H185" s="1"/>
  <c r="F179"/>
  <c r="E179"/>
  <c r="D179"/>
  <c r="I179"/>
  <c r="C179"/>
  <c r="A179"/>
  <c r="L178"/>
  <c r="Q178" s="1"/>
  <c r="Z178"/>
  <c r="Y178"/>
  <c r="X178"/>
  <c r="K177"/>
  <c r="J177"/>
  <c r="Z177"/>
  <c r="Y177"/>
  <c r="X177"/>
  <c r="W177"/>
  <c r="H177"/>
  <c r="F177"/>
  <c r="V177"/>
  <c r="K175" s="1"/>
  <c r="T177"/>
  <c r="U177"/>
  <c r="S177"/>
  <c r="E177"/>
  <c r="D177"/>
  <c r="C177"/>
  <c r="B177"/>
  <c r="A177"/>
  <c r="L176"/>
  <c r="G176"/>
  <c r="E176"/>
  <c r="J175"/>
  <c r="F175"/>
  <c r="E175"/>
  <c r="J174"/>
  <c r="F174"/>
  <c r="E174"/>
  <c r="K173"/>
  <c r="J173"/>
  <c r="H173"/>
  <c r="G173"/>
  <c r="F173"/>
  <c r="K172"/>
  <c r="J172"/>
  <c r="H172"/>
  <c r="G172"/>
  <c r="F172"/>
  <c r="K171"/>
  <c r="J171"/>
  <c r="H171"/>
  <c r="R171" s="1"/>
  <c r="G171"/>
  <c r="F171"/>
  <c r="V170"/>
  <c r="T170"/>
  <c r="K174" s="1"/>
  <c r="U170"/>
  <c r="H175" s="1"/>
  <c r="S170"/>
  <c r="H174" s="1"/>
  <c r="F170"/>
  <c r="E170"/>
  <c r="D170"/>
  <c r="I170"/>
  <c r="C170"/>
  <c r="A170"/>
  <c r="Q169"/>
  <c r="L169"/>
  <c r="Z169"/>
  <c r="Y169"/>
  <c r="X169"/>
  <c r="K168"/>
  <c r="J168"/>
  <c r="Z168"/>
  <c r="Y168"/>
  <c r="X168"/>
  <c r="H168"/>
  <c r="W168" s="1"/>
  <c r="F168"/>
  <c r="V168"/>
  <c r="T168"/>
  <c r="U168"/>
  <c r="S168"/>
  <c r="E168"/>
  <c r="D168"/>
  <c r="C168"/>
  <c r="B168"/>
  <c r="A168"/>
  <c r="K167"/>
  <c r="J167"/>
  <c r="Z167"/>
  <c r="Y167"/>
  <c r="X167"/>
  <c r="W167"/>
  <c r="H167"/>
  <c r="F167"/>
  <c r="V167"/>
  <c r="T167"/>
  <c r="K164" s="1"/>
  <c r="U167"/>
  <c r="S167"/>
  <c r="E167"/>
  <c r="D167"/>
  <c r="C167"/>
  <c r="B167"/>
  <c r="A167"/>
  <c r="L166"/>
  <c r="G166"/>
  <c r="E166"/>
  <c r="J165"/>
  <c r="F165"/>
  <c r="E165"/>
  <c r="J164"/>
  <c r="F164"/>
  <c r="E164"/>
  <c r="K163"/>
  <c r="J163"/>
  <c r="H163"/>
  <c r="G163"/>
  <c r="F163"/>
  <c r="K162"/>
  <c r="J162"/>
  <c r="H162"/>
  <c r="G162"/>
  <c r="F162"/>
  <c r="K161"/>
  <c r="J161"/>
  <c r="R161"/>
  <c r="H161"/>
  <c r="G161"/>
  <c r="F161"/>
  <c r="V160"/>
  <c r="K165" s="1"/>
  <c r="T160"/>
  <c r="U160"/>
  <c r="H165" s="1"/>
  <c r="S160"/>
  <c r="H164" s="1"/>
  <c r="F160"/>
  <c r="E160"/>
  <c r="D160"/>
  <c r="I160"/>
  <c r="C160"/>
  <c r="A160"/>
  <c r="Q159"/>
  <c r="L159"/>
  <c r="Z159"/>
  <c r="Y159"/>
  <c r="X159"/>
  <c r="K155"/>
  <c r="K158"/>
  <c r="J158"/>
  <c r="Z158"/>
  <c r="Y158"/>
  <c r="X158"/>
  <c r="H158"/>
  <c r="W158" s="1"/>
  <c r="F158"/>
  <c r="V158"/>
  <c r="T158"/>
  <c r="U158"/>
  <c r="S158"/>
  <c r="E158"/>
  <c r="D158"/>
  <c r="C158"/>
  <c r="B158"/>
  <c r="A158"/>
  <c r="L157"/>
  <c r="G157"/>
  <c r="E157"/>
  <c r="J156"/>
  <c r="F156"/>
  <c r="E156"/>
  <c r="J155"/>
  <c r="F155"/>
  <c r="E155"/>
  <c r="K154"/>
  <c r="J154"/>
  <c r="R154"/>
  <c r="H154"/>
  <c r="G154"/>
  <c r="F154"/>
  <c r="K153"/>
  <c r="J153"/>
  <c r="H153"/>
  <c r="G153"/>
  <c r="F153"/>
  <c r="K152"/>
  <c r="J152"/>
  <c r="R152"/>
  <c r="H152"/>
  <c r="G159" s="1"/>
  <c r="O159" s="1"/>
  <c r="G152"/>
  <c r="F152"/>
  <c r="C151"/>
  <c r="V150"/>
  <c r="K156" s="1"/>
  <c r="T150"/>
  <c r="U150"/>
  <c r="H156" s="1"/>
  <c r="S150"/>
  <c r="H155" s="1"/>
  <c r="F150"/>
  <c r="E150"/>
  <c r="D150"/>
  <c r="I150"/>
  <c r="C150"/>
  <c r="B150"/>
  <c r="A150"/>
  <c r="L149"/>
  <c r="Q149" s="1"/>
  <c r="Z149"/>
  <c r="Y149"/>
  <c r="X149"/>
  <c r="L148"/>
  <c r="G148"/>
  <c r="E148"/>
  <c r="J147"/>
  <c r="F147"/>
  <c r="E147"/>
  <c r="J146"/>
  <c r="F146"/>
  <c r="E146"/>
  <c r="K145"/>
  <c r="J145"/>
  <c r="H145"/>
  <c r="G145"/>
  <c r="F145"/>
  <c r="K144"/>
  <c r="J144"/>
  <c r="H144"/>
  <c r="R144" s="1"/>
  <c r="G144"/>
  <c r="F144"/>
  <c r="K143"/>
  <c r="J143"/>
  <c r="H143"/>
  <c r="G143"/>
  <c r="F143"/>
  <c r="K142"/>
  <c r="J142"/>
  <c r="R142"/>
  <c r="H142"/>
  <c r="G142"/>
  <c r="F142"/>
  <c r="C141"/>
  <c r="V140"/>
  <c r="K147" s="1"/>
  <c r="T140"/>
  <c r="K146" s="1"/>
  <c r="U140"/>
  <c r="H147" s="1"/>
  <c r="S140"/>
  <c r="H146" s="1"/>
  <c r="F140"/>
  <c r="E140"/>
  <c r="D140"/>
  <c r="I140"/>
  <c r="C140"/>
  <c r="A140"/>
  <c r="Q139"/>
  <c r="L139"/>
  <c r="Z139"/>
  <c r="Y139"/>
  <c r="X139"/>
  <c r="L138"/>
  <c r="G138"/>
  <c r="E138"/>
  <c r="J137"/>
  <c r="F137"/>
  <c r="E137"/>
  <c r="J136"/>
  <c r="F136"/>
  <c r="E136"/>
  <c r="K135"/>
  <c r="J135"/>
  <c r="H135"/>
  <c r="G135"/>
  <c r="F135"/>
  <c r="K134"/>
  <c r="J134"/>
  <c r="H134"/>
  <c r="R134" s="1"/>
  <c r="G134"/>
  <c r="F134"/>
  <c r="K133"/>
  <c r="J133"/>
  <c r="H133"/>
  <c r="G133"/>
  <c r="F133"/>
  <c r="K132"/>
  <c r="J132"/>
  <c r="R132"/>
  <c r="H132"/>
  <c r="G132"/>
  <c r="F132"/>
  <c r="C131"/>
  <c r="V130"/>
  <c r="K137" s="1"/>
  <c r="T130"/>
  <c r="K136" s="1"/>
  <c r="U130"/>
  <c r="H137" s="1"/>
  <c r="S130"/>
  <c r="H136" s="1"/>
  <c r="F130"/>
  <c r="E130"/>
  <c r="D130"/>
  <c r="I130"/>
  <c r="C130"/>
  <c r="A130"/>
  <c r="Q129"/>
  <c r="L129"/>
  <c r="Z129"/>
  <c r="Y129"/>
  <c r="X129"/>
  <c r="K128"/>
  <c r="J128"/>
  <c r="Z128"/>
  <c r="Y128"/>
  <c r="X128"/>
  <c r="H128"/>
  <c r="W128" s="1"/>
  <c r="F128"/>
  <c r="V128"/>
  <c r="T128"/>
  <c r="U128"/>
  <c r="H126" s="1"/>
  <c r="S128"/>
  <c r="E128"/>
  <c r="D128"/>
  <c r="C128"/>
  <c r="B128"/>
  <c r="A128"/>
  <c r="L127"/>
  <c r="G127"/>
  <c r="E127"/>
  <c r="J126"/>
  <c r="F126"/>
  <c r="E126"/>
  <c r="J125"/>
  <c r="F125"/>
  <c r="E125"/>
  <c r="K124"/>
  <c r="J124"/>
  <c r="H124"/>
  <c r="G124"/>
  <c r="F124"/>
  <c r="K123"/>
  <c r="J123"/>
  <c r="H123"/>
  <c r="G123"/>
  <c r="F123"/>
  <c r="C122"/>
  <c r="V121"/>
  <c r="K126" s="1"/>
  <c r="T121"/>
  <c r="K125" s="1"/>
  <c r="U121"/>
  <c r="S121"/>
  <c r="H125" s="1"/>
  <c r="F121"/>
  <c r="E121"/>
  <c r="D121"/>
  <c r="I121"/>
  <c r="C121"/>
  <c r="A121"/>
  <c r="L120"/>
  <c r="Q120" s="1"/>
  <c r="Z120"/>
  <c r="Y120"/>
  <c r="X120"/>
  <c r="L119"/>
  <c r="G119"/>
  <c r="E119"/>
  <c r="J118"/>
  <c r="F118"/>
  <c r="E118"/>
  <c r="J117"/>
  <c r="F117"/>
  <c r="E117"/>
  <c r="K116"/>
  <c r="J116"/>
  <c r="H116"/>
  <c r="G116"/>
  <c r="F116"/>
  <c r="K115"/>
  <c r="J115"/>
  <c r="R115"/>
  <c r="H115"/>
  <c r="G115"/>
  <c r="F115"/>
  <c r="K114"/>
  <c r="J114"/>
  <c r="H114"/>
  <c r="G114"/>
  <c r="F114"/>
  <c r="K113"/>
  <c r="J113"/>
  <c r="H113"/>
  <c r="G120" s="1"/>
  <c r="O120" s="1"/>
  <c r="G113"/>
  <c r="F113"/>
  <c r="C112"/>
  <c r="V111"/>
  <c r="K118" s="1"/>
  <c r="T111"/>
  <c r="K117" s="1"/>
  <c r="U111"/>
  <c r="H118" s="1"/>
  <c r="S111"/>
  <c r="H117" s="1"/>
  <c r="F111"/>
  <c r="E111"/>
  <c r="D111"/>
  <c r="I111"/>
  <c r="C111"/>
  <c r="B111"/>
  <c r="A111"/>
  <c r="Q110"/>
  <c r="L110"/>
  <c r="Z110"/>
  <c r="Y110"/>
  <c r="X110"/>
  <c r="K106"/>
  <c r="K109"/>
  <c r="J109"/>
  <c r="Z109"/>
  <c r="Y109"/>
  <c r="X109"/>
  <c r="H109"/>
  <c r="W109" s="1"/>
  <c r="F109"/>
  <c r="V109"/>
  <c r="T109"/>
  <c r="U109"/>
  <c r="S109"/>
  <c r="E109"/>
  <c r="D109"/>
  <c r="C109"/>
  <c r="B109"/>
  <c r="A109"/>
  <c r="L108"/>
  <c r="G108"/>
  <c r="E108"/>
  <c r="J107"/>
  <c r="F107"/>
  <c r="E107"/>
  <c r="J106"/>
  <c r="F106"/>
  <c r="E106"/>
  <c r="K105"/>
  <c r="J105"/>
  <c r="H105"/>
  <c r="G105"/>
  <c r="F105"/>
  <c r="K104"/>
  <c r="J104"/>
  <c r="H104"/>
  <c r="R104" s="1"/>
  <c r="G104"/>
  <c r="F104"/>
  <c r="K103"/>
  <c r="J103"/>
  <c r="H103"/>
  <c r="G103"/>
  <c r="F103"/>
  <c r="K102"/>
  <c r="J102"/>
  <c r="H102"/>
  <c r="R102" s="1"/>
  <c r="G102"/>
  <c r="F102"/>
  <c r="V101"/>
  <c r="K107" s="1"/>
  <c r="T101"/>
  <c r="U101"/>
  <c r="H107" s="1"/>
  <c r="S101"/>
  <c r="H106" s="1"/>
  <c r="F101"/>
  <c r="E101"/>
  <c r="D101"/>
  <c r="I101"/>
  <c r="C101"/>
  <c r="B101"/>
  <c r="A101"/>
  <c r="L100"/>
  <c r="Q100" s="1"/>
  <c r="L248" s="1"/>
  <c r="Z100"/>
  <c r="Y100"/>
  <c r="X100"/>
  <c r="H98"/>
  <c r="L99"/>
  <c r="G99"/>
  <c r="E99"/>
  <c r="J98"/>
  <c r="F98"/>
  <c r="E98"/>
  <c r="J97"/>
  <c r="F97"/>
  <c r="E97"/>
  <c r="K96"/>
  <c r="J96"/>
  <c r="H96"/>
  <c r="G96"/>
  <c r="F96"/>
  <c r="K95"/>
  <c r="J95"/>
  <c r="H95"/>
  <c r="G95"/>
  <c r="F95"/>
  <c r="K94"/>
  <c r="J94"/>
  <c r="R94"/>
  <c r="H94"/>
  <c r="G100" s="1"/>
  <c r="O100" s="1"/>
  <c r="G94"/>
  <c r="F94"/>
  <c r="V93"/>
  <c r="K98" s="1"/>
  <c r="T93"/>
  <c r="K97" s="1"/>
  <c r="U93"/>
  <c r="S93"/>
  <c r="H97" s="1"/>
  <c r="F93"/>
  <c r="E93"/>
  <c r="D93"/>
  <c r="I93"/>
  <c r="C93"/>
  <c r="B93"/>
  <c r="A93"/>
  <c r="A92"/>
  <c r="A88"/>
  <c r="L86"/>
  <c r="Q86" s="1"/>
  <c r="Z86"/>
  <c r="Y86"/>
  <c r="X86"/>
  <c r="K85"/>
  <c r="J85"/>
  <c r="Z85"/>
  <c r="Y85"/>
  <c r="X85"/>
  <c r="H85"/>
  <c r="W85" s="1"/>
  <c r="F85"/>
  <c r="V85"/>
  <c r="T85"/>
  <c r="U85"/>
  <c r="S85"/>
  <c r="E85"/>
  <c r="D85"/>
  <c r="C85"/>
  <c r="B85"/>
  <c r="A85"/>
  <c r="L84"/>
  <c r="G84"/>
  <c r="E84"/>
  <c r="J83"/>
  <c r="E83"/>
  <c r="J82"/>
  <c r="E82"/>
  <c r="K81"/>
  <c r="J81"/>
  <c r="R81"/>
  <c r="H81"/>
  <c r="G81"/>
  <c r="F81"/>
  <c r="K80"/>
  <c r="J80"/>
  <c r="H80"/>
  <c r="G80"/>
  <c r="F80"/>
  <c r="K79"/>
  <c r="J79"/>
  <c r="H79"/>
  <c r="R79" s="1"/>
  <c r="G79"/>
  <c r="F79"/>
  <c r="C78"/>
  <c r="V77"/>
  <c r="K83" s="1"/>
  <c r="T77"/>
  <c r="K82" s="1"/>
  <c r="U77"/>
  <c r="H83" s="1"/>
  <c r="S77"/>
  <c r="H82" s="1"/>
  <c r="F77"/>
  <c r="E77"/>
  <c r="D77"/>
  <c r="I77"/>
  <c r="C77"/>
  <c r="B77"/>
  <c r="A77"/>
  <c r="Q76"/>
  <c r="L76"/>
  <c r="Z76"/>
  <c r="Y76"/>
  <c r="X76"/>
  <c r="K72"/>
  <c r="J76" s="1"/>
  <c r="P76" s="1"/>
  <c r="K75"/>
  <c r="J75"/>
  <c r="Z75"/>
  <c r="Y75"/>
  <c r="X75"/>
  <c r="H75"/>
  <c r="W75" s="1"/>
  <c r="F75"/>
  <c r="V75"/>
  <c r="T75"/>
  <c r="U75"/>
  <c r="S75"/>
  <c r="E75"/>
  <c r="D75"/>
  <c r="C75"/>
  <c r="B75"/>
  <c r="A75"/>
  <c r="L74"/>
  <c r="G74"/>
  <c r="E74"/>
  <c r="J73"/>
  <c r="E73"/>
  <c r="J72"/>
  <c r="E72"/>
  <c r="K71"/>
  <c r="J71"/>
  <c r="R71"/>
  <c r="H71"/>
  <c r="G71"/>
  <c r="F71"/>
  <c r="C70"/>
  <c r="V69"/>
  <c r="K73" s="1"/>
  <c r="T69"/>
  <c r="U69"/>
  <c r="H73" s="1"/>
  <c r="S69"/>
  <c r="H72" s="1"/>
  <c r="F69"/>
  <c r="E69"/>
  <c r="D69"/>
  <c r="I69"/>
  <c r="C69"/>
  <c r="B69"/>
  <c r="A69"/>
  <c r="Q68"/>
  <c r="L68"/>
  <c r="Z68"/>
  <c r="Y68"/>
  <c r="X68"/>
  <c r="K67"/>
  <c r="J67"/>
  <c r="Z67"/>
  <c r="Y67"/>
  <c r="X67"/>
  <c r="H67"/>
  <c r="W67" s="1"/>
  <c r="F67"/>
  <c r="V67"/>
  <c r="T67"/>
  <c r="U67"/>
  <c r="S67"/>
  <c r="E67"/>
  <c r="D67"/>
  <c r="C67"/>
  <c r="B67"/>
  <c r="A67"/>
  <c r="L66"/>
  <c r="G66"/>
  <c r="E66"/>
  <c r="J65"/>
  <c r="E65"/>
  <c r="J64"/>
  <c r="E64"/>
  <c r="K63"/>
  <c r="J63"/>
  <c r="R63"/>
  <c r="H63"/>
  <c r="G63"/>
  <c r="F63"/>
  <c r="K62"/>
  <c r="J62"/>
  <c r="H62"/>
  <c r="G62"/>
  <c r="F62"/>
  <c r="K61"/>
  <c r="J61"/>
  <c r="H61"/>
  <c r="R61" s="1"/>
  <c r="G61"/>
  <c r="F61"/>
  <c r="C60"/>
  <c r="V59"/>
  <c r="K65" s="1"/>
  <c r="T59"/>
  <c r="K64" s="1"/>
  <c r="U59"/>
  <c r="H65" s="1"/>
  <c r="S59"/>
  <c r="H64" s="1"/>
  <c r="F59"/>
  <c r="E59"/>
  <c r="D59"/>
  <c r="I59"/>
  <c r="C59"/>
  <c r="B59"/>
  <c r="A59"/>
  <c r="Q58"/>
  <c r="L58"/>
  <c r="Z58"/>
  <c r="Y58"/>
  <c r="X58"/>
  <c r="L57"/>
  <c r="G57"/>
  <c r="E57"/>
  <c r="J56"/>
  <c r="E56"/>
  <c r="J55"/>
  <c r="E55"/>
  <c r="K54"/>
  <c r="J54"/>
  <c r="H54"/>
  <c r="R54" s="1"/>
  <c r="G54"/>
  <c r="F54"/>
  <c r="C53"/>
  <c r="V52"/>
  <c r="K56" s="1"/>
  <c r="T52"/>
  <c r="K55" s="1"/>
  <c r="U52"/>
  <c r="H56" s="1"/>
  <c r="S52"/>
  <c r="H55" s="1"/>
  <c r="F52"/>
  <c r="E52"/>
  <c r="D52"/>
  <c r="I52"/>
  <c r="C52"/>
  <c r="B52"/>
  <c r="A52"/>
  <c r="Q51"/>
  <c r="L51"/>
  <c r="Z51"/>
  <c r="Y51"/>
  <c r="X51"/>
  <c r="K50"/>
  <c r="J50"/>
  <c r="Z50"/>
  <c r="G30" s="1"/>
  <c r="Y50"/>
  <c r="G29" s="1"/>
  <c r="X50"/>
  <c r="G28" s="1"/>
  <c r="H50"/>
  <c r="W50" s="1"/>
  <c r="F50"/>
  <c r="V50"/>
  <c r="T50"/>
  <c r="U50"/>
  <c r="S50"/>
  <c r="E50"/>
  <c r="D50"/>
  <c r="C50"/>
  <c r="B50"/>
  <c r="A50"/>
  <c r="L49"/>
  <c r="G49"/>
  <c r="E49"/>
  <c r="K48"/>
  <c r="J48"/>
  <c r="H48"/>
  <c r="G48"/>
  <c r="F48"/>
  <c r="K47"/>
  <c r="J47"/>
  <c r="H47"/>
  <c r="G47"/>
  <c r="F47"/>
  <c r="K46"/>
  <c r="J51" s="1"/>
  <c r="P51" s="1"/>
  <c r="J46"/>
  <c r="R46"/>
  <c r="H46"/>
  <c r="G51" s="1"/>
  <c r="O51" s="1"/>
  <c r="G46"/>
  <c r="F46"/>
  <c r="V45"/>
  <c r="T45"/>
  <c r="U45"/>
  <c r="S45"/>
  <c r="F45"/>
  <c r="E45"/>
  <c r="D45"/>
  <c r="I45"/>
  <c r="C45"/>
  <c r="B45"/>
  <c r="A45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" i="3"/>
  <c r="CX1"/>
  <c r="CY1"/>
  <c r="CZ1"/>
  <c r="DA1"/>
  <c r="DB1"/>
  <c r="DC1"/>
  <c r="A2"/>
  <c r="CX2"/>
  <c r="CY2"/>
  <c r="CZ2"/>
  <c r="DB2" s="1"/>
  <c r="DA2"/>
  <c r="DC2"/>
  <c r="A3"/>
  <c r="CX3"/>
  <c r="CY3"/>
  <c r="CZ3"/>
  <c r="DB3" s="1"/>
  <c r="DA3"/>
  <c r="DC3"/>
  <c r="A4"/>
  <c r="CX4"/>
  <c r="CY4"/>
  <c r="CZ4"/>
  <c r="DB4" s="1"/>
  <c r="DA4"/>
  <c r="DC4"/>
  <c r="A5"/>
  <c r="CX5"/>
  <c r="CY5"/>
  <c r="CZ5"/>
  <c r="DA5"/>
  <c r="DB5"/>
  <c r="DC5"/>
  <c r="A6"/>
  <c r="CY6"/>
  <c r="CZ6"/>
  <c r="DA6"/>
  <c r="DB6"/>
  <c r="DC6"/>
  <c r="A7"/>
  <c r="CY7"/>
  <c r="CZ7"/>
  <c r="DB7" s="1"/>
  <c r="DA7"/>
  <c r="DC7"/>
  <c r="A8"/>
  <c r="CY8"/>
  <c r="CZ8"/>
  <c r="DB8" s="1"/>
  <c r="DA8"/>
  <c r="DC8"/>
  <c r="A9"/>
  <c r="CY9"/>
  <c r="CZ9"/>
  <c r="DA9"/>
  <c r="DB9"/>
  <c r="DC9"/>
  <c r="A10"/>
  <c r="CY10"/>
  <c r="CZ10"/>
  <c r="DA10"/>
  <c r="DB10"/>
  <c r="DC10"/>
  <c r="A11"/>
  <c r="CY11"/>
  <c r="CZ11"/>
  <c r="DB11" s="1"/>
  <c r="DA11"/>
  <c r="DC11"/>
  <c r="A12"/>
  <c r="CY12"/>
  <c r="CZ12"/>
  <c r="DB12" s="1"/>
  <c r="DA12"/>
  <c r="DC12"/>
  <c r="A13"/>
  <c r="CY13"/>
  <c r="CZ13"/>
  <c r="DA13"/>
  <c r="DB13"/>
  <c r="DC13"/>
  <c r="A14"/>
  <c r="CY14"/>
  <c r="CZ14"/>
  <c r="DA14"/>
  <c r="DB14"/>
  <c r="DC14"/>
  <c r="A15"/>
  <c r="CY15"/>
  <c r="CZ15"/>
  <c r="DB15" s="1"/>
  <c r="DA15"/>
  <c r="DC15"/>
  <c r="A16"/>
  <c r="CY16"/>
  <c r="CZ16"/>
  <c r="DB16" s="1"/>
  <c r="DA16"/>
  <c r="DC16"/>
  <c r="A17"/>
  <c r="CY17"/>
  <c r="CZ17"/>
  <c r="DA17"/>
  <c r="DB17"/>
  <c r="DC17"/>
  <c r="A18"/>
  <c r="CX18"/>
  <c r="CY18"/>
  <c r="CZ18"/>
  <c r="DA18"/>
  <c r="DB18"/>
  <c r="DC18"/>
  <c r="A19"/>
  <c r="CX19"/>
  <c r="CY19"/>
  <c r="CZ19"/>
  <c r="DB19" s="1"/>
  <c r="DA19"/>
  <c r="DC19"/>
  <c r="A20"/>
  <c r="CX20"/>
  <c r="CY20"/>
  <c r="CZ20"/>
  <c r="DB20" s="1"/>
  <c r="DA20"/>
  <c r="DC20"/>
  <c r="A21"/>
  <c r="CX21"/>
  <c r="CY21"/>
  <c r="CZ21"/>
  <c r="DA21"/>
  <c r="DB21"/>
  <c r="DC21"/>
  <c r="A22"/>
  <c r="CX22"/>
  <c r="CY22"/>
  <c r="CZ22"/>
  <c r="DA22"/>
  <c r="DB22"/>
  <c r="DC22"/>
  <c r="A23"/>
  <c r="CX23"/>
  <c r="CY23"/>
  <c r="CZ23"/>
  <c r="DB23" s="1"/>
  <c r="DA23"/>
  <c r="DC23"/>
  <c r="A24"/>
  <c r="CX24"/>
  <c r="CY24"/>
  <c r="CZ24"/>
  <c r="DB24" s="1"/>
  <c r="DA24"/>
  <c r="DC24"/>
  <c r="A25"/>
  <c r="CX25"/>
  <c r="CY25"/>
  <c r="CZ25"/>
  <c r="DA25"/>
  <c r="DB25"/>
  <c r="DC25"/>
  <c r="A26"/>
  <c r="CX26"/>
  <c r="CY26"/>
  <c r="CZ26"/>
  <c r="DA26"/>
  <c r="DB26"/>
  <c r="DC26"/>
  <c r="A27"/>
  <c r="CX27"/>
  <c r="CY27"/>
  <c r="CZ27"/>
  <c r="DB27" s="1"/>
  <c r="DA27"/>
  <c r="DC27"/>
  <c r="A28"/>
  <c r="CX28"/>
  <c r="CY28"/>
  <c r="CZ28"/>
  <c r="DB28" s="1"/>
  <c r="DA28"/>
  <c r="DC28"/>
  <c r="A29"/>
  <c r="CX29"/>
  <c r="CY29"/>
  <c r="CZ29"/>
  <c r="DA29"/>
  <c r="DB29"/>
  <c r="DC29"/>
  <c r="A30"/>
  <c r="CX30"/>
  <c r="CY30"/>
  <c r="CZ30"/>
  <c r="DA30"/>
  <c r="DB30"/>
  <c r="DC30"/>
  <c r="A31"/>
  <c r="CX31"/>
  <c r="CY31"/>
  <c r="CZ31"/>
  <c r="DB31" s="1"/>
  <c r="DA31"/>
  <c r="DC31"/>
  <c r="A32"/>
  <c r="CX32"/>
  <c r="CY32"/>
  <c r="CZ32"/>
  <c r="DB32" s="1"/>
  <c r="DA32"/>
  <c r="DC32"/>
  <c r="A33"/>
  <c r="CX33"/>
  <c r="CY33"/>
  <c r="CZ33"/>
  <c r="DA33"/>
  <c r="DB33"/>
  <c r="DC33"/>
  <c r="A34"/>
  <c r="CX34"/>
  <c r="CY34"/>
  <c r="CZ34"/>
  <c r="DA34"/>
  <c r="DB34"/>
  <c r="DC34"/>
  <c r="A35"/>
  <c r="CX35"/>
  <c r="CY35"/>
  <c r="CZ35"/>
  <c r="DB35" s="1"/>
  <c r="DA35"/>
  <c r="DC35"/>
  <c r="A36"/>
  <c r="CX36"/>
  <c r="CY36"/>
  <c r="CZ36"/>
  <c r="DB36" s="1"/>
  <c r="DA36"/>
  <c r="DC36"/>
  <c r="A37"/>
  <c r="CX37"/>
  <c r="CY37"/>
  <c r="CZ37"/>
  <c r="DA37"/>
  <c r="DB37"/>
  <c r="DC37"/>
  <c r="A38"/>
  <c r="CX38"/>
  <c r="CY38"/>
  <c r="CZ38"/>
  <c r="DA38"/>
  <c r="DB38"/>
  <c r="DC38"/>
  <c r="A39"/>
  <c r="CX39"/>
  <c r="CY39"/>
  <c r="CZ39"/>
  <c r="DB39" s="1"/>
  <c r="DA39"/>
  <c r="DC39"/>
  <c r="A40"/>
  <c r="CX40"/>
  <c r="CY40"/>
  <c r="CZ40"/>
  <c r="DB40" s="1"/>
  <c r="DA40"/>
  <c r="DC40"/>
  <c r="A41"/>
  <c r="CX41"/>
  <c r="CY41"/>
  <c r="CZ41"/>
  <c r="DA41"/>
  <c r="DB41"/>
  <c r="DC41"/>
  <c r="A42"/>
  <c r="CX42"/>
  <c r="CY42"/>
  <c r="CZ42"/>
  <c r="DA42"/>
  <c r="DB42"/>
  <c r="DC42"/>
  <c r="A43"/>
  <c r="CX43"/>
  <c r="CY43"/>
  <c r="CZ43"/>
  <c r="DB43" s="1"/>
  <c r="DA43"/>
  <c r="DC43"/>
  <c r="A44"/>
  <c r="CX44"/>
  <c r="CY44"/>
  <c r="CZ44"/>
  <c r="DB44" s="1"/>
  <c r="DA44"/>
  <c r="DC44"/>
  <c r="A45"/>
  <c r="CY45"/>
  <c r="CZ45"/>
  <c r="DA45"/>
  <c r="DB45"/>
  <c r="DC45"/>
  <c r="A46"/>
  <c r="CY46"/>
  <c r="CZ46"/>
  <c r="DA46"/>
  <c r="DB46"/>
  <c r="DC46"/>
  <c r="A47"/>
  <c r="CY47"/>
  <c r="CZ47"/>
  <c r="DB47" s="1"/>
  <c r="DA47"/>
  <c r="DC47"/>
  <c r="A48"/>
  <c r="CY48"/>
  <c r="CZ48"/>
  <c r="DB48" s="1"/>
  <c r="DA48"/>
  <c r="DC48"/>
  <c r="A49"/>
  <c r="CY49"/>
  <c r="CZ49"/>
  <c r="DA49"/>
  <c r="DB49"/>
  <c r="DC49"/>
  <c r="A50"/>
  <c r="CY50"/>
  <c r="CZ50"/>
  <c r="DA50"/>
  <c r="DB50"/>
  <c r="DC50"/>
  <c r="A51"/>
  <c r="CY51"/>
  <c r="CZ51"/>
  <c r="DB51" s="1"/>
  <c r="DA51"/>
  <c r="DC51"/>
  <c r="A52"/>
  <c r="CY52"/>
  <c r="CZ52"/>
  <c r="DB52" s="1"/>
  <c r="DA52"/>
  <c r="DC52"/>
  <c r="A53"/>
  <c r="CY53"/>
  <c r="CZ53"/>
  <c r="DA53"/>
  <c r="DB53"/>
  <c r="DC53"/>
  <c r="A54"/>
  <c r="CY54"/>
  <c r="CZ54"/>
  <c r="DA54"/>
  <c r="DB54"/>
  <c r="DC54"/>
  <c r="A55"/>
  <c r="CY55"/>
  <c r="CZ55"/>
  <c r="DB55" s="1"/>
  <c r="DA55"/>
  <c r="DC55"/>
  <c r="A56"/>
  <c r="CY56"/>
  <c r="CZ56"/>
  <c r="DB56" s="1"/>
  <c r="DA56"/>
  <c r="DC56"/>
  <c r="A57"/>
  <c r="CY57"/>
  <c r="CZ57"/>
  <c r="DA57"/>
  <c r="DB57"/>
  <c r="DC57"/>
  <c r="A58"/>
  <c r="CY58"/>
  <c r="CZ58"/>
  <c r="DA58"/>
  <c r="DB58"/>
  <c r="DC58"/>
  <c r="A59"/>
  <c r="CY59"/>
  <c r="CZ59"/>
  <c r="DB59" s="1"/>
  <c r="DA59"/>
  <c r="DC59"/>
  <c r="A60"/>
  <c r="CY60"/>
  <c r="CZ60"/>
  <c r="DB60" s="1"/>
  <c r="DA60"/>
  <c r="DC60"/>
  <c r="A61"/>
  <c r="CY61"/>
  <c r="CZ61"/>
  <c r="DA61"/>
  <c r="DB61"/>
  <c r="DC61"/>
  <c r="A62"/>
  <c r="CY62"/>
  <c r="CZ62"/>
  <c r="DA62"/>
  <c r="DB62"/>
  <c r="DC62"/>
  <c r="A63"/>
  <c r="CY63"/>
  <c r="CZ63"/>
  <c r="DB63" s="1"/>
  <c r="DA63"/>
  <c r="DC63"/>
  <c r="A64"/>
  <c r="CY64"/>
  <c r="CZ64"/>
  <c r="DB64" s="1"/>
  <c r="DA64"/>
  <c r="DC64"/>
  <c r="A65"/>
  <c r="CY65"/>
  <c r="CZ65"/>
  <c r="DA65"/>
  <c r="DB65"/>
  <c r="DC65"/>
  <c r="A66"/>
  <c r="CY66"/>
  <c r="CZ66"/>
  <c r="DA66"/>
  <c r="DB66"/>
  <c r="DC66"/>
  <c r="A67"/>
  <c r="CY67"/>
  <c r="CZ67"/>
  <c r="DB67" s="1"/>
  <c r="DA67"/>
  <c r="DC67"/>
  <c r="A68"/>
  <c r="CY68"/>
  <c r="CZ68"/>
  <c r="DB68" s="1"/>
  <c r="DA68"/>
  <c r="DC68"/>
  <c r="A69"/>
  <c r="CY69"/>
  <c r="CZ69"/>
  <c r="DA69"/>
  <c r="DB69"/>
  <c r="DC69"/>
  <c r="A70"/>
  <c r="CY70"/>
  <c r="CZ70"/>
  <c r="DA70"/>
  <c r="DB70"/>
  <c r="DC70"/>
  <c r="A71"/>
  <c r="CY71"/>
  <c r="CZ71"/>
  <c r="DB71" s="1"/>
  <c r="DA71"/>
  <c r="DC71"/>
  <c r="A72"/>
  <c r="CY72"/>
  <c r="CZ72"/>
  <c r="DB72" s="1"/>
  <c r="DA72"/>
  <c r="DC72"/>
  <c r="A73"/>
  <c r="CY73"/>
  <c r="CZ73"/>
  <c r="DA73"/>
  <c r="DB73"/>
  <c r="DC73"/>
  <c r="A74"/>
  <c r="CY74"/>
  <c r="CZ74"/>
  <c r="DA74"/>
  <c r="DB74"/>
  <c r="DC74"/>
  <c r="A75"/>
  <c r="CY75"/>
  <c r="CZ75"/>
  <c r="DB75" s="1"/>
  <c r="DA75"/>
  <c r="DC75"/>
  <c r="A76"/>
  <c r="CY76"/>
  <c r="CZ76"/>
  <c r="DB76" s="1"/>
  <c r="DA76"/>
  <c r="DC76"/>
  <c r="A77"/>
  <c r="CY77"/>
  <c r="CZ77"/>
  <c r="DA77"/>
  <c r="DB77"/>
  <c r="DC77"/>
  <c r="A78"/>
  <c r="CY78"/>
  <c r="CZ78"/>
  <c r="DA78"/>
  <c r="DB78"/>
  <c r="DC78"/>
  <c r="A79"/>
  <c r="CY79"/>
  <c r="CZ79"/>
  <c r="DB79" s="1"/>
  <c r="DA79"/>
  <c r="DC79"/>
  <c r="A80"/>
  <c r="CY80"/>
  <c r="CZ80"/>
  <c r="DB80" s="1"/>
  <c r="DA80"/>
  <c r="DC80"/>
  <c r="A81"/>
  <c r="CY81"/>
  <c r="CZ81"/>
  <c r="DA81"/>
  <c r="DB81"/>
  <c r="DC81"/>
  <c r="A82"/>
  <c r="CY82"/>
  <c r="CZ82"/>
  <c r="DA82"/>
  <c r="DB82"/>
  <c r="DC82"/>
  <c r="A83"/>
  <c r="CY83"/>
  <c r="CZ83"/>
  <c r="DB83" s="1"/>
  <c r="DA83"/>
  <c r="DC83"/>
  <c r="A84"/>
  <c r="CY84"/>
  <c r="CZ84"/>
  <c r="DB84" s="1"/>
  <c r="DA84"/>
  <c r="DC84"/>
  <c r="A85"/>
  <c r="CY85"/>
  <c r="CZ85"/>
  <c r="DA85"/>
  <c r="DB85"/>
  <c r="DC85"/>
  <c r="A86"/>
  <c r="CY86"/>
  <c r="CZ86"/>
  <c r="DA86"/>
  <c r="DB86"/>
  <c r="DC86"/>
  <c r="A87"/>
  <c r="CY87"/>
  <c r="CZ87"/>
  <c r="DB87" s="1"/>
  <c r="DA87"/>
  <c r="DC87"/>
  <c r="A88"/>
  <c r="CY88"/>
  <c r="CZ88"/>
  <c r="DB88" s="1"/>
  <c r="DA88"/>
  <c r="DC88"/>
  <c r="A89"/>
  <c r="CY89"/>
  <c r="CZ89"/>
  <c r="DA89"/>
  <c r="DB89"/>
  <c r="DC89"/>
  <c r="A90"/>
  <c r="CY90"/>
  <c r="CZ90"/>
  <c r="DA90"/>
  <c r="DB90"/>
  <c r="DC90"/>
  <c r="A91"/>
  <c r="CY91"/>
  <c r="CZ91"/>
  <c r="DB91" s="1"/>
  <c r="DA91"/>
  <c r="DC91"/>
  <c r="A92"/>
  <c r="CY92"/>
  <c r="CZ92"/>
  <c r="DB92" s="1"/>
  <c r="DA92"/>
  <c r="DC92"/>
  <c r="A93"/>
  <c r="CY93"/>
  <c r="CZ93"/>
  <c r="DA93"/>
  <c r="DB93"/>
  <c r="DC93"/>
  <c r="A94"/>
  <c r="CX94"/>
  <c r="CY94"/>
  <c r="CZ94"/>
  <c r="DA94"/>
  <c r="DB94"/>
  <c r="DC94"/>
  <c r="A95"/>
  <c r="CX95"/>
  <c r="CY95"/>
  <c r="CZ95"/>
  <c r="DB95" s="1"/>
  <c r="DA95"/>
  <c r="DC95"/>
  <c r="A96"/>
  <c r="CX96"/>
  <c r="CY96"/>
  <c r="CZ96"/>
  <c r="DB96" s="1"/>
  <c r="DA96"/>
  <c r="DC96"/>
  <c r="A97"/>
  <c r="CX97"/>
  <c r="CY97"/>
  <c r="CZ97"/>
  <c r="DA97"/>
  <c r="DB97"/>
  <c r="DC97"/>
  <c r="A98"/>
  <c r="CX98"/>
  <c r="CY98"/>
  <c r="CZ98"/>
  <c r="DA98"/>
  <c r="DB98"/>
  <c r="DC98"/>
  <c r="A99"/>
  <c r="CX99"/>
  <c r="CY99"/>
  <c r="CZ99"/>
  <c r="DB99" s="1"/>
  <c r="DA99"/>
  <c r="DC99"/>
  <c r="A100"/>
  <c r="CX100"/>
  <c r="CY100"/>
  <c r="CZ100"/>
  <c r="DB100" s="1"/>
  <c r="DA100"/>
  <c r="DC100"/>
  <c r="A101"/>
  <c r="CX101"/>
  <c r="CY101"/>
  <c r="CZ101"/>
  <c r="DA101"/>
  <c r="DB101"/>
  <c r="DC101"/>
  <c r="A102"/>
  <c r="CX102"/>
  <c r="CY102"/>
  <c r="CZ102"/>
  <c r="DA102"/>
  <c r="DB102"/>
  <c r="DC102"/>
  <c r="A103"/>
  <c r="CX103"/>
  <c r="CY103"/>
  <c r="CZ103"/>
  <c r="DB103" s="1"/>
  <c r="DA103"/>
  <c r="DC103"/>
  <c r="A104"/>
  <c r="CX104"/>
  <c r="CY104"/>
  <c r="CZ104"/>
  <c r="DB104" s="1"/>
  <c r="DA104"/>
  <c r="DC104"/>
  <c r="A105"/>
  <c r="CX105"/>
  <c r="CY105"/>
  <c r="CZ105"/>
  <c r="DA105"/>
  <c r="DB105"/>
  <c r="DC105"/>
  <c r="A106"/>
  <c r="CX106"/>
  <c r="CY106"/>
  <c r="CZ106"/>
  <c r="DA106"/>
  <c r="DB106"/>
  <c r="DC106"/>
  <c r="A107"/>
  <c r="CX107"/>
  <c r="CY107"/>
  <c r="CZ107"/>
  <c r="DB107" s="1"/>
  <c r="DA107"/>
  <c r="DC107"/>
  <c r="A108"/>
  <c r="CX108"/>
  <c r="CY108"/>
  <c r="CZ108"/>
  <c r="DB108" s="1"/>
  <c r="DA108"/>
  <c r="DC108"/>
  <c r="A109"/>
  <c r="CX109"/>
  <c r="CY109"/>
  <c r="CZ109"/>
  <c r="DA109"/>
  <c r="DB109"/>
  <c r="DC109"/>
  <c r="A110"/>
  <c r="CX110"/>
  <c r="CY110"/>
  <c r="CZ110"/>
  <c r="DA110"/>
  <c r="DB110"/>
  <c r="DC110"/>
  <c r="A111"/>
  <c r="CX111"/>
  <c r="CY111"/>
  <c r="CZ111"/>
  <c r="DB111" s="1"/>
  <c r="DA111"/>
  <c r="DC111"/>
  <c r="A112"/>
  <c r="CX112"/>
  <c r="CY112"/>
  <c r="CZ112"/>
  <c r="DB112" s="1"/>
  <c r="DA112"/>
  <c r="DC112"/>
  <c r="A113"/>
  <c r="CY113"/>
  <c r="CZ113"/>
  <c r="DA113"/>
  <c r="DB113"/>
  <c r="DC113"/>
  <c r="A114"/>
  <c r="CY114"/>
  <c r="CZ114"/>
  <c r="DA114"/>
  <c r="DB114"/>
  <c r="DC114"/>
  <c r="A115"/>
  <c r="CY115"/>
  <c r="CZ115"/>
  <c r="DB115" s="1"/>
  <c r="DA115"/>
  <c r="DC115"/>
  <c r="A116"/>
  <c r="CY116"/>
  <c r="CZ116"/>
  <c r="DB116" s="1"/>
  <c r="DA116"/>
  <c r="DC116"/>
  <c r="A117"/>
  <c r="CY117"/>
  <c r="CZ117"/>
  <c r="DA117"/>
  <c r="DB117"/>
  <c r="DC117"/>
  <c r="A118"/>
  <c r="CY118"/>
  <c r="CZ118"/>
  <c r="DA118"/>
  <c r="DB118"/>
  <c r="DC118"/>
  <c r="A119"/>
  <c r="CY119"/>
  <c r="CZ119"/>
  <c r="DB119" s="1"/>
  <c r="DA119"/>
  <c r="DC119"/>
  <c r="A120"/>
  <c r="CY120"/>
  <c r="CZ120"/>
  <c r="DB120" s="1"/>
  <c r="DA120"/>
  <c r="DC120"/>
  <c r="A121"/>
  <c r="CY121"/>
  <c r="CZ121"/>
  <c r="DA121"/>
  <c r="DB121"/>
  <c r="DC121"/>
  <c r="A122"/>
  <c r="CY122"/>
  <c r="CZ122"/>
  <c r="DA122"/>
  <c r="DB122"/>
  <c r="DC122"/>
  <c r="A123"/>
  <c r="CY123"/>
  <c r="CZ123"/>
  <c r="DB123" s="1"/>
  <c r="DA123"/>
  <c r="DC123"/>
  <c r="A124"/>
  <c r="CY124"/>
  <c r="CZ124"/>
  <c r="DB124" s="1"/>
  <c r="DA124"/>
  <c r="DC124"/>
  <c r="A125"/>
  <c r="CY125"/>
  <c r="CZ125"/>
  <c r="DA125"/>
  <c r="DB125"/>
  <c r="DC125"/>
  <c r="A126"/>
  <c r="CY126"/>
  <c r="CZ126"/>
  <c r="DA126"/>
  <c r="DB126"/>
  <c r="DC126"/>
  <c r="A127"/>
  <c r="CY127"/>
  <c r="CZ127"/>
  <c r="DB127" s="1"/>
  <c r="DA127"/>
  <c r="DC127"/>
  <c r="A128"/>
  <c r="CY128"/>
  <c r="CZ128"/>
  <c r="DB128" s="1"/>
  <c r="DA128"/>
  <c r="DC128"/>
  <c r="A129"/>
  <c r="CY129"/>
  <c r="CZ129"/>
  <c r="DA129"/>
  <c r="DB129"/>
  <c r="DC129"/>
  <c r="A130"/>
  <c r="CY130"/>
  <c r="CZ130"/>
  <c r="DA130"/>
  <c r="DB130"/>
  <c r="DC130"/>
  <c r="A131"/>
  <c r="CY131"/>
  <c r="CZ131"/>
  <c r="DB131" s="1"/>
  <c r="DA131"/>
  <c r="DC131"/>
  <c r="A132"/>
  <c r="CY132"/>
  <c r="CZ132"/>
  <c r="DB132" s="1"/>
  <c r="DA132"/>
  <c r="DC132"/>
  <c r="A133"/>
  <c r="CY133"/>
  <c r="CZ133"/>
  <c r="DA133"/>
  <c r="DB133"/>
  <c r="DC133"/>
  <c r="A134"/>
  <c r="CY134"/>
  <c r="CZ134"/>
  <c r="DA134"/>
  <c r="DB134"/>
  <c r="DC134"/>
  <c r="A135"/>
  <c r="CY135"/>
  <c r="CZ135"/>
  <c r="DB135" s="1"/>
  <c r="DA135"/>
  <c r="DC135"/>
  <c r="A136"/>
  <c r="CY136"/>
  <c r="CZ136"/>
  <c r="DB136" s="1"/>
  <c r="DA136"/>
  <c r="DC136"/>
  <c r="A137"/>
  <c r="CY137"/>
  <c r="CZ137"/>
  <c r="DA137"/>
  <c r="DB137"/>
  <c r="DC137"/>
  <c r="A138"/>
  <c r="CY138"/>
  <c r="CZ138"/>
  <c r="DA138"/>
  <c r="DB138"/>
  <c r="DC138"/>
  <c r="A139"/>
  <c r="CY139"/>
  <c r="CZ139"/>
  <c r="DB139" s="1"/>
  <c r="DA139"/>
  <c r="DC139"/>
  <c r="A140"/>
  <c r="CY140"/>
  <c r="CZ140"/>
  <c r="DB140" s="1"/>
  <c r="DA140"/>
  <c r="DC140"/>
  <c r="A141"/>
  <c r="CY141"/>
  <c r="CZ141"/>
  <c r="DA141"/>
  <c r="DB141"/>
  <c r="DC141"/>
  <c r="A142"/>
  <c r="CY142"/>
  <c r="CZ142"/>
  <c r="DA142"/>
  <c r="DB142"/>
  <c r="DC142"/>
  <c r="A143"/>
  <c r="CY143"/>
  <c r="CZ143"/>
  <c r="DB143" s="1"/>
  <c r="DA143"/>
  <c r="DC143"/>
  <c r="A144"/>
  <c r="CY144"/>
  <c r="CZ144"/>
  <c r="DB144" s="1"/>
  <c r="DA144"/>
  <c r="DC144"/>
  <c r="A145"/>
  <c r="CY145"/>
  <c r="CZ145"/>
  <c r="DA145"/>
  <c r="DB145"/>
  <c r="DC145"/>
  <c r="A146"/>
  <c r="CY146"/>
  <c r="CZ146"/>
  <c r="DA146"/>
  <c r="DB146"/>
  <c r="DC146"/>
  <c r="A147"/>
  <c r="CY147"/>
  <c r="CZ147"/>
  <c r="DB147" s="1"/>
  <c r="DA147"/>
  <c r="DC147"/>
  <c r="A148"/>
  <c r="CY148"/>
  <c r="CZ148"/>
  <c r="DB148" s="1"/>
  <c r="DA148"/>
  <c r="DC148"/>
  <c r="A149"/>
  <c r="CY149"/>
  <c r="CZ149"/>
  <c r="DA149"/>
  <c r="DB149"/>
  <c r="DC149"/>
  <c r="A150"/>
  <c r="CY150"/>
  <c r="CZ150"/>
  <c r="DA150"/>
  <c r="DB150"/>
  <c r="DC150"/>
  <c r="A151"/>
  <c r="CY151"/>
  <c r="CZ151"/>
  <c r="DB151" s="1"/>
  <c r="DA151"/>
  <c r="DC151"/>
  <c r="A152"/>
  <c r="CY152"/>
  <c r="CZ152"/>
  <c r="DB152" s="1"/>
  <c r="DA152"/>
  <c r="DC152"/>
  <c r="A153"/>
  <c r="CY153"/>
  <c r="CZ153"/>
  <c r="DA153"/>
  <c r="DB153"/>
  <c r="DC153"/>
  <c r="A154"/>
  <c r="CY154"/>
  <c r="CZ154"/>
  <c r="DA154"/>
  <c r="DB154"/>
  <c r="DC154"/>
  <c r="A155"/>
  <c r="CY155"/>
  <c r="CZ155"/>
  <c r="DB155" s="1"/>
  <c r="DA155"/>
  <c r="DC155"/>
  <c r="A156"/>
  <c r="CY156"/>
  <c r="CZ156"/>
  <c r="DB156" s="1"/>
  <c r="DA156"/>
  <c r="DC156"/>
  <c r="A157"/>
  <c r="CY157"/>
  <c r="CZ157"/>
  <c r="DA157"/>
  <c r="DB157"/>
  <c r="DC157"/>
  <c r="A158"/>
  <c r="CY158"/>
  <c r="CZ158"/>
  <c r="DA158"/>
  <c r="DB158"/>
  <c r="DC158"/>
  <c r="A159"/>
  <c r="CY159"/>
  <c r="CZ159"/>
  <c r="DB159" s="1"/>
  <c r="DA159"/>
  <c r="DC159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AC28"/>
  <c r="AB28" s="1"/>
  <c r="AD28"/>
  <c r="CR28" s="1"/>
  <c r="Q28" s="1"/>
  <c r="AE28"/>
  <c r="AF28"/>
  <c r="AG28"/>
  <c r="AH28"/>
  <c r="CV28" s="1"/>
  <c r="U28" s="1"/>
  <c r="AI28"/>
  <c r="AJ28"/>
  <c r="CQ28"/>
  <c r="P28" s="1"/>
  <c r="CS28"/>
  <c r="R28" s="1"/>
  <c r="CT28"/>
  <c r="S28" s="1"/>
  <c r="CU28"/>
  <c r="T28" s="1"/>
  <c r="CW28"/>
  <c r="V28" s="1"/>
  <c r="CX28"/>
  <c r="W28" s="1"/>
  <c r="CY28"/>
  <c r="X28" s="1"/>
  <c r="CZ28"/>
  <c r="Y28" s="1"/>
  <c r="FR28"/>
  <c r="GL28"/>
  <c r="GO28"/>
  <c r="GP28"/>
  <c r="GV28"/>
  <c r="HC28" s="1"/>
  <c r="GX28" s="1"/>
  <c r="I29"/>
  <c r="AC29"/>
  <c r="CQ29" s="1"/>
  <c r="P29" s="1"/>
  <c r="AD29"/>
  <c r="AE29"/>
  <c r="AF29"/>
  <c r="AB29" s="1"/>
  <c r="AG29"/>
  <c r="CU29" s="1"/>
  <c r="T29" s="1"/>
  <c r="AH29"/>
  <c r="AI29"/>
  <c r="AJ29"/>
  <c r="CX29" s="1"/>
  <c r="W29" s="1"/>
  <c r="CR29"/>
  <c r="Q29" s="1"/>
  <c r="CS29"/>
  <c r="R29" s="1"/>
  <c r="CV29"/>
  <c r="U29" s="1"/>
  <c r="CW29"/>
  <c r="V29" s="1"/>
  <c r="CY29"/>
  <c r="X29" s="1"/>
  <c r="CZ29"/>
  <c r="Y29" s="1"/>
  <c r="FR29"/>
  <c r="GL29"/>
  <c r="GO29"/>
  <c r="GP29"/>
  <c r="GV29"/>
  <c r="HC29"/>
  <c r="GX29" s="1"/>
  <c r="C30"/>
  <c r="D30"/>
  <c r="I30"/>
  <c r="CX6" i="3" s="1"/>
  <c r="K30" i="1"/>
  <c r="AC30"/>
  <c r="CQ30" s="1"/>
  <c r="P30" s="1"/>
  <c r="AD30"/>
  <c r="CR30" s="1"/>
  <c r="Q30" s="1"/>
  <c r="AE30"/>
  <c r="AF30"/>
  <c r="AB30" s="1"/>
  <c r="AG30"/>
  <c r="CU30" s="1"/>
  <c r="T30" s="1"/>
  <c r="AH30"/>
  <c r="CV30" s="1"/>
  <c r="U30" s="1"/>
  <c r="AI30"/>
  <c r="AJ30"/>
  <c r="CX30" s="1"/>
  <c r="W30" s="1"/>
  <c r="CS30"/>
  <c r="R30" s="1"/>
  <c r="CW30"/>
  <c r="V30" s="1"/>
  <c r="FR30"/>
  <c r="GL30"/>
  <c r="GO30"/>
  <c r="GP30"/>
  <c r="GV30"/>
  <c r="HC30"/>
  <c r="GX30" s="1"/>
  <c r="C31"/>
  <c r="D31"/>
  <c r="I31"/>
  <c r="CX10" i="3" s="1"/>
  <c r="K31" i="1"/>
  <c r="AC31"/>
  <c r="CQ31" s="1"/>
  <c r="P31" s="1"/>
  <c r="AE31"/>
  <c r="AD31" s="1"/>
  <c r="AF31"/>
  <c r="CT31" s="1"/>
  <c r="S31" s="1"/>
  <c r="AG31"/>
  <c r="CU31" s="1"/>
  <c r="T31" s="1"/>
  <c r="AH31"/>
  <c r="AI31"/>
  <c r="AJ31"/>
  <c r="CX31" s="1"/>
  <c r="W31" s="1"/>
  <c r="CS31"/>
  <c r="R31" s="1"/>
  <c r="CV31"/>
  <c r="U31" s="1"/>
  <c r="CW31"/>
  <c r="V31" s="1"/>
  <c r="FR31"/>
  <c r="GL31"/>
  <c r="GO31"/>
  <c r="GP31"/>
  <c r="GV31"/>
  <c r="HC31"/>
  <c r="GX31" s="1"/>
  <c r="I32"/>
  <c r="AC32"/>
  <c r="AE32"/>
  <c r="AD32" s="1"/>
  <c r="AF32"/>
  <c r="CT32" s="1"/>
  <c r="S32" s="1"/>
  <c r="AG32"/>
  <c r="AH32"/>
  <c r="AI32"/>
  <c r="CW32" s="1"/>
  <c r="V32" s="1"/>
  <c r="AJ32"/>
  <c r="CX32" s="1"/>
  <c r="W32" s="1"/>
  <c r="CQ32"/>
  <c r="P32" s="1"/>
  <c r="CU32"/>
  <c r="T32" s="1"/>
  <c r="CV32"/>
  <c r="U32" s="1"/>
  <c r="FR32"/>
  <c r="GL32"/>
  <c r="GO32"/>
  <c r="GP32"/>
  <c r="GV32"/>
  <c r="GX32"/>
  <c r="HC32"/>
  <c r="C33"/>
  <c r="D33"/>
  <c r="I33"/>
  <c r="CX11" i="3" s="1"/>
  <c r="K33" i="1"/>
  <c r="AC33"/>
  <c r="CQ33" s="1"/>
  <c r="P33" s="1"/>
  <c r="AE33"/>
  <c r="AD33" s="1"/>
  <c r="AF33"/>
  <c r="CT33" s="1"/>
  <c r="S33" s="1"/>
  <c r="AG33"/>
  <c r="CU33" s="1"/>
  <c r="T33" s="1"/>
  <c r="AH33"/>
  <c r="AI33"/>
  <c r="CW33" s="1"/>
  <c r="V33" s="1"/>
  <c r="AJ33"/>
  <c r="CX33" s="1"/>
  <c r="W33" s="1"/>
  <c r="CV33"/>
  <c r="U33" s="1"/>
  <c r="FR33"/>
  <c r="GL33"/>
  <c r="GO33"/>
  <c r="GP33"/>
  <c r="GV33"/>
  <c r="GX33"/>
  <c r="HC33"/>
  <c r="AC34"/>
  <c r="AD34"/>
  <c r="AB34" s="1"/>
  <c r="AE34"/>
  <c r="CS34" s="1"/>
  <c r="AF34"/>
  <c r="CT34" s="1"/>
  <c r="AG34"/>
  <c r="AH34"/>
  <c r="CV34" s="1"/>
  <c r="AI34"/>
  <c r="CW34" s="1"/>
  <c r="AJ34"/>
  <c r="CX34" s="1"/>
  <c r="CQ34"/>
  <c r="CU34"/>
  <c r="FR34"/>
  <c r="GL34"/>
  <c r="GO34"/>
  <c r="GP34"/>
  <c r="GV34"/>
  <c r="HC34" s="1"/>
  <c r="C35"/>
  <c r="D35"/>
  <c r="I35"/>
  <c r="CX14" i="3" s="1"/>
  <c r="K35" i="1"/>
  <c r="AC35"/>
  <c r="AD35"/>
  <c r="AB35" s="1"/>
  <c r="AE35"/>
  <c r="CS35" s="1"/>
  <c r="R35" s="1"/>
  <c r="AF35"/>
  <c r="CT35" s="1"/>
  <c r="S35" s="1"/>
  <c r="AG35"/>
  <c r="AH35"/>
  <c r="CV35" s="1"/>
  <c r="U35" s="1"/>
  <c r="AI35"/>
  <c r="CW35" s="1"/>
  <c r="V35" s="1"/>
  <c r="AJ35"/>
  <c r="CX35" s="1"/>
  <c r="W35" s="1"/>
  <c r="CQ35"/>
  <c r="P35" s="1"/>
  <c r="CU35"/>
  <c r="T35" s="1"/>
  <c r="FR35"/>
  <c r="GL35"/>
  <c r="GO35"/>
  <c r="GP35"/>
  <c r="GV35"/>
  <c r="HC35" s="1"/>
  <c r="GX35" s="1"/>
  <c r="AC36"/>
  <c r="AB36" s="1"/>
  <c r="AD36"/>
  <c r="CR36" s="1"/>
  <c r="AE36"/>
  <c r="CS36" s="1"/>
  <c r="AF36"/>
  <c r="AG36"/>
  <c r="CU36" s="1"/>
  <c r="AH36"/>
  <c r="CV36" s="1"/>
  <c r="AI36"/>
  <c r="CW36" s="1"/>
  <c r="AJ36"/>
  <c r="CT36"/>
  <c r="CX36"/>
  <c r="FR36"/>
  <c r="GL36"/>
  <c r="GO36"/>
  <c r="GP36"/>
  <c r="GV36"/>
  <c r="HC36" s="1"/>
  <c r="B38"/>
  <c r="B26" s="1"/>
  <c r="C38"/>
  <c r="C26" s="1"/>
  <c r="D38"/>
  <c r="D26" s="1"/>
  <c r="F38"/>
  <c r="F26" s="1"/>
  <c r="G38"/>
  <c r="G26" s="1"/>
  <c r="BX38"/>
  <c r="BX26" s="1"/>
  <c r="BY38"/>
  <c r="BY26" s="1"/>
  <c r="BZ38"/>
  <c r="BZ26" s="1"/>
  <c r="CC38"/>
  <c r="CC26" s="1"/>
  <c r="CD38"/>
  <c r="CD26" s="1"/>
  <c r="CG38"/>
  <c r="CG26" s="1"/>
  <c r="CK38"/>
  <c r="CK26" s="1"/>
  <c r="CL38"/>
  <c r="CL26" s="1"/>
  <c r="CM38"/>
  <c r="CM26" s="1"/>
  <c r="D68"/>
  <c r="E70"/>
  <c r="Z70"/>
  <c r="AA70"/>
  <c r="AM70"/>
  <c r="AN70"/>
  <c r="BE70"/>
  <c r="BF70"/>
  <c r="BG70"/>
  <c r="BH70"/>
  <c r="BI70"/>
  <c r="BJ70"/>
  <c r="BK70"/>
  <c r="BL70"/>
  <c r="BM70"/>
  <c r="BN70"/>
  <c r="BO70"/>
  <c r="BP70"/>
  <c r="BQ70"/>
  <c r="BR70"/>
  <c r="BS70"/>
  <c r="BT70"/>
  <c r="BU70"/>
  <c r="BV70"/>
  <c r="BW70"/>
  <c r="CN70"/>
  <c r="CO70"/>
  <c r="CP70"/>
  <c r="CQ70"/>
  <c r="CR70"/>
  <c r="CS70"/>
  <c r="CT70"/>
  <c r="CU70"/>
  <c r="CV70"/>
  <c r="CW70"/>
  <c r="CX70"/>
  <c r="CY70"/>
  <c r="CZ70"/>
  <c r="DA70"/>
  <c r="DB70"/>
  <c r="DC70"/>
  <c r="DD70"/>
  <c r="DE70"/>
  <c r="DF70"/>
  <c r="DG70"/>
  <c r="DH70"/>
  <c r="DI70"/>
  <c r="DJ70"/>
  <c r="DK70"/>
  <c r="DL70"/>
  <c r="DM70"/>
  <c r="DN70"/>
  <c r="DO70"/>
  <c r="DP70"/>
  <c r="DQ70"/>
  <c r="DR70"/>
  <c r="DS70"/>
  <c r="DT70"/>
  <c r="DU70"/>
  <c r="DV70"/>
  <c r="DW70"/>
  <c r="DX70"/>
  <c r="DY70"/>
  <c r="DZ70"/>
  <c r="EA70"/>
  <c r="EB70"/>
  <c r="EC70"/>
  <c r="ED70"/>
  <c r="EE70"/>
  <c r="EF70"/>
  <c r="EG70"/>
  <c r="EH70"/>
  <c r="EI70"/>
  <c r="EJ70"/>
  <c r="EK70"/>
  <c r="EL70"/>
  <c r="EM70"/>
  <c r="EN70"/>
  <c r="EO70"/>
  <c r="EP70"/>
  <c r="EQ70"/>
  <c r="ER70"/>
  <c r="ES70"/>
  <c r="ET70"/>
  <c r="EU70"/>
  <c r="EV70"/>
  <c r="EW70"/>
  <c r="EX70"/>
  <c r="EY70"/>
  <c r="EZ70"/>
  <c r="FA70"/>
  <c r="FB70"/>
  <c r="FC70"/>
  <c r="FD70"/>
  <c r="FE70"/>
  <c r="FF70"/>
  <c r="FG70"/>
  <c r="FH70"/>
  <c r="FI70"/>
  <c r="FJ70"/>
  <c r="FK70"/>
  <c r="FL70"/>
  <c r="FM70"/>
  <c r="FN70"/>
  <c r="FO70"/>
  <c r="FP70"/>
  <c r="FQ70"/>
  <c r="FR70"/>
  <c r="FS70"/>
  <c r="FT70"/>
  <c r="FU70"/>
  <c r="FV70"/>
  <c r="FW70"/>
  <c r="FX70"/>
  <c r="FY70"/>
  <c r="FZ70"/>
  <c r="GA70"/>
  <c r="GB70"/>
  <c r="GC70"/>
  <c r="GD70"/>
  <c r="GE70"/>
  <c r="GF70"/>
  <c r="GG70"/>
  <c r="GH70"/>
  <c r="GI70"/>
  <c r="GJ70"/>
  <c r="GK70"/>
  <c r="GL70"/>
  <c r="GM70"/>
  <c r="GN70"/>
  <c r="GO70"/>
  <c r="GP70"/>
  <c r="GQ70"/>
  <c r="GR70"/>
  <c r="GS70"/>
  <c r="GT70"/>
  <c r="GU70"/>
  <c r="GV70"/>
  <c r="GW70"/>
  <c r="GX70"/>
  <c r="C72"/>
  <c r="D72"/>
  <c r="AC72"/>
  <c r="AB72" s="1"/>
  <c r="AD72"/>
  <c r="CR72" s="1"/>
  <c r="Q72" s="1"/>
  <c r="AE72"/>
  <c r="CS72" s="1"/>
  <c r="R72" s="1"/>
  <c r="AF72"/>
  <c r="AG72"/>
  <c r="AH72"/>
  <c r="CV72" s="1"/>
  <c r="U72" s="1"/>
  <c r="AI72"/>
  <c r="CW72" s="1"/>
  <c r="V72" s="1"/>
  <c r="AJ72"/>
  <c r="CQ72"/>
  <c r="P72" s="1"/>
  <c r="CT72"/>
  <c r="S72" s="1"/>
  <c r="CU72"/>
  <c r="T72" s="1"/>
  <c r="CX72"/>
  <c r="W72" s="1"/>
  <c r="FR72"/>
  <c r="GL72"/>
  <c r="GO72"/>
  <c r="GP72"/>
  <c r="GV72"/>
  <c r="HC72" s="1"/>
  <c r="GX72" s="1"/>
  <c r="C73"/>
  <c r="D73"/>
  <c r="AC73"/>
  <c r="AB73" s="1"/>
  <c r="AE73"/>
  <c r="AD73" s="1"/>
  <c r="CR73" s="1"/>
  <c r="Q73" s="1"/>
  <c r="AF73"/>
  <c r="AG73"/>
  <c r="CU73" s="1"/>
  <c r="T73" s="1"/>
  <c r="AH73"/>
  <c r="AI73"/>
  <c r="AJ73"/>
  <c r="CS73"/>
  <c r="R73" s="1"/>
  <c r="CT73"/>
  <c r="S73" s="1"/>
  <c r="CV73"/>
  <c r="U73" s="1"/>
  <c r="CW73"/>
  <c r="V73" s="1"/>
  <c r="CX73"/>
  <c r="W73" s="1"/>
  <c r="FR73"/>
  <c r="GL73"/>
  <c r="GO73"/>
  <c r="GP73"/>
  <c r="GV73"/>
  <c r="HC73"/>
  <c r="GX73" s="1"/>
  <c r="I74"/>
  <c r="AC74"/>
  <c r="AE74"/>
  <c r="AD74" s="1"/>
  <c r="AF74"/>
  <c r="CT74" s="1"/>
  <c r="S74" s="1"/>
  <c r="AG74"/>
  <c r="AH74"/>
  <c r="AI74"/>
  <c r="AJ74"/>
  <c r="CX74" s="1"/>
  <c r="W74" s="1"/>
  <c r="CQ74"/>
  <c r="P74" s="1"/>
  <c r="CS74"/>
  <c r="R74" s="1"/>
  <c r="CU74"/>
  <c r="T74" s="1"/>
  <c r="CV74"/>
  <c r="U74" s="1"/>
  <c r="CW74"/>
  <c r="V74" s="1"/>
  <c r="FR74"/>
  <c r="GL74"/>
  <c r="GO74"/>
  <c r="GP74"/>
  <c r="GV74"/>
  <c r="HC74"/>
  <c r="GX74" s="1"/>
  <c r="C75"/>
  <c r="D75"/>
  <c r="I75"/>
  <c r="CX46" i="3" s="1"/>
  <c r="K75" i="1"/>
  <c r="AC75"/>
  <c r="CQ75" s="1"/>
  <c r="P75" s="1"/>
  <c r="AE75"/>
  <c r="AD75" s="1"/>
  <c r="AF75"/>
  <c r="CT75" s="1"/>
  <c r="S75" s="1"/>
  <c r="AG75"/>
  <c r="CU75" s="1"/>
  <c r="T75" s="1"/>
  <c r="AH75"/>
  <c r="AI75"/>
  <c r="AJ75"/>
  <c r="CX75" s="1"/>
  <c r="W75" s="1"/>
  <c r="CS75"/>
  <c r="R75" s="1"/>
  <c r="CV75"/>
  <c r="U75" s="1"/>
  <c r="CW75"/>
  <c r="V75" s="1"/>
  <c r="FR75"/>
  <c r="GL75"/>
  <c r="GO75"/>
  <c r="GP75"/>
  <c r="GV75"/>
  <c r="HC75"/>
  <c r="GX75" s="1"/>
  <c r="C76"/>
  <c r="D76"/>
  <c r="I76"/>
  <c r="CX51" i="3" s="1"/>
  <c r="K76" i="1"/>
  <c r="AC76"/>
  <c r="CQ76" s="1"/>
  <c r="P76" s="1"/>
  <c r="AE76"/>
  <c r="AD76" s="1"/>
  <c r="AF76"/>
  <c r="CT76" s="1"/>
  <c r="S76" s="1"/>
  <c r="AG76"/>
  <c r="CU76" s="1"/>
  <c r="T76" s="1"/>
  <c r="AH76"/>
  <c r="AI76"/>
  <c r="AJ76"/>
  <c r="CX76" s="1"/>
  <c r="W76" s="1"/>
  <c r="CS76"/>
  <c r="R76" s="1"/>
  <c r="CV76"/>
  <c r="U76" s="1"/>
  <c r="CW76"/>
  <c r="V76" s="1"/>
  <c r="FR76"/>
  <c r="GL76"/>
  <c r="GO76"/>
  <c r="GP76"/>
  <c r="GV76"/>
  <c r="HC76"/>
  <c r="GX76" s="1"/>
  <c r="I77"/>
  <c r="AC77"/>
  <c r="AE77"/>
  <c r="AD77" s="1"/>
  <c r="AF77"/>
  <c r="CT77" s="1"/>
  <c r="S77" s="1"/>
  <c r="AG77"/>
  <c r="AH77"/>
  <c r="AI77"/>
  <c r="CW77" s="1"/>
  <c r="V77" s="1"/>
  <c r="AJ77"/>
  <c r="CX77" s="1"/>
  <c r="W77" s="1"/>
  <c r="CQ77"/>
  <c r="P77" s="1"/>
  <c r="CU77"/>
  <c r="T77" s="1"/>
  <c r="CV77"/>
  <c r="U77" s="1"/>
  <c r="FR77"/>
  <c r="GL77"/>
  <c r="GO77"/>
  <c r="GP77"/>
  <c r="GV77"/>
  <c r="HC77" s="1"/>
  <c r="GX77" s="1"/>
  <c r="C78"/>
  <c r="D78"/>
  <c r="I78"/>
  <c r="CX54" i="3" s="1"/>
  <c r="K78" i="1"/>
  <c r="AC78"/>
  <c r="AE78"/>
  <c r="AD78" s="1"/>
  <c r="AF78"/>
  <c r="CT78" s="1"/>
  <c r="S78" s="1"/>
  <c r="AG78"/>
  <c r="AH78"/>
  <c r="AI78"/>
  <c r="CW78" s="1"/>
  <c r="V78" s="1"/>
  <c r="AJ78"/>
  <c r="CX78" s="1"/>
  <c r="W78" s="1"/>
  <c r="CQ78"/>
  <c r="P78" s="1"/>
  <c r="CU78"/>
  <c r="T78" s="1"/>
  <c r="CV78"/>
  <c r="U78" s="1"/>
  <c r="FR78"/>
  <c r="GL78"/>
  <c r="GO78"/>
  <c r="GP78"/>
  <c r="GV78"/>
  <c r="HC78" s="1"/>
  <c r="GX78" s="1"/>
  <c r="C79"/>
  <c r="D79"/>
  <c r="I79"/>
  <c r="CX62" i="3" s="1"/>
  <c r="K79" i="1"/>
  <c r="AC79"/>
  <c r="AE79"/>
  <c r="AD79" s="1"/>
  <c r="AF79"/>
  <c r="CT79" s="1"/>
  <c r="S79" s="1"/>
  <c r="AG79"/>
  <c r="AH79"/>
  <c r="AI79"/>
  <c r="CW79" s="1"/>
  <c r="V79" s="1"/>
  <c r="AJ79"/>
  <c r="CX79" s="1"/>
  <c r="W79" s="1"/>
  <c r="CQ79"/>
  <c r="P79" s="1"/>
  <c r="CU79"/>
  <c r="T79" s="1"/>
  <c r="CV79"/>
  <c r="U79" s="1"/>
  <c r="FR79"/>
  <c r="GL79"/>
  <c r="GO79"/>
  <c r="GP79"/>
  <c r="GV79"/>
  <c r="HC79" s="1"/>
  <c r="GX79" s="1"/>
  <c r="C80"/>
  <c r="D80"/>
  <c r="I80"/>
  <c r="CX70" i="3" s="1"/>
  <c r="K80" i="1"/>
  <c r="AC80"/>
  <c r="AE80"/>
  <c r="AD80" s="1"/>
  <c r="AF80"/>
  <c r="CT80" s="1"/>
  <c r="S80" s="1"/>
  <c r="AG80"/>
  <c r="AH80"/>
  <c r="AI80"/>
  <c r="CW80" s="1"/>
  <c r="V80" s="1"/>
  <c r="AJ80"/>
  <c r="CX80" s="1"/>
  <c r="W80" s="1"/>
  <c r="CQ80"/>
  <c r="P80" s="1"/>
  <c r="CU80"/>
  <c r="T80" s="1"/>
  <c r="CV80"/>
  <c r="U80" s="1"/>
  <c r="FR80"/>
  <c r="GL80"/>
  <c r="GO80"/>
  <c r="GP80"/>
  <c r="GV80"/>
  <c r="HC80"/>
  <c r="GX80" s="1"/>
  <c r="AC81"/>
  <c r="AE81"/>
  <c r="AF81"/>
  <c r="AG81"/>
  <c r="AH81"/>
  <c r="AI81"/>
  <c r="CW81" s="1"/>
  <c r="AJ81"/>
  <c r="CQ81"/>
  <c r="CT81"/>
  <c r="CU81"/>
  <c r="CV81"/>
  <c r="CX81"/>
  <c r="FR81"/>
  <c r="GL81"/>
  <c r="GO81"/>
  <c r="GP81"/>
  <c r="GV81"/>
  <c r="HC81" s="1"/>
  <c r="C82"/>
  <c r="D82"/>
  <c r="AC82"/>
  <c r="AE82"/>
  <c r="CS82" s="1"/>
  <c r="R82" s="1"/>
  <c r="AF82"/>
  <c r="CT82" s="1"/>
  <c r="S82" s="1"/>
  <c r="AG82"/>
  <c r="AH82"/>
  <c r="AI82"/>
  <c r="CW82" s="1"/>
  <c r="V82" s="1"/>
  <c r="AJ82"/>
  <c r="CX82" s="1"/>
  <c r="W82" s="1"/>
  <c r="CQ82"/>
  <c r="P82" s="1"/>
  <c r="CU82"/>
  <c r="T82" s="1"/>
  <c r="CV82"/>
  <c r="U82" s="1"/>
  <c r="FR82"/>
  <c r="GL82"/>
  <c r="GO82"/>
  <c r="GP82"/>
  <c r="GV82"/>
  <c r="GX82"/>
  <c r="HC82"/>
  <c r="I83"/>
  <c r="AC83"/>
  <c r="AB83" s="1"/>
  <c r="AD83"/>
  <c r="CR83" s="1"/>
  <c r="Q83" s="1"/>
  <c r="AE83"/>
  <c r="CS83" s="1"/>
  <c r="R83" s="1"/>
  <c r="AF83"/>
  <c r="AG83"/>
  <c r="AH83"/>
  <c r="CV83" s="1"/>
  <c r="U83" s="1"/>
  <c r="AI83"/>
  <c r="CW83" s="1"/>
  <c r="V83" s="1"/>
  <c r="AJ83"/>
  <c r="CQ83"/>
  <c r="P83" s="1"/>
  <c r="CP83" s="1"/>
  <c r="O83" s="1"/>
  <c r="CT83"/>
  <c r="S83" s="1"/>
  <c r="CU83"/>
  <c r="T83" s="1"/>
  <c r="CX83"/>
  <c r="W83" s="1"/>
  <c r="FR83"/>
  <c r="GL83"/>
  <c r="GO83"/>
  <c r="GP83"/>
  <c r="GV83"/>
  <c r="HC83" s="1"/>
  <c r="GX83" s="1"/>
  <c r="I84"/>
  <c r="AC84"/>
  <c r="CQ84" s="1"/>
  <c r="P84" s="1"/>
  <c r="AD84"/>
  <c r="CR84" s="1"/>
  <c r="Q84" s="1"/>
  <c r="AE84"/>
  <c r="AF84"/>
  <c r="AG84"/>
  <c r="CU84" s="1"/>
  <c r="T84" s="1"/>
  <c r="AH84"/>
  <c r="CV84" s="1"/>
  <c r="U84" s="1"/>
  <c r="AI84"/>
  <c r="AJ84"/>
  <c r="CS84"/>
  <c r="R84" s="1"/>
  <c r="CT84"/>
  <c r="S84" s="1"/>
  <c r="CW84"/>
  <c r="V84" s="1"/>
  <c r="CX84"/>
  <c r="W84" s="1"/>
  <c r="FR84"/>
  <c r="GL84"/>
  <c r="GO84"/>
  <c r="GP84"/>
  <c r="GV84"/>
  <c r="HC84" s="1"/>
  <c r="GX84" s="1"/>
  <c r="I85"/>
  <c r="AC85"/>
  <c r="CQ85" s="1"/>
  <c r="P85" s="1"/>
  <c r="AE85"/>
  <c r="AD85" s="1"/>
  <c r="AF85"/>
  <c r="CT85" s="1"/>
  <c r="S85" s="1"/>
  <c r="AG85"/>
  <c r="CU85" s="1"/>
  <c r="T85" s="1"/>
  <c r="AH85"/>
  <c r="AI85"/>
  <c r="AJ85"/>
  <c r="CX85" s="1"/>
  <c r="W85" s="1"/>
  <c r="CS85"/>
  <c r="R85" s="1"/>
  <c r="CV85"/>
  <c r="U85" s="1"/>
  <c r="CW85"/>
  <c r="V85" s="1"/>
  <c r="FR85"/>
  <c r="GL85"/>
  <c r="GO85"/>
  <c r="GP85"/>
  <c r="GV85"/>
  <c r="HC85"/>
  <c r="GX85" s="1"/>
  <c r="C86"/>
  <c r="D86"/>
  <c r="AC86"/>
  <c r="AB86" s="1"/>
  <c r="AD86"/>
  <c r="CR86" s="1"/>
  <c r="Q86" s="1"/>
  <c r="AE86"/>
  <c r="CS86" s="1"/>
  <c r="R86" s="1"/>
  <c r="AF86"/>
  <c r="AG86"/>
  <c r="AH86"/>
  <c r="CV86" s="1"/>
  <c r="U86" s="1"/>
  <c r="AI86"/>
  <c r="CW86" s="1"/>
  <c r="V86" s="1"/>
  <c r="AJ86"/>
  <c r="CQ86"/>
  <c r="P86" s="1"/>
  <c r="CT86"/>
  <c r="S86" s="1"/>
  <c r="CU86"/>
  <c r="T86" s="1"/>
  <c r="CX86"/>
  <c r="W86" s="1"/>
  <c r="FR86"/>
  <c r="GL86"/>
  <c r="GO86"/>
  <c r="GP86"/>
  <c r="GV86"/>
  <c r="HC86" s="1"/>
  <c r="GX86" s="1"/>
  <c r="I87"/>
  <c r="AC87"/>
  <c r="CQ87" s="1"/>
  <c r="P87" s="1"/>
  <c r="CP87" s="1"/>
  <c r="O87" s="1"/>
  <c r="AD87"/>
  <c r="CR87" s="1"/>
  <c r="Q87" s="1"/>
  <c r="AE87"/>
  <c r="AF87"/>
  <c r="AG87"/>
  <c r="CU87" s="1"/>
  <c r="T87" s="1"/>
  <c r="AH87"/>
  <c r="CV87" s="1"/>
  <c r="U87" s="1"/>
  <c r="AI87"/>
  <c r="AJ87"/>
  <c r="CS87"/>
  <c r="R87" s="1"/>
  <c r="CT87"/>
  <c r="S87" s="1"/>
  <c r="CW87"/>
  <c r="V87" s="1"/>
  <c r="CX87"/>
  <c r="W87" s="1"/>
  <c r="FR87"/>
  <c r="GL87"/>
  <c r="GO87"/>
  <c r="GP87"/>
  <c r="GV87"/>
  <c r="HC87" s="1"/>
  <c r="GX87" s="1"/>
  <c r="C88"/>
  <c r="D88"/>
  <c r="I88"/>
  <c r="K88"/>
  <c r="AC88"/>
  <c r="CQ88" s="1"/>
  <c r="P88" s="1"/>
  <c r="AD88"/>
  <c r="CR88" s="1"/>
  <c r="Q88" s="1"/>
  <c r="AE88"/>
  <c r="AF88"/>
  <c r="AG88"/>
  <c r="CU88" s="1"/>
  <c r="T88" s="1"/>
  <c r="AH88"/>
  <c r="CV88" s="1"/>
  <c r="U88" s="1"/>
  <c r="AI88"/>
  <c r="AJ88"/>
  <c r="CS88"/>
  <c r="R88" s="1"/>
  <c r="CT88"/>
  <c r="S88" s="1"/>
  <c r="CW88"/>
  <c r="V88" s="1"/>
  <c r="CX88"/>
  <c r="W88" s="1"/>
  <c r="FR88"/>
  <c r="GL88"/>
  <c r="GO88"/>
  <c r="GP88"/>
  <c r="GV88"/>
  <c r="HC88" s="1"/>
  <c r="GX88" s="1"/>
  <c r="I89"/>
  <c r="AC89"/>
  <c r="CQ89" s="1"/>
  <c r="P89" s="1"/>
  <c r="AE89"/>
  <c r="AD89" s="1"/>
  <c r="AF89"/>
  <c r="CT89" s="1"/>
  <c r="S89" s="1"/>
  <c r="AG89"/>
  <c r="CU89" s="1"/>
  <c r="T89" s="1"/>
  <c r="AH89"/>
  <c r="AI89"/>
  <c r="AJ89"/>
  <c r="CX89" s="1"/>
  <c r="W89" s="1"/>
  <c r="CS89"/>
  <c r="R89" s="1"/>
  <c r="CV89"/>
  <c r="U89" s="1"/>
  <c r="CW89"/>
  <c r="V89" s="1"/>
  <c r="FR89"/>
  <c r="GL89"/>
  <c r="GO89"/>
  <c r="GP89"/>
  <c r="GV89"/>
  <c r="HC89"/>
  <c r="GX89" s="1"/>
  <c r="I90"/>
  <c r="AC90"/>
  <c r="AE90"/>
  <c r="CS90" s="1"/>
  <c r="R90" s="1"/>
  <c r="AF90"/>
  <c r="CT90" s="1"/>
  <c r="S90" s="1"/>
  <c r="AG90"/>
  <c r="AH90"/>
  <c r="AI90"/>
  <c r="CW90" s="1"/>
  <c r="V90" s="1"/>
  <c r="AJ90"/>
  <c r="CX90" s="1"/>
  <c r="W90" s="1"/>
  <c r="CQ90"/>
  <c r="P90" s="1"/>
  <c r="CU90"/>
  <c r="T90" s="1"/>
  <c r="CV90"/>
  <c r="U90" s="1"/>
  <c r="FR90"/>
  <c r="GL90"/>
  <c r="GO90"/>
  <c r="GP90"/>
  <c r="GV90"/>
  <c r="GX90"/>
  <c r="HC90"/>
  <c r="C91"/>
  <c r="D91"/>
  <c r="I91"/>
  <c r="K91"/>
  <c r="AC91"/>
  <c r="AE91"/>
  <c r="CS91" s="1"/>
  <c r="R91" s="1"/>
  <c r="AF91"/>
  <c r="CT91" s="1"/>
  <c r="S91" s="1"/>
  <c r="AG91"/>
  <c r="AH91"/>
  <c r="AI91"/>
  <c r="CW91" s="1"/>
  <c r="V91" s="1"/>
  <c r="AJ91"/>
  <c r="CX91" s="1"/>
  <c r="W91" s="1"/>
  <c r="CQ91"/>
  <c r="P91" s="1"/>
  <c r="CU91"/>
  <c r="T91" s="1"/>
  <c r="CV91"/>
  <c r="U91" s="1"/>
  <c r="FR91"/>
  <c r="GL91"/>
  <c r="GO91"/>
  <c r="GP91"/>
  <c r="GV91"/>
  <c r="GX91"/>
  <c r="HC91"/>
  <c r="C92"/>
  <c r="D92"/>
  <c r="I92"/>
  <c r="K92"/>
  <c r="AC92"/>
  <c r="CQ92" s="1"/>
  <c r="P92" s="1"/>
  <c r="AE92"/>
  <c r="CS92" s="1"/>
  <c r="R92" s="1"/>
  <c r="AF92"/>
  <c r="CT92" s="1"/>
  <c r="S92" s="1"/>
  <c r="AG92"/>
  <c r="CU92" s="1"/>
  <c r="T92" s="1"/>
  <c r="AH92"/>
  <c r="AI92"/>
  <c r="CW92" s="1"/>
  <c r="V92" s="1"/>
  <c r="AJ92"/>
  <c r="CX92" s="1"/>
  <c r="W92" s="1"/>
  <c r="CV92"/>
  <c r="U92" s="1"/>
  <c r="FR92"/>
  <c r="GL92"/>
  <c r="GO92"/>
  <c r="GP92"/>
  <c r="GV92"/>
  <c r="GX92"/>
  <c r="HC92"/>
  <c r="C93"/>
  <c r="D93"/>
  <c r="I93"/>
  <c r="K93"/>
  <c r="AC93"/>
  <c r="CQ93" s="1"/>
  <c r="P93" s="1"/>
  <c r="AE93"/>
  <c r="CS93" s="1"/>
  <c r="R93" s="1"/>
  <c r="AF93"/>
  <c r="CT93" s="1"/>
  <c r="S93" s="1"/>
  <c r="AG93"/>
  <c r="CU93" s="1"/>
  <c r="T93" s="1"/>
  <c r="AH93"/>
  <c r="AI93"/>
  <c r="CW93" s="1"/>
  <c r="V93" s="1"/>
  <c r="AJ93"/>
  <c r="CX93" s="1"/>
  <c r="W93" s="1"/>
  <c r="CV93"/>
  <c r="U93" s="1"/>
  <c r="FR93"/>
  <c r="GL93"/>
  <c r="GO93"/>
  <c r="GP93"/>
  <c r="GV93"/>
  <c r="GX93"/>
  <c r="HC93"/>
  <c r="C94"/>
  <c r="D94"/>
  <c r="I94"/>
  <c r="K94"/>
  <c r="AC94"/>
  <c r="CQ94" s="1"/>
  <c r="P94" s="1"/>
  <c r="AE94"/>
  <c r="CS94" s="1"/>
  <c r="R94" s="1"/>
  <c r="AF94"/>
  <c r="CT94" s="1"/>
  <c r="S94" s="1"/>
  <c r="AG94"/>
  <c r="CU94" s="1"/>
  <c r="T94" s="1"/>
  <c r="AH94"/>
  <c r="AI94"/>
  <c r="CW94" s="1"/>
  <c r="V94" s="1"/>
  <c r="AJ94"/>
  <c r="CX94" s="1"/>
  <c r="W94" s="1"/>
  <c r="CV94"/>
  <c r="U94" s="1"/>
  <c r="FR94"/>
  <c r="GL94"/>
  <c r="GO94"/>
  <c r="GP94"/>
  <c r="GV94"/>
  <c r="GX94"/>
  <c r="HC94"/>
  <c r="C95"/>
  <c r="D95"/>
  <c r="I95"/>
  <c r="K95"/>
  <c r="AC95"/>
  <c r="CQ95" s="1"/>
  <c r="P95" s="1"/>
  <c r="AE95"/>
  <c r="AD95" s="1"/>
  <c r="AF95"/>
  <c r="CT95" s="1"/>
  <c r="S95" s="1"/>
  <c r="AG95"/>
  <c r="CU95" s="1"/>
  <c r="T95" s="1"/>
  <c r="AH95"/>
  <c r="AI95"/>
  <c r="AJ95"/>
  <c r="CX95" s="1"/>
  <c r="W95" s="1"/>
  <c r="CS95"/>
  <c r="R95" s="1"/>
  <c r="CV95"/>
  <c r="U95" s="1"/>
  <c r="CW95"/>
  <c r="V95" s="1"/>
  <c r="FR95"/>
  <c r="GL95"/>
  <c r="GO95"/>
  <c r="GP95"/>
  <c r="GV95"/>
  <c r="HC95"/>
  <c r="GX95" s="1"/>
  <c r="AC96"/>
  <c r="CQ96" s="1"/>
  <c r="P96" s="1"/>
  <c r="AD96"/>
  <c r="AE96"/>
  <c r="AF96"/>
  <c r="AB96" s="1"/>
  <c r="AG96"/>
  <c r="CU96" s="1"/>
  <c r="T96" s="1"/>
  <c r="AH96"/>
  <c r="AI96"/>
  <c r="AJ96"/>
  <c r="CX96" s="1"/>
  <c r="W96" s="1"/>
  <c r="CR96"/>
  <c r="Q96" s="1"/>
  <c r="CS96"/>
  <c r="R96" s="1"/>
  <c r="CV96"/>
  <c r="U96" s="1"/>
  <c r="CW96"/>
  <c r="V96" s="1"/>
  <c r="FR96"/>
  <c r="GL96"/>
  <c r="GO96"/>
  <c r="GP96"/>
  <c r="GV96"/>
  <c r="HC96"/>
  <c r="GX96" s="1"/>
  <c r="AC97"/>
  <c r="AD97"/>
  <c r="AB97" s="1"/>
  <c r="AE97"/>
  <c r="CS97" s="1"/>
  <c r="R97" s="1"/>
  <c r="AF97"/>
  <c r="CT97" s="1"/>
  <c r="S97" s="1"/>
  <c r="AG97"/>
  <c r="AH97"/>
  <c r="AI97"/>
  <c r="CW97" s="1"/>
  <c r="V97" s="1"/>
  <c r="AJ97"/>
  <c r="CX97" s="1"/>
  <c r="W97" s="1"/>
  <c r="CQ97"/>
  <c r="P97" s="1"/>
  <c r="CR97"/>
  <c r="Q97" s="1"/>
  <c r="CU97"/>
  <c r="T97" s="1"/>
  <c r="CV97"/>
  <c r="U97" s="1"/>
  <c r="FR97"/>
  <c r="GL97"/>
  <c r="GO97"/>
  <c r="GP97"/>
  <c r="GV97"/>
  <c r="HC97" s="1"/>
  <c r="GX97" s="1"/>
  <c r="B99"/>
  <c r="B70" s="1"/>
  <c r="C99"/>
  <c r="C70" s="1"/>
  <c r="D99"/>
  <c r="D70" s="1"/>
  <c r="F99"/>
  <c r="F70" s="1"/>
  <c r="G99"/>
  <c r="G70" s="1"/>
  <c r="BX99"/>
  <c r="BX70" s="1"/>
  <c r="BY99"/>
  <c r="BY70" s="1"/>
  <c r="BZ99"/>
  <c r="BZ70" s="1"/>
  <c r="CC99"/>
  <c r="CC70" s="1"/>
  <c r="CD99"/>
  <c r="CD70" s="1"/>
  <c r="CG99"/>
  <c r="CG70" s="1"/>
  <c r="CK99"/>
  <c r="CK70" s="1"/>
  <c r="CL99"/>
  <c r="CL70" s="1"/>
  <c r="D129"/>
  <c r="C131"/>
  <c r="D131"/>
  <c r="E131"/>
  <c r="G131"/>
  <c r="O131"/>
  <c r="R131"/>
  <c r="S131"/>
  <c r="V131"/>
  <c r="W131"/>
  <c r="Z131"/>
  <c r="AA131"/>
  <c r="AB131"/>
  <c r="AC131"/>
  <c r="AD131"/>
  <c r="AE131"/>
  <c r="AF131"/>
  <c r="AG131"/>
  <c r="AH131"/>
  <c r="AI131"/>
  <c r="AJ131"/>
  <c r="AK131"/>
  <c r="AL131"/>
  <c r="AM131"/>
  <c r="AN131"/>
  <c r="AP131"/>
  <c r="AQ131"/>
  <c r="AT131"/>
  <c r="AU131"/>
  <c r="AX131"/>
  <c r="AY131"/>
  <c r="BB131"/>
  <c r="BC131"/>
  <c r="BE131"/>
  <c r="BF131"/>
  <c r="BG131"/>
  <c r="BH131"/>
  <c r="BI131"/>
  <c r="BJ131"/>
  <c r="BK131"/>
  <c r="BL131"/>
  <c r="BM131"/>
  <c r="BN131"/>
  <c r="BO131"/>
  <c r="BP131"/>
  <c r="BQ131"/>
  <c r="BR131"/>
  <c r="BS131"/>
  <c r="BT131"/>
  <c r="BU131"/>
  <c r="BV131"/>
  <c r="BW131"/>
  <c r="BX131"/>
  <c r="BY131"/>
  <c r="BZ131"/>
  <c r="CA131"/>
  <c r="CB131"/>
  <c r="CC131"/>
  <c r="CD131"/>
  <c r="CE131"/>
  <c r="CF131"/>
  <c r="CG131"/>
  <c r="CH131"/>
  <c r="CI131"/>
  <c r="CJ131"/>
  <c r="CK131"/>
  <c r="CL131"/>
  <c r="CM131"/>
  <c r="CN131"/>
  <c r="CO131"/>
  <c r="CP131"/>
  <c r="CQ131"/>
  <c r="CR131"/>
  <c r="CS131"/>
  <c r="CT131"/>
  <c r="CU131"/>
  <c r="CV131"/>
  <c r="CW131"/>
  <c r="CX131"/>
  <c r="CY131"/>
  <c r="CZ131"/>
  <c r="DA131"/>
  <c r="DB131"/>
  <c r="DC131"/>
  <c r="DD131"/>
  <c r="DE131"/>
  <c r="DF131"/>
  <c r="DG131"/>
  <c r="DH131"/>
  <c r="DI131"/>
  <c r="DJ131"/>
  <c r="DK131"/>
  <c r="DL131"/>
  <c r="DM131"/>
  <c r="DN131"/>
  <c r="DO131"/>
  <c r="DP131"/>
  <c r="DQ131"/>
  <c r="DR131"/>
  <c r="DS131"/>
  <c r="DT131"/>
  <c r="DU131"/>
  <c r="DV131"/>
  <c r="DW131"/>
  <c r="DX131"/>
  <c r="DY131"/>
  <c r="DZ131"/>
  <c r="EA131"/>
  <c r="EB131"/>
  <c r="EC131"/>
  <c r="ED131"/>
  <c r="EE131"/>
  <c r="EF131"/>
  <c r="EG131"/>
  <c r="EH131"/>
  <c r="EI131"/>
  <c r="EJ131"/>
  <c r="EK131"/>
  <c r="EL131"/>
  <c r="EM131"/>
  <c r="EN131"/>
  <c r="EO131"/>
  <c r="EP131"/>
  <c r="EQ131"/>
  <c r="ER131"/>
  <c r="ES131"/>
  <c r="ET131"/>
  <c r="EU131"/>
  <c r="EV131"/>
  <c r="EW131"/>
  <c r="EX131"/>
  <c r="EY131"/>
  <c r="EZ131"/>
  <c r="FA131"/>
  <c r="FB131"/>
  <c r="FC131"/>
  <c r="FD131"/>
  <c r="FE131"/>
  <c r="FF131"/>
  <c r="FG131"/>
  <c r="FH131"/>
  <c r="FI131"/>
  <c r="FJ131"/>
  <c r="FK131"/>
  <c r="FL131"/>
  <c r="FM131"/>
  <c r="FN131"/>
  <c r="FO131"/>
  <c r="FP131"/>
  <c r="FQ131"/>
  <c r="FR131"/>
  <c r="FS131"/>
  <c r="FT131"/>
  <c r="FU131"/>
  <c r="FV131"/>
  <c r="FW131"/>
  <c r="FX131"/>
  <c r="FY131"/>
  <c r="FZ131"/>
  <c r="GA131"/>
  <c r="GB131"/>
  <c r="GC131"/>
  <c r="GD131"/>
  <c r="GE131"/>
  <c r="GF131"/>
  <c r="GG131"/>
  <c r="GH131"/>
  <c r="GI131"/>
  <c r="GJ131"/>
  <c r="GK131"/>
  <c r="GL131"/>
  <c r="GM131"/>
  <c r="GN131"/>
  <c r="GO131"/>
  <c r="GP131"/>
  <c r="GQ131"/>
  <c r="GR131"/>
  <c r="GS131"/>
  <c r="GT131"/>
  <c r="GU131"/>
  <c r="GV131"/>
  <c r="GW131"/>
  <c r="GX131"/>
  <c r="B133"/>
  <c r="B131" s="1"/>
  <c r="C133"/>
  <c r="D133"/>
  <c r="F133"/>
  <c r="F131" s="1"/>
  <c r="G133"/>
  <c r="O133"/>
  <c r="P133"/>
  <c r="P131" s="1"/>
  <c r="Q133"/>
  <c r="Q131" s="1"/>
  <c r="R133"/>
  <c r="S133"/>
  <c r="T133"/>
  <c r="T131" s="1"/>
  <c r="U133"/>
  <c r="U131" s="1"/>
  <c r="V133"/>
  <c r="F156" s="1"/>
  <c r="W133"/>
  <c r="X133"/>
  <c r="X131" s="1"/>
  <c r="Y133"/>
  <c r="Y131" s="1"/>
  <c r="AO133"/>
  <c r="AO131" s="1"/>
  <c r="AP133"/>
  <c r="AQ133"/>
  <c r="AR133"/>
  <c r="F161" s="1"/>
  <c r="AS133"/>
  <c r="AS131" s="1"/>
  <c r="AT133"/>
  <c r="AU133"/>
  <c r="AV133"/>
  <c r="AV131" s="1"/>
  <c r="AW133"/>
  <c r="AW131" s="1"/>
  <c r="AX133"/>
  <c r="AY133"/>
  <c r="AZ133"/>
  <c r="AZ131" s="1"/>
  <c r="BA133"/>
  <c r="BA131" s="1"/>
  <c r="BB133"/>
  <c r="BC133"/>
  <c r="BD133"/>
  <c r="BD131" s="1"/>
  <c r="F135"/>
  <c r="F136"/>
  <c r="F138"/>
  <c r="F139"/>
  <c r="F140"/>
  <c r="F141"/>
  <c r="F142"/>
  <c r="F143"/>
  <c r="F146"/>
  <c r="F147"/>
  <c r="F148"/>
  <c r="F149"/>
  <c r="F150"/>
  <c r="F151"/>
  <c r="F152"/>
  <c r="F154"/>
  <c r="F157"/>
  <c r="F158"/>
  <c r="F159"/>
  <c r="B163"/>
  <c r="B22" s="1"/>
  <c r="C163"/>
  <c r="C22" s="1"/>
  <c r="D163"/>
  <c r="D22" s="1"/>
  <c r="F163"/>
  <c r="F22" s="1"/>
  <c r="G163"/>
  <c r="G22" s="1"/>
  <c r="B193"/>
  <c r="B18" s="1"/>
  <c r="C193"/>
  <c r="C18" s="1"/>
  <c r="D193"/>
  <c r="D18" s="1"/>
  <c r="F193"/>
  <c r="F18" s="1"/>
  <c r="G193"/>
  <c r="G18" s="1"/>
  <c r="G149" i="5" l="1"/>
  <c r="O149" s="1"/>
  <c r="J159"/>
  <c r="P159" s="1"/>
  <c r="G169"/>
  <c r="O169" s="1"/>
  <c r="J210"/>
  <c r="P210" s="1"/>
  <c r="J230"/>
  <c r="P230" s="1"/>
  <c r="J68"/>
  <c r="P68" s="1"/>
  <c r="J252" s="1"/>
  <c r="J110"/>
  <c r="P110" s="1"/>
  <c r="J129"/>
  <c r="P129" s="1"/>
  <c r="J139"/>
  <c r="P139" s="1"/>
  <c r="G190"/>
  <c r="O190" s="1"/>
  <c r="J200"/>
  <c r="P200" s="1"/>
  <c r="G210"/>
  <c r="O210" s="1"/>
  <c r="G230"/>
  <c r="O230" s="1"/>
  <c r="J100"/>
  <c r="P100" s="1"/>
  <c r="J58"/>
  <c r="P58" s="1"/>
  <c r="J88" s="1"/>
  <c r="J86"/>
  <c r="P86" s="1"/>
  <c r="J120"/>
  <c r="P120" s="1"/>
  <c r="J256" s="1"/>
  <c r="G139"/>
  <c r="O139" s="1"/>
  <c r="G200"/>
  <c r="O200" s="1"/>
  <c r="J220"/>
  <c r="P220" s="1"/>
  <c r="J240"/>
  <c r="P240" s="1"/>
  <c r="G26"/>
  <c r="G58"/>
  <c r="O58" s="1"/>
  <c r="G88" s="1"/>
  <c r="W58"/>
  <c r="G32"/>
  <c r="L256"/>
  <c r="G76"/>
  <c r="O76" s="1"/>
  <c r="G129"/>
  <c r="O129" s="1"/>
  <c r="J149"/>
  <c r="P149" s="1"/>
  <c r="J169"/>
  <c r="P169" s="1"/>
  <c r="J178"/>
  <c r="P178" s="1"/>
  <c r="J190"/>
  <c r="P190" s="1"/>
  <c r="G220"/>
  <c r="O220" s="1"/>
  <c r="G240"/>
  <c r="O240" s="1"/>
  <c r="W68"/>
  <c r="G68"/>
  <c r="O68" s="1"/>
  <c r="W76"/>
  <c r="G27" s="1"/>
  <c r="L88"/>
  <c r="R113"/>
  <c r="W120"/>
  <c r="R123"/>
  <c r="W178"/>
  <c r="G178"/>
  <c r="O178" s="1"/>
  <c r="R181"/>
  <c r="W86"/>
  <c r="G86"/>
  <c r="O86" s="1"/>
  <c r="W110"/>
  <c r="G110"/>
  <c r="O110" s="1"/>
  <c r="G248" s="1"/>
  <c r="W159"/>
  <c r="L252"/>
  <c r="W51"/>
  <c r="W100"/>
  <c r="W129"/>
  <c r="W139"/>
  <c r="W149"/>
  <c r="W169"/>
  <c r="W190"/>
  <c r="W200"/>
  <c r="W210"/>
  <c r="W220"/>
  <c r="W230"/>
  <c r="W240"/>
  <c r="W246"/>
  <c r="CZ93" i="1"/>
  <c r="Y93" s="1"/>
  <c r="CY93"/>
  <c r="X93" s="1"/>
  <c r="AB95"/>
  <c r="CR95"/>
  <c r="Q95" s="1"/>
  <c r="CZ92"/>
  <c r="Y92" s="1"/>
  <c r="CY92"/>
  <c r="X92" s="1"/>
  <c r="AB89"/>
  <c r="CR89"/>
  <c r="Q89" s="1"/>
  <c r="CZ82"/>
  <c r="Y82" s="1"/>
  <c r="CY82"/>
  <c r="X82" s="1"/>
  <c r="CZ95"/>
  <c r="Y95" s="1"/>
  <c r="CY95"/>
  <c r="X95" s="1"/>
  <c r="CZ89"/>
  <c r="Y89" s="1"/>
  <c r="CY89"/>
  <c r="X89" s="1"/>
  <c r="CY87"/>
  <c r="X87" s="1"/>
  <c r="CZ87"/>
  <c r="Y87" s="1"/>
  <c r="AB85"/>
  <c r="CR85"/>
  <c r="Q85" s="1"/>
  <c r="CZ83"/>
  <c r="Y83" s="1"/>
  <c r="CY83"/>
  <c r="X83" s="1"/>
  <c r="GM83" s="1"/>
  <c r="CP85"/>
  <c r="O85" s="1"/>
  <c r="CP97"/>
  <c r="O97" s="1"/>
  <c r="CP88"/>
  <c r="O88" s="1"/>
  <c r="CZ97"/>
  <c r="Y97" s="1"/>
  <c r="CY97"/>
  <c r="X97" s="1"/>
  <c r="GM87"/>
  <c r="GN87"/>
  <c r="CZ94"/>
  <c r="Y94" s="1"/>
  <c r="CY94"/>
  <c r="X94" s="1"/>
  <c r="CZ90"/>
  <c r="Y90" s="1"/>
  <c r="CY90"/>
  <c r="X90" s="1"/>
  <c r="CY88"/>
  <c r="X88" s="1"/>
  <c r="CZ88"/>
  <c r="Y88" s="1"/>
  <c r="CZ85"/>
  <c r="Y85" s="1"/>
  <c r="CY85"/>
  <c r="X85" s="1"/>
  <c r="CP95"/>
  <c r="O95" s="1"/>
  <c r="CP86"/>
  <c r="O86" s="1"/>
  <c r="CP84"/>
  <c r="O84" s="1"/>
  <c r="CZ91"/>
  <c r="Y91" s="1"/>
  <c r="CY91"/>
  <c r="X91" s="1"/>
  <c r="CZ86"/>
  <c r="Y86" s="1"/>
  <c r="CY86"/>
  <c r="X86" s="1"/>
  <c r="CY84"/>
  <c r="X84" s="1"/>
  <c r="CZ84"/>
  <c r="Y84" s="1"/>
  <c r="CP89"/>
  <c r="O89" s="1"/>
  <c r="CX114" i="3"/>
  <c r="CX118"/>
  <c r="CX122"/>
  <c r="CX115"/>
  <c r="CX119"/>
  <c r="CX123"/>
  <c r="CX116"/>
  <c r="CX120"/>
  <c r="CX113"/>
  <c r="CX117"/>
  <c r="CX121"/>
  <c r="AB79" i="1"/>
  <c r="CR79"/>
  <c r="Q79" s="1"/>
  <c r="CZ74"/>
  <c r="Y74" s="1"/>
  <c r="CY74"/>
  <c r="X74" s="1"/>
  <c r="CR32"/>
  <c r="Q32" s="1"/>
  <c r="AB32"/>
  <c r="CZ31"/>
  <c r="Y31" s="1"/>
  <c r="CY31"/>
  <c r="X31" s="1"/>
  <c r="CP28"/>
  <c r="O28" s="1"/>
  <c r="AU99"/>
  <c r="F160"/>
  <c r="F144"/>
  <c r="AR131"/>
  <c r="CI99"/>
  <c r="CT96"/>
  <c r="S96" s="1"/>
  <c r="CP96" s="1"/>
  <c r="O96" s="1"/>
  <c r="CP72"/>
  <c r="O72" s="1"/>
  <c r="AB78"/>
  <c r="CR78"/>
  <c r="Q78" s="1"/>
  <c r="CR76"/>
  <c r="Q76" s="1"/>
  <c r="CP76" s="1"/>
  <c r="O76" s="1"/>
  <c r="AB76"/>
  <c r="CR75"/>
  <c r="Q75" s="1"/>
  <c r="CP75" s="1"/>
  <c r="O75" s="1"/>
  <c r="AB75"/>
  <c r="CY72"/>
  <c r="X72" s="1"/>
  <c r="CZ72"/>
  <c r="Y72" s="1"/>
  <c r="CY35"/>
  <c r="X35" s="1"/>
  <c r="CZ35"/>
  <c r="Y35" s="1"/>
  <c r="CR33"/>
  <c r="Q33" s="1"/>
  <c r="CP33" s="1"/>
  <c r="O33" s="1"/>
  <c r="AB33"/>
  <c r="F155"/>
  <c r="F153"/>
  <c r="F145"/>
  <c r="F137"/>
  <c r="AO99"/>
  <c r="AD94"/>
  <c r="AD93"/>
  <c r="AD92"/>
  <c r="AD91"/>
  <c r="AD90"/>
  <c r="AB88"/>
  <c r="AB87"/>
  <c r="AB84"/>
  <c r="AD82"/>
  <c r="CX150" i="3"/>
  <c r="CX154"/>
  <c r="CX158"/>
  <c r="CX151"/>
  <c r="CX155"/>
  <c r="CX159"/>
  <c r="CX152"/>
  <c r="CX156"/>
  <c r="CX149"/>
  <c r="CX153"/>
  <c r="CX157"/>
  <c r="CX146"/>
  <c r="CX147"/>
  <c r="CX144"/>
  <c r="CX148"/>
  <c r="CX145"/>
  <c r="CX138"/>
  <c r="CX142"/>
  <c r="CX139"/>
  <c r="CX143"/>
  <c r="CX140"/>
  <c r="CX141"/>
  <c r="CX130"/>
  <c r="CX134"/>
  <c r="CX131"/>
  <c r="CX135"/>
  <c r="CX132"/>
  <c r="CX136"/>
  <c r="CX129"/>
  <c r="CX133"/>
  <c r="CX137"/>
  <c r="CX126"/>
  <c r="CX127"/>
  <c r="CX124"/>
  <c r="CX128"/>
  <c r="CX125"/>
  <c r="AB77" i="1"/>
  <c r="CR77"/>
  <c r="Q77" s="1"/>
  <c r="CP77" s="1"/>
  <c r="O77" s="1"/>
  <c r="CZ76"/>
  <c r="Y76" s="1"/>
  <c r="CY76"/>
  <c r="X76" s="1"/>
  <c r="CZ75"/>
  <c r="Y75" s="1"/>
  <c r="CY75"/>
  <c r="X75" s="1"/>
  <c r="BB99"/>
  <c r="AX99"/>
  <c r="AT99"/>
  <c r="AP99"/>
  <c r="CP79"/>
  <c r="O79" s="1"/>
  <c r="CP32"/>
  <c r="O32" s="1"/>
  <c r="CS81"/>
  <c r="AD81"/>
  <c r="CR81" s="1"/>
  <c r="AB80"/>
  <c r="CR80"/>
  <c r="Q80" s="1"/>
  <c r="CP80" s="1"/>
  <c r="O80" s="1"/>
  <c r="CR74"/>
  <c r="Q74" s="1"/>
  <c r="AB74"/>
  <c r="CZ73"/>
  <c r="Y73" s="1"/>
  <c r="CY73"/>
  <c r="X73" s="1"/>
  <c r="AB31"/>
  <c r="CR31"/>
  <c r="Q31" s="1"/>
  <c r="CP31" s="1"/>
  <c r="O31" s="1"/>
  <c r="BC99"/>
  <c r="AQ99"/>
  <c r="CP78"/>
  <c r="O78" s="1"/>
  <c r="BC38"/>
  <c r="AU38"/>
  <c r="AQ38"/>
  <c r="CQ36"/>
  <c r="CR35"/>
  <c r="Q35" s="1"/>
  <c r="CP35" s="1"/>
  <c r="O35" s="1"/>
  <c r="CR34"/>
  <c r="CS33"/>
  <c r="R33" s="1"/>
  <c r="CY33" s="1"/>
  <c r="X33" s="1"/>
  <c r="CS32"/>
  <c r="R32" s="1"/>
  <c r="CT30"/>
  <c r="S30" s="1"/>
  <c r="CT29"/>
  <c r="S29" s="1"/>
  <c r="CP29" s="1"/>
  <c r="O29" s="1"/>
  <c r="CX93" i="3"/>
  <c r="CX89"/>
  <c r="CX85"/>
  <c r="CX81"/>
  <c r="CX77"/>
  <c r="CX73"/>
  <c r="CX69"/>
  <c r="CX65"/>
  <c r="CX61"/>
  <c r="CX57"/>
  <c r="CX53"/>
  <c r="CX49"/>
  <c r="CX45"/>
  <c r="CX17"/>
  <c r="CX13"/>
  <c r="CX9"/>
  <c r="CS80" i="1"/>
  <c r="R80" s="1"/>
  <c r="CZ80" s="1"/>
  <c r="Y80" s="1"/>
  <c r="CS79"/>
  <c r="R79" s="1"/>
  <c r="CZ79" s="1"/>
  <c r="Y79" s="1"/>
  <c r="CS78"/>
  <c r="R78" s="1"/>
  <c r="CZ78" s="1"/>
  <c r="Y78" s="1"/>
  <c r="CS77"/>
  <c r="R77" s="1"/>
  <c r="CQ73"/>
  <c r="P73" s="1"/>
  <c r="CI38"/>
  <c r="BD38"/>
  <c r="I34"/>
  <c r="V34" s="1"/>
  <c r="CX92" i="3"/>
  <c r="CX88"/>
  <c r="CX84"/>
  <c r="CX80"/>
  <c r="CX76"/>
  <c r="CX72"/>
  <c r="CX68"/>
  <c r="CX64"/>
  <c r="CX60"/>
  <c r="CX56"/>
  <c r="CX52"/>
  <c r="CX48"/>
  <c r="CX16"/>
  <c r="CX12"/>
  <c r="CX8"/>
  <c r="I81" i="1"/>
  <c r="W81" s="1"/>
  <c r="AJ99" s="1"/>
  <c r="AO38"/>
  <c r="I36"/>
  <c r="U36" s="1"/>
  <c r="CX91" i="3"/>
  <c r="CX87"/>
  <c r="CX83"/>
  <c r="CX79"/>
  <c r="CX75"/>
  <c r="CX71"/>
  <c r="CX67"/>
  <c r="CX63"/>
  <c r="CX59"/>
  <c r="CX55"/>
  <c r="CX47"/>
  <c r="CX15"/>
  <c r="CX7"/>
  <c r="BB38" i="1"/>
  <c r="AX38"/>
  <c r="AT38"/>
  <c r="AP38"/>
  <c r="CX90" i="3"/>
  <c r="CX86"/>
  <c r="CX82"/>
  <c r="CX78"/>
  <c r="CX74"/>
  <c r="CX66"/>
  <c r="CX58"/>
  <c r="CX50"/>
  <c r="G256" i="5" l="1"/>
  <c r="J248"/>
  <c r="G252"/>
  <c r="GM35" i="1"/>
  <c r="GN35"/>
  <c r="GN29"/>
  <c r="GM29"/>
  <c r="GN75"/>
  <c r="GM75"/>
  <c r="AE38"/>
  <c r="GN76"/>
  <c r="GM76"/>
  <c r="GN31"/>
  <c r="GM31"/>
  <c r="AJ70"/>
  <c r="W99"/>
  <c r="F51"/>
  <c r="BB26"/>
  <c r="BB163"/>
  <c r="AO26"/>
  <c r="F42"/>
  <c r="AO163"/>
  <c r="F56"/>
  <c r="AT26"/>
  <c r="AT163"/>
  <c r="CI26"/>
  <c r="AZ38"/>
  <c r="AX70"/>
  <c r="F106"/>
  <c r="AB93"/>
  <c r="CR93"/>
  <c r="Q93" s="1"/>
  <c r="CP93" s="1"/>
  <c r="O93" s="1"/>
  <c r="GM72"/>
  <c r="GN72"/>
  <c r="GN28"/>
  <c r="GM28"/>
  <c r="P36"/>
  <c r="V36"/>
  <c r="AI38" s="1"/>
  <c r="S81"/>
  <c r="Q36"/>
  <c r="AB81"/>
  <c r="R34"/>
  <c r="S36"/>
  <c r="U81"/>
  <c r="AH99" s="1"/>
  <c r="CZ32"/>
  <c r="Y32" s="1"/>
  <c r="T81"/>
  <c r="AG99" s="1"/>
  <c r="GX81"/>
  <c r="CJ99" s="1"/>
  <c r="GN83"/>
  <c r="F45"/>
  <c r="AX26"/>
  <c r="AX163"/>
  <c r="CP73"/>
  <c r="O73" s="1"/>
  <c r="AC99"/>
  <c r="F47"/>
  <c r="AP26"/>
  <c r="AP163"/>
  <c r="BD26"/>
  <c r="F63"/>
  <c r="CZ30"/>
  <c r="Y30" s="1"/>
  <c r="CY30"/>
  <c r="X30" s="1"/>
  <c r="BC26"/>
  <c r="F54"/>
  <c r="BC163"/>
  <c r="AT70"/>
  <c r="F117"/>
  <c r="AB92"/>
  <c r="CR92"/>
  <c r="Q92" s="1"/>
  <c r="CP92" s="1"/>
  <c r="O92" s="1"/>
  <c r="GM88"/>
  <c r="GN88"/>
  <c r="R36"/>
  <c r="V81"/>
  <c r="AI99" s="1"/>
  <c r="CZ33"/>
  <c r="Y33" s="1"/>
  <c r="GM33" s="1"/>
  <c r="CY78"/>
  <c r="X78" s="1"/>
  <c r="GN78" s="1"/>
  <c r="T36"/>
  <c r="P81"/>
  <c r="CY32"/>
  <c r="X32" s="1"/>
  <c r="GN32" s="1"/>
  <c r="T34"/>
  <c r="AG38" s="1"/>
  <c r="F57"/>
  <c r="AU26"/>
  <c r="AU163"/>
  <c r="GM78"/>
  <c r="BC70"/>
  <c r="F115"/>
  <c r="AP70"/>
  <c r="F108"/>
  <c r="AB91"/>
  <c r="CR91"/>
  <c r="Q91" s="1"/>
  <c r="CP91" s="1"/>
  <c r="O91" s="1"/>
  <c r="AO70"/>
  <c r="F103"/>
  <c r="CI70"/>
  <c r="AZ99"/>
  <c r="AU70"/>
  <c r="F118"/>
  <c r="GN86"/>
  <c r="GM86"/>
  <c r="GN85"/>
  <c r="GM85"/>
  <c r="Q34"/>
  <c r="AD38" s="1"/>
  <c r="P34"/>
  <c r="CY77"/>
  <c r="X77" s="1"/>
  <c r="GN77" s="1"/>
  <c r="R81"/>
  <c r="AE99" s="1"/>
  <c r="CP30"/>
  <c r="O30" s="1"/>
  <c r="W34"/>
  <c r="AJ38" s="1"/>
  <c r="W36"/>
  <c r="GX34"/>
  <c r="CY79"/>
  <c r="X79" s="1"/>
  <c r="GM79" s="1"/>
  <c r="U34"/>
  <c r="AH38" s="1"/>
  <c r="CY80"/>
  <c r="X80" s="1"/>
  <c r="GN80" s="1"/>
  <c r="F48"/>
  <c r="AQ26"/>
  <c r="AQ163"/>
  <c r="AQ70"/>
  <c r="F109"/>
  <c r="BB70"/>
  <c r="F112"/>
  <c r="AB82"/>
  <c r="CR82"/>
  <c r="Q82" s="1"/>
  <c r="CP82" s="1"/>
  <c r="O82" s="1"/>
  <c r="AB90"/>
  <c r="CR90"/>
  <c r="Q90" s="1"/>
  <c r="CP90" s="1"/>
  <c r="O90" s="1"/>
  <c r="AB94"/>
  <c r="CR94"/>
  <c r="Q94" s="1"/>
  <c r="CP94" s="1"/>
  <c r="O94" s="1"/>
  <c r="CZ96"/>
  <c r="Y96" s="1"/>
  <c r="CY96"/>
  <c r="X96" s="1"/>
  <c r="GM96" s="1"/>
  <c r="HD96" s="1"/>
  <c r="CM99" s="1"/>
  <c r="GN89"/>
  <c r="GM89"/>
  <c r="GM84"/>
  <c r="GN84"/>
  <c r="GN95"/>
  <c r="GM95"/>
  <c r="GN97"/>
  <c r="GM97"/>
  <c r="HD97" s="1"/>
  <c r="GX36"/>
  <c r="CZ77"/>
  <c r="Y77" s="1"/>
  <c r="Q81"/>
  <c r="AD99" s="1"/>
  <c r="S34"/>
  <c r="CP74"/>
  <c r="O74" s="1"/>
  <c r="AE70" l="1"/>
  <c r="R99"/>
  <c r="AD70"/>
  <c r="Q99"/>
  <c r="Q38"/>
  <c r="AD26"/>
  <c r="V38"/>
  <c r="AI26"/>
  <c r="CM70"/>
  <c r="BD99"/>
  <c r="AH70"/>
  <c r="U99"/>
  <c r="GN93"/>
  <c r="GM93"/>
  <c r="AC70"/>
  <c r="CF99"/>
  <c r="P99"/>
  <c r="CE99"/>
  <c r="CH99"/>
  <c r="AO22"/>
  <c r="AO193"/>
  <c r="F167"/>
  <c r="GN90"/>
  <c r="GM90"/>
  <c r="AQ22"/>
  <c r="AQ193"/>
  <c r="F173"/>
  <c r="U38"/>
  <c r="AH26"/>
  <c r="AI70"/>
  <c r="V99"/>
  <c r="GN92"/>
  <c r="GM92"/>
  <c r="AG70"/>
  <c r="T99"/>
  <c r="F49"/>
  <c r="AZ26"/>
  <c r="AZ163"/>
  <c r="BB22"/>
  <c r="BB193"/>
  <c r="F176"/>
  <c r="GM32"/>
  <c r="GN79"/>
  <c r="GM80"/>
  <c r="GN33"/>
  <c r="GM77"/>
  <c r="GN96"/>
  <c r="GN94"/>
  <c r="GM94"/>
  <c r="AU22"/>
  <c r="AU193"/>
  <c r="F182"/>
  <c r="AP22"/>
  <c r="F172"/>
  <c r="G16" i="2" s="1"/>
  <c r="G18" s="1"/>
  <c r="AP193" i="1"/>
  <c r="AT22"/>
  <c r="F181"/>
  <c r="F16" i="2" s="1"/>
  <c r="F18" s="1"/>
  <c r="AT193" i="1"/>
  <c r="AJ26"/>
  <c r="W38"/>
  <c r="CP34"/>
  <c r="O34" s="1"/>
  <c r="AB38" s="1"/>
  <c r="AC38"/>
  <c r="AG26"/>
  <c r="T38"/>
  <c r="CY81"/>
  <c r="X81" s="1"/>
  <c r="AK99" s="1"/>
  <c r="AF99"/>
  <c r="CZ81"/>
  <c r="Y81" s="1"/>
  <c r="AL99" s="1"/>
  <c r="W70"/>
  <c r="F123"/>
  <c r="CY34"/>
  <c r="X34" s="1"/>
  <c r="CZ34"/>
  <c r="Y34" s="1"/>
  <c r="GN74"/>
  <c r="GM74"/>
  <c r="AX22"/>
  <c r="AX193"/>
  <c r="F170"/>
  <c r="CJ70"/>
  <c r="BA99"/>
  <c r="CZ36"/>
  <c r="Y36" s="1"/>
  <c r="CY36"/>
  <c r="X36" s="1"/>
  <c r="AL38"/>
  <c r="AK38"/>
  <c r="CJ38"/>
  <c r="CP81"/>
  <c r="O81" s="1"/>
  <c r="AF38"/>
  <c r="CP36"/>
  <c r="O36" s="1"/>
  <c r="GN91"/>
  <c r="GM91"/>
  <c r="BC22"/>
  <c r="BC193"/>
  <c r="F179"/>
  <c r="GN73"/>
  <c r="GM73"/>
  <c r="R38"/>
  <c r="AE26"/>
  <c r="GN82"/>
  <c r="GM82"/>
  <c r="GN30"/>
  <c r="GM30"/>
  <c r="AZ70"/>
  <c r="F110"/>
  <c r="AB26" l="1"/>
  <c r="O38"/>
  <c r="CJ26"/>
  <c r="BA38"/>
  <c r="T26"/>
  <c r="F59"/>
  <c r="T163"/>
  <c r="W26"/>
  <c r="F62"/>
  <c r="W163"/>
  <c r="T70"/>
  <c r="F120"/>
  <c r="V70"/>
  <c r="F122"/>
  <c r="CH70"/>
  <c r="AY99"/>
  <c r="Q26"/>
  <c r="F50"/>
  <c r="Q163"/>
  <c r="GM81"/>
  <c r="CA99" s="1"/>
  <c r="GN81"/>
  <c r="CB99" s="1"/>
  <c r="Y38"/>
  <c r="AL26"/>
  <c r="AK70"/>
  <c r="X99"/>
  <c r="GM34"/>
  <c r="CA38" s="1"/>
  <c r="GN34"/>
  <c r="CB38" s="1"/>
  <c r="BB18"/>
  <c r="F206"/>
  <c r="U26"/>
  <c r="F60"/>
  <c r="U163"/>
  <c r="CF70"/>
  <c r="AW99"/>
  <c r="U70"/>
  <c r="F121"/>
  <c r="R70"/>
  <c r="F113"/>
  <c r="AF26"/>
  <c r="S38"/>
  <c r="AK26"/>
  <c r="X38"/>
  <c r="BA70"/>
  <c r="F119"/>
  <c r="AF70"/>
  <c r="S99"/>
  <c r="AC26"/>
  <c r="CF38"/>
  <c r="P38"/>
  <c r="CE38"/>
  <c r="CH38"/>
  <c r="AT18"/>
  <c r="F211"/>
  <c r="AO18"/>
  <c r="F197"/>
  <c r="P70"/>
  <c r="F102"/>
  <c r="BD70"/>
  <c r="F124"/>
  <c r="BD163"/>
  <c r="F61"/>
  <c r="V26"/>
  <c r="V163"/>
  <c r="F52"/>
  <c r="R26"/>
  <c r="R163"/>
  <c r="BC18"/>
  <c r="F209"/>
  <c r="GN36"/>
  <c r="GM36"/>
  <c r="AX18"/>
  <c r="F200"/>
  <c r="AL70"/>
  <c r="Y99"/>
  <c r="AP18"/>
  <c r="F202"/>
  <c r="AU18"/>
  <c r="F212"/>
  <c r="AZ22"/>
  <c r="F174"/>
  <c r="AZ193"/>
  <c r="AQ18"/>
  <c r="F203"/>
  <c r="CE70"/>
  <c r="AV99"/>
  <c r="Q70"/>
  <c r="F111"/>
  <c r="AB99"/>
  <c r="CB70" l="1"/>
  <c r="AS99"/>
  <c r="CA26"/>
  <c r="AR38"/>
  <c r="CB26"/>
  <c r="AS38"/>
  <c r="CA70"/>
  <c r="AR99"/>
  <c r="BD22"/>
  <c r="F188"/>
  <c r="BD193"/>
  <c r="CF26"/>
  <c r="AW38"/>
  <c r="F53"/>
  <c r="S26"/>
  <c r="S163"/>
  <c r="U22"/>
  <c r="F185"/>
  <c r="U193"/>
  <c r="AB70"/>
  <c r="O99"/>
  <c r="F41"/>
  <c r="P26"/>
  <c r="P163"/>
  <c r="X70"/>
  <c r="F125"/>
  <c r="W22"/>
  <c r="W193"/>
  <c r="F187"/>
  <c r="F40"/>
  <c r="O26"/>
  <c r="AZ18"/>
  <c r="F204"/>
  <c r="Y70"/>
  <c r="F126"/>
  <c r="R22"/>
  <c r="R193"/>
  <c r="F177"/>
  <c r="CE26"/>
  <c r="AV38"/>
  <c r="S70"/>
  <c r="F114"/>
  <c r="X26"/>
  <c r="F64"/>
  <c r="X163"/>
  <c r="AW70"/>
  <c r="F105"/>
  <c r="Y26"/>
  <c r="F65"/>
  <c r="Y163"/>
  <c r="Q22"/>
  <c r="F175"/>
  <c r="Q193"/>
  <c r="T22"/>
  <c r="T193"/>
  <c r="F184"/>
  <c r="AV70"/>
  <c r="F104"/>
  <c r="V22"/>
  <c r="V193"/>
  <c r="F186"/>
  <c r="CH26"/>
  <c r="AY38"/>
  <c r="AY70"/>
  <c r="F107"/>
  <c r="BA26"/>
  <c r="F58"/>
  <c r="BA163"/>
  <c r="BA22" l="1"/>
  <c r="BA193"/>
  <c r="F183"/>
  <c r="H16" i="2" s="1"/>
  <c r="H18" s="1"/>
  <c r="V18" i="1"/>
  <c r="F216"/>
  <c r="AV26"/>
  <c r="F43"/>
  <c r="AV163"/>
  <c r="O70"/>
  <c r="F101"/>
  <c r="AW26"/>
  <c r="F44"/>
  <c r="AW163"/>
  <c r="X22"/>
  <c r="X193"/>
  <c r="F189"/>
  <c r="AS26"/>
  <c r="F55"/>
  <c r="AS163"/>
  <c r="AS70"/>
  <c r="F116"/>
  <c r="R18"/>
  <c r="F207"/>
  <c r="Y22"/>
  <c r="F190"/>
  <c r="Y193"/>
  <c r="U18"/>
  <c r="F215"/>
  <c r="BD18"/>
  <c r="F218"/>
  <c r="Q18"/>
  <c r="F205"/>
  <c r="AY26"/>
  <c r="F46"/>
  <c r="AY163"/>
  <c r="T18"/>
  <c r="F214"/>
  <c r="W18"/>
  <c r="F217"/>
  <c r="P22"/>
  <c r="F166"/>
  <c r="P193"/>
  <c r="S22"/>
  <c r="F178"/>
  <c r="J16" i="2" s="1"/>
  <c r="J18" s="1"/>
  <c r="S193" i="1"/>
  <c r="AR70"/>
  <c r="F127"/>
  <c r="AR26"/>
  <c r="F66"/>
  <c r="AR163"/>
  <c r="O163"/>
  <c r="O22" l="1"/>
  <c r="F165"/>
  <c r="O193"/>
  <c r="S18"/>
  <c r="F208"/>
  <c r="AW22"/>
  <c r="AW193"/>
  <c r="F169"/>
  <c r="AR22"/>
  <c r="F191"/>
  <c r="AR193"/>
  <c r="P18"/>
  <c r="F196"/>
  <c r="Y18"/>
  <c r="F220"/>
  <c r="BA18"/>
  <c r="F213"/>
  <c r="AS22"/>
  <c r="F180"/>
  <c r="E16" i="2" s="1"/>
  <c r="AS193" i="1"/>
  <c r="X18"/>
  <c r="F219"/>
  <c r="AY22"/>
  <c r="F171"/>
  <c r="AY193"/>
  <c r="AV22"/>
  <c r="F168"/>
  <c r="AV193"/>
  <c r="AY18" l="1"/>
  <c r="F201"/>
  <c r="AR18"/>
  <c r="F221"/>
  <c r="AW18"/>
  <c r="F199"/>
  <c r="O18"/>
  <c r="F195"/>
  <c r="I16" i="2"/>
  <c r="I18" s="1"/>
  <c r="E18"/>
  <c r="AV18" i="1"/>
  <c r="F198"/>
  <c r="AS18"/>
  <c r="F210"/>
  <c r="F222" l="1"/>
  <c r="F223" s="1"/>
</calcChain>
</file>

<file path=xl/sharedStrings.xml><?xml version="1.0" encoding="utf-8"?>
<sst xmlns="http://schemas.openxmlformats.org/spreadsheetml/2006/main" count="4689" uniqueCount="676">
  <si>
    <t>Smeta.RU  (495) 974-1589</t>
  </si>
  <si>
    <t>_PS_</t>
  </si>
  <si>
    <t>Smeta.RU</t>
  </si>
  <si>
    <t/>
  </si>
  <si>
    <t>Новый объект</t>
  </si>
  <si>
    <t>Ремонт выхода  запас СРО  ИП 2021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</si>
  <si>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</si>
  <si>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</si>
  <si>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</si>
  <si>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</si>
  <si>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</si>
  <si>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для НБ 2014 года от 02.12.2020</t>
  </si>
  <si>
    <t>Новая локальная смета</t>
  </si>
  <si>
    <t>Новый раздел</t>
  </si>
  <si>
    <t>Демонтаж</t>
  </si>
  <si>
    <t>2</t>
  </si>
  <si>
    <t>46-04-016-1</t>
  </si>
  <si>
    <t>Резка дисковыми стенорезными машинами бетонных и железобетонных конструкций стен, перегородок и перекрытий глубиной 230 мм</t>
  </si>
  <si>
    <t>1 м реза</t>
  </si>
  <si>
    <t>ТЕР Московской обл., 46-04-016-1, приказ Минстроя России №675/пр от 28.02.2017 № 260/пр</t>
  </si>
  <si>
    <t>2,1</t>
  </si>
  <si>
    <t>101-4893</t>
  </si>
  <si>
    <t>Диск отрезной алмазный сегментный BCER-34-350.21.35/25,4</t>
  </si>
  <si>
    <t>шт.</t>
  </si>
  <si>
    <t>ТССЦ Московской обл., 101-4893, приказ Минстроя России №675/пр от 28.02.2017 № 254/пр</t>
  </si>
  <si>
    <t>3</t>
  </si>
  <si>
    <t>62-41-1</t>
  </si>
  <si>
    <t>Очистка вручную поверхности фасадов от перхлорвиниловых и масляных красок с земли и лесов</t>
  </si>
  <si>
    <t>100 м2 расчищенной поверхности</t>
  </si>
  <si>
    <t>ТЕРр Московской обл., 62-41-1, приказ Минстроя России №675/пр от 21.09.2015 г.</t>
  </si>
  <si>
    <t>Ремонтно-строительные работы</t>
  </si>
  <si>
    <t>Малярные работы</t>
  </si>
  <si>
    <t>рФЕР-62</t>
  </si>
  <si>
    <t>4</t>
  </si>
  <si>
    <t>57-2-3</t>
  </si>
  <si>
    <t>Разборка покрытий полов из керамических плиток</t>
  </si>
  <si>
    <t>100 м2 покрытия</t>
  </si>
  <si>
    <t>ТЕРр Московской обл., 57-2-3, приказ Минстроя России №675/пр от 21.09.2015 г.</t>
  </si>
  <si>
    <t>Полы</t>
  </si>
  <si>
    <t>рФЕР-57</t>
  </si>
  <si>
    <t>4,1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</si>
  <si>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</si>
  <si>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</si>
  <si>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</si>
  <si>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</si>
  <si>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5</t>
  </si>
  <si>
    <t>56-10-1</t>
  </si>
  <si>
    <t>Снятие дверных полотен</t>
  </si>
  <si>
    <t>100 м2 дверных полотен</t>
  </si>
  <si>
    <t>ТЕРр Московской обл., 56-10-1, приказ Минстроя России №675/пр от 21.09.2015 г.</t>
  </si>
  <si>
    <t>Проемы</t>
  </si>
  <si>
    <t>рФЕР-56</t>
  </si>
  <si>
    <t>5,1</t>
  </si>
  <si>
    <t>6</t>
  </si>
  <si>
    <t>56-9-1</t>
  </si>
  <si>
    <t>Демонтаж дверных коробок в каменных стенах с отбивкой штукатурки в откосах</t>
  </si>
  <si>
    <t>100 коробок</t>
  </si>
  <si>
    <t>ТЕРр Московской обл., 56-9-1, приказ Минстроя России №675/пр от 21.09.2015 г.</t>
  </si>
  <si>
    <t>6,1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</si>
  <si>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</si>
  <si>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</si>
  <si>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</si>
  <si>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</si>
  <si>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</si>
  <si>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</si>
  <si>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</si>
  <si>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</si>
  <si>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</si>
  <si>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</si>
  <si>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</si>
  <si>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</si>
  <si>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</si>
  <si>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</si>
  <si>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</si>
  <si>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</si>
  <si>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</si>
  <si>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</si>
  <si>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</si>
  <si>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</si>
  <si>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</si>
  <si>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</si>
  <si>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</si>
  <si>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</si>
  <si>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</si>
  <si>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</si>
  <si>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</si>
  <si>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</si>
  <si>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</si>
  <si>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</si>
  <si>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</si>
  <si>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</si>
  <si>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</si>
  <si>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</si>
  <si>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</si>
  <si>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</si>
  <si>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</si>
  <si>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</si>
  <si>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</si>
  <si>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</si>
  <si>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</si>
  <si>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</si>
  <si>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</si>
  <si>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</si>
  <si>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</si>
  <si>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</si>
  <si>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</si>
  <si>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</si>
  <si>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</si>
  <si>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</si>
  <si>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</si>
  <si>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</si>
  <si>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</si>
  <si>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</si>
  <si>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1</t>
  </si>
  <si>
    <t>07-01-044-3</t>
  </si>
  <si>
    <t>Установка монтажных изделий массой до 20 кг</t>
  </si>
  <si>
    <t>1 т стальных элементов</t>
  </si>
  <si>
    <t>ТЕР Московской обл., 07-01-044-3, приказ Минстроя России №675/пр от 28.02.2017 № 260/пр</t>
  </si>
  <si>
    <t>Общестроительные работы</t>
  </si>
  <si>
    <t>Сборные бетонные конструкции в промышленном строительстве  ( Произоводственные здания и сооружения )</t>
  </si>
  <si>
    <t>ФЕР-07</t>
  </si>
  <si>
    <t>*0,9</t>
  </si>
  <si>
    <t>*0,85</t>
  </si>
  <si>
    <t>09-03-014-1</t>
  </si>
  <si>
    <t>Монтаж связей и распорок из одиночных и парных уголков, гнутосварных профилей для пролетов до 24 м при высоте здания до 25 м</t>
  </si>
  <si>
    <t>1 т конструкций</t>
  </si>
  <si>
    <t>ТЕР Московской обл., 09-03-014-1, приказ Минстроя России №675/пр от 28.02.2017 № 260/пр</t>
  </si>
  <si>
    <t>Металлические конструкции</t>
  </si>
  <si>
    <t>ФЕР-09</t>
  </si>
  <si>
    <t>201-0755</t>
  </si>
  <si>
    <t>Отдельные конструктивные элементы зданий и сооружений с преобладанием горячекатаных профилей, средняя масса сборочной единицы до 0,1 т</t>
  </si>
  <si>
    <t>ТССЦ Московской обл., 201-0755, приказ Минстроя России №675/пр от 28.02.2017 № 255/пр</t>
  </si>
  <si>
    <t>46-03-002-1</t>
  </si>
  <si>
    <t>Сверление установками алмазного бурения в железобетонных конструкциях горизонтальных отверстий глубиной 200 мм диаметром 20 мм</t>
  </si>
  <si>
    <t>100 отверстий</t>
  </si>
  <si>
    <t>ТЕР Московской обл., 46-03-002-1, приказ Минстроя России №675/пр от 28.02.2017 № 260/пр</t>
  </si>
  <si>
    <t>Реконструкция зданий и сооружений</t>
  </si>
  <si>
    <t>ФЕР-46</t>
  </si>
  <si>
    <t>7</t>
  </si>
  <si>
    <t>09-05-003-1</t>
  </si>
  <si>
    <t>Постановка болтов строительных с гайками и шайбами</t>
  </si>
  <si>
    <t>100 шт. болтов</t>
  </si>
  <si>
    <t>ТЕР Московской обл., 09-05-003-1, приказ Минстроя России №675/пр от 28.02.2017 № 260/пр</t>
  </si>
  <si>
    <t>)*1,25</t>
  </si>
  <si>
    <t>)*1,15</t>
  </si>
  <si>
    <t>Поправка: МДС 81-35.2004, п.4.7</t>
  </si>
  <si>
    <t>7,1</t>
  </si>
  <si>
    <t>101-3138</t>
  </si>
  <si>
    <t>Болт анкерный с гайкой, размер 12,0x100 мм</t>
  </si>
  <si>
    <t>100 шт.</t>
  </si>
  <si>
    <t>ТССЦ Московской обл., 101-3138, приказ Минстроя России №675/пр от 28.02.2017 № 254/пр</t>
  </si>
  <si>
    <t>8</t>
  </si>
  <si>
    <t>13-03-002-4</t>
  </si>
  <si>
    <t>Огрунтовка металлических поверхностей за один раз грунтовкой ГФ-021</t>
  </si>
  <si>
    <t>100 м2 окрашиваемой поверхности</t>
  </si>
  <si>
    <t>ТЕР Московской обл., 13-03-002-4, приказ Минстроя России №675/пр от 28.02.2017 № 260/пр</t>
  </si>
  <si>
    <t>Защита строительных конструкций</t>
  </si>
  <si>
    <t>ФЕР-13</t>
  </si>
  <si>
    <t>9</t>
  </si>
  <si>
    <t>13-03-004-26</t>
  </si>
  <si>
    <t>Окраска металлических огрунтованных поверхностей эмалью ПФ-115</t>
  </si>
  <si>
    <t>ТЕР Московской обл., 13-03-004-26, приказ Минстроя России №675/пр от 28.02.2017 № 260/пр</t>
  </si>
  <si>
    <t>10</t>
  </si>
  <si>
    <t>09-04-002-1</t>
  </si>
  <si>
    <t>Монтаж кровельного покрытия из профилированного листа при высоте здания до 25 м</t>
  </si>
  <si>
    <t>ТЕР Московской обл., 09-04-002-1, приказ Минстроя России №675/пр от 21.09.2015 г.</t>
  </si>
  <si>
    <t>=0</t>
  </si>
  <si>
    <t>10,1</t>
  </si>
  <si>
    <t>Цена поставщика</t>
  </si>
  <si>
    <t>Профнастил оцинкованный С-21 0,4х1050x3000</t>
  </si>
  <si>
    <t>1 м2</t>
  </si>
  <si>
    <t>1 м2 покрытия</t>
  </si>
  <si>
    <t>Кровли</t>
  </si>
  <si>
    <t>ФЕР-12</t>
  </si>
  <si>
    <t>занесена вручную</t>
  </si>
  <si>
    <t>11</t>
  </si>
  <si>
    <t>09-04-013-2</t>
  </si>
  <si>
    <t>Установка противопожарных дверей двупольных глухих</t>
  </si>
  <si>
    <t>1 м2 проема</t>
  </si>
  <si>
    <t>ТЕР Московской обл., 09-04-013-2, приказ Минстроя России №675/пр от 28.02.2017 № 260/пр</t>
  </si>
  <si>
    <t>11,1</t>
  </si>
  <si>
    <t>203-8126</t>
  </si>
  <si>
    <t>Дверь противопожарная металлическая двупольная ДПМ-02/30, размером 1300х2100 мм</t>
  </si>
  <si>
    <t>ТССЦ Московской обл., 203-8126, приказ Минстроя России №675/пр от 28.02.2017 № 255/пр</t>
  </si>
  <si>
    <t>11,2</t>
  </si>
  <si>
    <t>203-8132</t>
  </si>
  <si>
    <t>Дверь противопожарная металлическая двупольная ДПМ-02/60, размером 1500х2100 мм</t>
  </si>
  <si>
    <t>ТССЦ Московской обл., 203-8132, приказ Минстроя России №675/пр от 28.02.2017 № 255/пр</t>
  </si>
  <si>
    <t>11,3</t>
  </si>
  <si>
    <t>101-0888</t>
  </si>
  <si>
    <t>Скобяные изделия для блоков входных дверей в здание двупольных</t>
  </si>
  <si>
    <t>компл.</t>
  </si>
  <si>
    <t>ТССЦ Московской обл., 101-0888, приказ Минстроя России №675/пр от 28.02.2017 № 254/пр</t>
  </si>
  <si>
    <t>16</t>
  </si>
  <si>
    <t>09-04-012-2</t>
  </si>
  <si>
    <t>Установка дверного доводчика к металлическим дверям</t>
  </si>
  <si>
    <t>1  ШТ.</t>
  </si>
  <si>
    <t>ТЕР Московской обл., 09-04-012-2, приказ Минстроя России №675/пр от 21.09.2015 г.</t>
  </si>
  <si>
    <t>16,1</t>
  </si>
  <si>
    <t>цена постовщика</t>
  </si>
  <si>
    <t>доводчик дверной гидровлический (нагрузка 90кг)</t>
  </si>
  <si>
    <t>21</t>
  </si>
  <si>
    <t>10-01-047-4</t>
  </si>
  <si>
    <t>Установка блоков из ПВХ в наружных и внутренних дверных проемах в перегородках и деревянных нерубленных стенах площадью проема до 3 м2</t>
  </si>
  <si>
    <t>100 м2 проемов</t>
  </si>
  <si>
    <t>ТЕР Московской обл., 10-01-047-4, приказ Минстроя России №675/пр от 21.09.2015 г.</t>
  </si>
  <si>
    <t>Деревянные конструкции</t>
  </si>
  <si>
    <t>ФЕР-10</t>
  </si>
  <si>
    <t>21,1</t>
  </si>
  <si>
    <t>203-8084</t>
  </si>
  <si>
    <t>Блоки дверные наружные или тамбурные с заполнением стеклопакетами (ГОСТ 30970-2002)</t>
  </si>
  <si>
    <t>м2</t>
  </si>
  <si>
    <t>ТССЦ Московской обл., 203-8084, приказ Минстроя России №675/пр от 21.09.2015 г.</t>
  </si>
  <si>
    <t>21,2</t>
  </si>
  <si>
    <t>блоки двернык пвх</t>
  </si>
  <si>
    <t>22</t>
  </si>
  <si>
    <t>15-02-031-1</t>
  </si>
  <si>
    <t>Штукатурка поверхностей оконных и дверных откосов по бетону и камню плоских</t>
  </si>
  <si>
    <t>100 м2 оштукатуриваемой поверхности</t>
  </si>
  <si>
    <t>ТЕР Московской обл., 15-02-031-1, приказ Минстроя России №675/пр от 21.09.2015 г.</t>
  </si>
  <si>
    <t>Отделочные работы</t>
  </si>
  <si>
    <t>ФЕР-15</t>
  </si>
  <si>
    <t>23</t>
  </si>
  <si>
    <t>15-04-007-1</t>
  </si>
  <si>
    <t>Окраска водно-дисперсионными акриловыми составами улучшенная по штукатурке стен</t>
  </si>
  <si>
    <t>ТЕР Московской обл., 15-04-007-1, приказ Минстроя России №675/пр от 21.09.2015 г.</t>
  </si>
  <si>
    <t>24</t>
  </si>
  <si>
    <t>11-01-011-1</t>
  </si>
  <si>
    <t>Устройство стяжек цементных толщиной 20 мм</t>
  </si>
  <si>
    <t>100 м2 стяжки</t>
  </si>
  <si>
    <t>ТЕР Московской обл., 11-01-011-1, приказ Минстроя России №675/пр от 21.09.2015 г.</t>
  </si>
  <si>
    <t>ФЕР-11</t>
  </si>
  <si>
    <t>25</t>
  </si>
  <si>
    <t>11-01-011-2</t>
  </si>
  <si>
    <t>Устройство стяжек на каждые 5 мм изменения толщины стяжки добавлять или исключать к расценке 11-01-011-01</t>
  </si>
  <si>
    <t>ТЕР Московской обл., 11-01-011-2, приказ Минстроя России №675/пр от 21.09.2015 г.</t>
  </si>
  <si>
    <t>26</t>
  </si>
  <si>
    <t>11-01-047-1</t>
  </si>
  <si>
    <t>Устройство покрытий из плит керамогранитных размером 40х40 см</t>
  </si>
  <si>
    <t>ТЕР Московской обл., 11-01-047-1, приказ Минстроя России №675/пр от 21.09.2015 г.</t>
  </si>
  <si>
    <t>27</t>
  </si>
  <si>
    <t>т01-01-01-041</t>
  </si>
  <si>
    <t>Погрузка при автомобильных перевозках мусора строительного с погрузкой вручную</t>
  </si>
  <si>
    <t>1 Т ГРУЗА</t>
  </si>
  <si>
    <t>ТССЦпг Московской обл., т01-01-001-41, приказ Минстроя России №675/пр от 21.09.2015 г.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</si>
  <si>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</si>
  <si>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</si>
  <si>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</si>
  <si>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28</t>
  </si>
  <si>
    <t>т03-01-01-040</t>
  </si>
  <si>
    <t>Перевозка грузов I класса автомобилями бортовыми грузоподъемностью до 15 т на расстояние до 40 км</t>
  </si>
  <si>
    <t>ТССЦпг Московской обл., т03-01-001-40, приказ Минстроя России №675/пр от 21.09.2015 г.</t>
  </si>
  <si>
    <t>Перевозка грузов авто/транспортом</t>
  </si>
  <si>
    <t>Перевозка грузов. Автомобильные перевозки  ( 2003 г., ч.1;  ФССЦпр-2011-изм. № 4-6 , раздел 3; )</t>
  </si>
  <si>
    <t>ФССЦ а/п (2003/2011 изм. 4-6)</t>
  </si>
  <si>
    <t>Итог 1</t>
  </si>
  <si>
    <t>с НДС 20%</t>
  </si>
  <si>
    <t>Итог 2</t>
  </si>
  <si>
    <t>Всего с НДС 20%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</si>
  <si>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</si>
  <si>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</si>
  <si>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</si>
  <si>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</si>
  <si>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</si>
  <si>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</si>
  <si>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</si>
  <si>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</si>
  <si>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Капитальный ремонт прозводственных зданий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</si>
  <si>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</si>
  <si>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</si>
  <si>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</si>
  <si>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Упрощенное налогообложение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</si>
  <si>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</si>
  <si>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</si>
  <si>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</si>
  <si>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Хозяйственный способ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</si>
  <si>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</si>
  <si>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</si>
  <si>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</si>
  <si>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"Сложные объекты "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</si>
  <si>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</si>
  <si>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</si>
  <si>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При работе в текущем уровне цен с 27.04.2018 г.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</si>
  <si>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</si>
  <si>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</si>
  <si>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</si>
  <si>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городских в/опт. линий связи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</si>
  <si>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</si>
  <si>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</si>
  <si>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</si>
  <si>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 обслуживающие процессы )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</si>
  <si>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</si>
  <si>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</si>
  <si>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</si>
  <si>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</si>
  <si>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</si>
  <si>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</si>
  <si>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</si>
  <si>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Э/монтаж и контроль сварки на АЭС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</si>
  <si>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</si>
  <si>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</si>
  <si>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</si>
  <si>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</si>
  <si>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</si>
  <si>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</si>
  <si>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</si>
  <si>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</si>
  <si>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</si>
  <si>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</si>
  <si>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</si>
  <si>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</si>
  <si>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</si>
  <si>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</si>
  <si>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</si>
  <si>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</si>
  <si>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</si>
  <si>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</si>
  <si>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</si>
  <si>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</si>
  <si>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</si>
  <si>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</si>
  <si>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</si>
  <si>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</si>
  <si>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</si>
  <si>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</si>
  <si>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</si>
  <si>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</si>
  <si>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</si>
  <si>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</si>
  <si>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</si>
  <si>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</si>
  <si>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</si>
  <si>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</si>
  <si>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</si>
  <si>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</si>
  <si>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2020 г</t>
  </si>
  <si>
    <t>_OBSM_</t>
  </si>
  <si>
    <t>1-1050-90</t>
  </si>
  <si>
    <t>Рабочий строитель среднего разряда 5</t>
  </si>
  <si>
    <t>чел.-ч</t>
  </si>
  <si>
    <t>330353</t>
  </si>
  <si>
    <t>ТСЭМ Московской обл., 330353, приказ Минстроя России №675/пр от 28.02.2017 № 264/пр</t>
  </si>
  <si>
    <t>Стенорезная машина, максимальная глубина резки 730 мм</t>
  </si>
  <si>
    <t>маш.-ч</t>
  </si>
  <si>
    <t>101-4474</t>
  </si>
  <si>
    <t>ТССЦ Московской обл., 101-4474, приказ Минстроя России №675/пр от 28.02.2017 № 254/пр</t>
  </si>
  <si>
    <t>Болт анкерный с гайкой, размер 16,0x110 мм</t>
  </si>
  <si>
    <t>411-0001</t>
  </si>
  <si>
    <t>ТССЦ Московской обл., 411-0001, приказ Минстроя России №675/пр от 28.02.2017 № 257/пр</t>
  </si>
  <si>
    <t>Вода</t>
  </si>
  <si>
    <t>м3</t>
  </si>
  <si>
    <t>1-1020-90</t>
  </si>
  <si>
    <t>Рабочий строитель среднего разряда 2</t>
  </si>
  <si>
    <t>1-1030-90</t>
  </si>
  <si>
    <t>Рабочий строитель среднего разряда 3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</si>
  <si>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</si>
  <si>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</si>
  <si>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</si>
  <si>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</si>
  <si>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</si>
  <si>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1-1022-90</t>
  </si>
  <si>
    <t>Рабочий строитель среднего разряда 2,2</t>
  </si>
  <si>
    <t>1-1023-90</t>
  </si>
  <si>
    <t>Рабочий строитель среднего разряда 2,3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</si>
  <si>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</si>
  <si>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</si>
  <si>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</si>
  <si>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330804</t>
  </si>
  <si>
    <t>ТСЭМ Московской обл., 330804, приказ Минстроя России №675/пр от 21.09.2015 г.</t>
  </si>
  <si>
    <t>Молотки при работе от передвижных компрессорных станций отбойные пневматические</t>
  </si>
  <si>
    <t>1-1044-90</t>
  </si>
  <si>
    <t>Рабочий строитель среднего разряда 4,4</t>
  </si>
  <si>
    <t>040502</t>
  </si>
  <si>
    <t>ТСЭМ Московской обл., 040502, приказ Минстроя России №675/пр от 28.02.2017 № 264/пр</t>
  </si>
  <si>
    <t>Установки для сварки ручной дуговой (постоянного тока)</t>
  </si>
  <si>
    <t>400001</t>
  </si>
  <si>
    <t>ТСЭМ Московской обл., 400001, приказ Минстроя России №675/пр от 28.02.2017 № 264/пр</t>
  </si>
  <si>
    <t>Автомобили бортовые, грузоподъемность до 5 т</t>
  </si>
  <si>
    <t>101-1529</t>
  </si>
  <si>
    <t>ТССЦ Московской обл., 101-1529, приказ Минстроя России №675/пр от 28.02.2017 № 254/пр</t>
  </si>
  <si>
    <t>Электроды диаметром 6 мм Э42</t>
  </si>
  <si>
    <t>201-0777</t>
  </si>
  <si>
    <t>ТССЦ Московской обл., 201-0777, приказ Минстроя России №675/пр от 28.02.2017 № 255/пр</t>
  </si>
  <si>
    <t>Конструктивные элементы вспомогательного назначения с преобладанием профильного проката собираемые из двух и более деталей, с отверстиями и без отверстий, соединяемые на сварке</t>
  </si>
  <si>
    <t>1-1032-90</t>
  </si>
  <si>
    <t>Рабочий строитель среднего разряда 3,2</t>
  </si>
  <si>
    <t>020403</t>
  </si>
  <si>
    <t>ТСЭМ Московской обл., 020403, приказ Минстроя России №675/пр от 28.02.2017 № 264/пр</t>
  </si>
  <si>
    <t>Краны козловые при работе на монтаже технологического оборудования 32 т</t>
  </si>
  <si>
    <t>021141</t>
  </si>
  <si>
    <t>ТСЭМ Московской обл., 021141, приказ Минстроя России №675/пр от 28.02.2017 № 264/пр</t>
  </si>
  <si>
    <t>Краны на автомобильном ходу при работе на других видах строительства 10 т</t>
  </si>
  <si>
    <t>021244</t>
  </si>
  <si>
    <t>ТСЭМ Московской обл., 021244, приказ Минстроя России №675/пр от 28.02.2017 № 264/пр</t>
  </si>
  <si>
    <t>Краны на гусеничном ходу при работе на других видах строительства 25 т</t>
  </si>
  <si>
    <t>040504</t>
  </si>
  <si>
    <t>ТСЭМ Московской обл., 040504, приказ Минстроя России №675/пр от 28.02.2017 № 264/пр</t>
  </si>
  <si>
    <t>Аппарат для газовой сварки и резки</t>
  </si>
  <si>
    <t>041000</t>
  </si>
  <si>
    <t>ТСЭМ Московской обл., 041000, приказ Минстроя России №675/пр от 28.02.2017 № 264/пр</t>
  </si>
  <si>
    <t>Преобразователи сварочные с номинальным сварочным током 315-500 А</t>
  </si>
  <si>
    <t>101-0309</t>
  </si>
  <si>
    <t>ТССЦ Московской обл., 101-0309, приказ Минстроя России №675/пр от 28.02.2017 № 254/пр</t>
  </si>
  <si>
    <t>Канаты пеньковые пропитанные</t>
  </si>
  <si>
    <t>101-0324</t>
  </si>
  <si>
    <t>ТССЦ Московской обл., 101-0324, приказ Минстроя России №675/пр от 28.02.2017 № 254/пр</t>
  </si>
  <si>
    <t>Кислород технический газообразный</t>
  </si>
  <si>
    <t>101-0797</t>
  </si>
  <si>
    <t>ТССЦ Московской обл., 101-0797, приказ Минстроя России №675/пр от 28.02.2017 № 254/пр</t>
  </si>
  <si>
    <t>Проволока горячекатаная в мотках, диаметром 6,3-6,5 мм</t>
  </si>
  <si>
    <t>101-1019</t>
  </si>
  <si>
    <t>ТССЦ Московской обл., 101-1019, приказ Минстроя России №675/пр от 28.02.2017 № 254/пр</t>
  </si>
  <si>
    <t>Швеллеры № 40 из стали марки Ст0</t>
  </si>
  <si>
    <t>101-1513</t>
  </si>
  <si>
    <t>ТССЦ Московской обл., 101-1513, приказ Минстроя России №675/пр от 28.02.2017 № 254/пр</t>
  </si>
  <si>
    <t>Электроды диаметром 4 мм Э42</t>
  </si>
  <si>
    <t>101-1714</t>
  </si>
  <si>
    <t>ТССЦ Московской обл., 101-1714, приказ Минстроя России №675/пр от 28.02.2017 № 254/пр</t>
  </si>
  <si>
    <t>Болты с гайками и шайбами строительные</t>
  </si>
  <si>
    <t>101-1805</t>
  </si>
  <si>
    <t>ТССЦ Московской обл., 101-1805, приказ Минстроя России №675/пр от 28.02.2017 № 254/пр</t>
  </si>
  <si>
    <t>Гвозди строительные</t>
  </si>
  <si>
    <t>101-2278</t>
  </si>
  <si>
    <t>ТССЦ Московской обл., 101-2278, приказ Минстроя России №675/пр от 28.02.2017 № 254/пр</t>
  </si>
  <si>
    <t>Пропан-бутан, смесь техническая</t>
  </si>
  <si>
    <t>кг</t>
  </si>
  <si>
    <t>101-2467</t>
  </si>
  <si>
    <t>ТССЦ Московской обл., 101-2467, приказ Минстроя России №675/пр от 28.02.2017 № 254/пр</t>
  </si>
  <si>
    <t>Растворитель марки Р-4</t>
  </si>
  <si>
    <t>102-0023</t>
  </si>
  <si>
    <t>ТССЦ Московской обл., 102-0023, приказ Минстроя России №675/пр от 28.02.2017 № 254/пр</t>
  </si>
  <si>
    <t>Бруски обрезные хвойных пород длиной 4-6,5 м, шириной 75-150 мм, толщиной 40-75 мм, I сорта</t>
  </si>
  <si>
    <t>113-0021</t>
  </si>
  <si>
    <t>ТССЦ Московской обл., 113-0021, приказ Минстроя России №675/пр от 28.02.2017 № 254/пр</t>
  </si>
  <si>
    <t>Грунтовка ГФ-021 красно-коричневая</t>
  </si>
  <si>
    <t>201-0756</t>
  </si>
  <si>
    <t>ТССЦ Московской обл., 201-0756, приказ Минстроя России №675/пр от 28.02.2017 № 255/пр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</si>
  <si>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</si>
  <si>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508-0097</t>
  </si>
  <si>
    <t>ТССЦ Московской обл., 508-0097, приказ Минстроя России №675/пр от 28.02.2017 № 258/пр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</si>
  <si>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</si>
  <si>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</si>
  <si>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1-1040-90</t>
  </si>
  <si>
    <t>Рабочий строитель среднего разряда 4</t>
  </si>
  <si>
    <t>330210</t>
  </si>
  <si>
    <t>ТСЭМ Московской обл., 330210, приказ Минстроя России №675/пр от 28.02.2017 № 264/пр</t>
  </si>
  <si>
    <t>Установки для сверления отверстий в железобетоне диаметром до 160 мм</t>
  </si>
  <si>
    <t>101-1913</t>
  </si>
  <si>
    <t>ТССЦ Московской обл., 101-1913, приказ Минстроя России №675/пр от 28.02.2017 № 254/пр</t>
  </si>
  <si>
    <t>Сверла кольцевые алмазные диаметром 20 мм</t>
  </si>
  <si>
    <t>1-1035-90</t>
  </si>
  <si>
    <t>Рабочий строитель среднего разряда 3,5</t>
  </si>
  <si>
    <t>1-1047-90</t>
  </si>
  <si>
    <t>Рабочий строитель среднего разряда 4,7</t>
  </si>
  <si>
    <t>030101</t>
  </si>
  <si>
    <t>ТСЭМ Московской обл., 030101, приказ Минстроя России №675/пр от 28.02.2017 № 264/пр</t>
  </si>
  <si>
    <t>Автопогрузчики 5 т</t>
  </si>
  <si>
    <t>030401</t>
  </si>
  <si>
    <t>ТСЭМ Московской обл., 030401, приказ Минстроя России №675/пр от 28.02.2017 № 264/пр</t>
  </si>
  <si>
    <t>Лебедки электрические тяговым усилием до 5,79 кН (0,59 т)</t>
  </si>
  <si>
    <t>340101</t>
  </si>
  <si>
    <t>ТСЭМ Московской обл., 340101, приказ Минстроя России №675/пр от 28.02.2017 № 264/пр</t>
  </si>
  <si>
    <t>Агрегаты окрасочные высокого давления для окраски поверхностей конструкций мощностью 1 кВт</t>
  </si>
  <si>
    <t>113-0077</t>
  </si>
  <si>
    <t>ТССЦ Московской обл., 113-0077, приказ Минстроя России №675/пр от 28.02.2017 № 254/пр</t>
  </si>
  <si>
    <t>Ксилол нефтяной марки А</t>
  </si>
  <si>
    <t>101-1292</t>
  </si>
  <si>
    <t>ТССЦ Московской обл., 101-1292, приказ Минстроя России №675/пр от 28.02.2017 № 254/пр</t>
  </si>
  <si>
    <t>Уайт-спирит</t>
  </si>
  <si>
    <t>113-0246</t>
  </si>
  <si>
    <t>ТССЦ Московской обл., 113-0246, приказ Минстроя России №675/пр от 28.02.2017 № 254/пр</t>
  </si>
  <si>
    <t>Эмаль ПФ-115 серая</t>
  </si>
  <si>
    <t>ТСЭМ Московской обл., 020403, приказ Минстроя России №675/пр от 21.09.2015 г.</t>
  </si>
  <si>
    <t>ТСЭМ Московской обл., 021141, приказ Минстроя России №675/пр от 21.09.2015 г.</t>
  </si>
  <si>
    <t>021245</t>
  </si>
  <si>
    <t>ТСЭМ Московской обл., 021245, приказ Минстроя России №675/пр от 21.09.2015 г.</t>
  </si>
  <si>
    <t>Краны на гусеничном ходу при работе на других видах строительства 40 т</t>
  </si>
  <si>
    <t>030203</t>
  </si>
  <si>
    <t>ТСЭМ Московской обл., 030203, приказ Минстроя России №675/пр от 21.09.2015 г.</t>
  </si>
  <si>
    <t>Домкраты гидравлические грузоподъемностью 63-100 т</t>
  </si>
  <si>
    <t>ТСЭМ Московской обл., 040504, приказ Минстроя России №675/пр от 21.09.2015 г.</t>
  </si>
  <si>
    <t>ТСЭМ Московской обл., 041000, приказ Минстроя России №675/пр от 21.09.2015 г.</t>
  </si>
  <si>
    <t>041400</t>
  </si>
  <si>
    <t>ТСЭМ Московской обл., 041400, приказ Минстроя России №675/пр от 21.09.2015 г.</t>
  </si>
  <si>
    <t>Электрические печи для сушки сварочных материалов с регулированием температуры в пределах от 80 °С до 500 °С</t>
  </si>
  <si>
    <t>330206</t>
  </si>
  <si>
    <t>ТСЭМ Московской обл., 330206, приказ Минстроя России №675/пр от 21.09.2015 г.</t>
  </si>
  <si>
    <t>Дрели электрические</t>
  </si>
  <si>
    <t>ТСЭМ Московской обл., 400001, приказ Минстроя России №675/пр от 21.09.2015 г.</t>
  </si>
  <si>
    <t>ТССЦ Московской обл., 101-0309, приказ Минстроя России №675/пр от 21.09.2015 г.</t>
  </si>
  <si>
    <t>ТССЦ Московской обл., 101-0324, приказ Минстроя России №675/пр от 21.09.2015 г.</t>
  </si>
  <si>
    <t>ТССЦ Московской обл., 101-0797, приказ Минстроя России №675/пр от 21.09.2015 г.</t>
  </si>
  <si>
    <t>ТССЦ Московской обл., 101-1019, приказ Минстроя России №675/пр от 21.09.2015 г.</t>
  </si>
  <si>
    <t>ТССЦ Московской обл., 101-1513, приказ Минстроя России №675/пр от 21.09.2015 г.</t>
  </si>
  <si>
    <t>ТССЦ Московской обл., 101-1714, приказ Минстроя России №675/пр от 21.09.2015 г.</t>
  </si>
  <si>
    <t>ТССЦ Московской обл., 101-2278, приказ Минстроя России №675/пр от 21.09.2015 г.</t>
  </si>
  <si>
    <t>ТССЦ Московской обл., 101-2467, приказ Минстроя России №675/пр от 21.09.2015 г.</t>
  </si>
  <si>
    <t>ТССЦ Московской обл., 102-0023, приказ Минстроя России №675/пр от 21.09.2015 г.</t>
  </si>
  <si>
    <t>ТССЦ Московской обл., 113-0021, приказ Минстроя России №675/пр от 21.09.2015 г.</t>
  </si>
  <si>
    <t>ТССЦ Московской обл., 201-0756, приказ Минстроя России №675/пр от 21.09.2015 г.</t>
  </si>
  <si>
    <t>ТССЦ Московской обл., 508-0097, приказ Минстроя России №675/пр от 21.09.2015 г.</t>
  </si>
  <si>
    <t>1-1043-90</t>
  </si>
  <si>
    <t>Рабочий строитель среднего разряда 4,3</t>
  </si>
  <si>
    <t>134041</t>
  </si>
  <si>
    <t>ТСЭМ Московской обл., 134041, приказ Минстроя России №675/пр от 28.02.2017 № 264/пр</t>
  </si>
  <si>
    <t>Шуруповерт</t>
  </si>
  <si>
    <t>331451</t>
  </si>
  <si>
    <t>ТСЭМ Московской обл., 331451, приказ Минстроя России №675/пр от 28.02.2017 № 264/пр</t>
  </si>
  <si>
    <t>Перфораторы электрические</t>
  </si>
  <si>
    <t>101-1929</t>
  </si>
  <si>
    <t>ТССЦ Московской обл., 101-1929, приказ Минстроя России №675/пр от 28.02.2017 № 254/пр</t>
  </si>
  <si>
    <t>Болты анкерные</t>
  </si>
  <si>
    <t>101-3661</t>
  </si>
  <si>
    <t>ТССЦ Московской обл., 101-3661, приказ Минстроя России №675/пр от 28.02.2017 № 254/пр</t>
  </si>
  <si>
    <t>Пена монтажная противопожарная полиуретановая NULLIFIRE (0,88 л)</t>
  </si>
  <si>
    <t>1-1042-90</t>
  </si>
  <si>
    <t>Рабочий строитель среднего разряда 4,2</t>
  </si>
  <si>
    <t>ТСЭМ Московской обл., 040502, приказ Минстроя России №675/пр от 21.09.2015 г.</t>
  </si>
  <si>
    <t>ТСЭМ Московской обл., 134041, приказ Минстроя России №675/пр от 21.09.2015 г.</t>
  </si>
  <si>
    <t>330301</t>
  </si>
  <si>
    <t>ТСЭМ Московской обл., 330301, приказ Минстроя России №675/пр от 21.09.2015 г.</t>
  </si>
  <si>
    <t>Машины шлифовальные электрические</t>
  </si>
  <si>
    <t>101-1845</t>
  </si>
  <si>
    <t>ТССЦ Московской обл., 101-1845, приказ Минстроя России №675/пр от 21.09.2015 г.</t>
  </si>
  <si>
    <t>Винты самонарезающие с уплотнительной прокладкой 4,8х35 мм</t>
  </si>
  <si>
    <t>1-1031-90</t>
  </si>
  <si>
    <t>Рабочий строитель среднего разряда 3,1</t>
  </si>
  <si>
    <t>101-2064</t>
  </si>
  <si>
    <t>ТССЦ Московской обл., 101-2064, приказ Минстроя России №675/пр от 21.09.2015 г.</t>
  </si>
  <si>
    <t>Шуруп строительный с потайной головкой</t>
  </si>
  <si>
    <t>101-2388</t>
  </si>
  <si>
    <t>ТССЦ Московской обл., 101-2388, приказ Минстроя России №675/пр от 21.09.2015 г.</t>
  </si>
  <si>
    <t>Герметик пенополиуретановый (пена монтажная) типа Makrofleks, Soudal в баллонах по 750 мл</t>
  </si>
  <si>
    <t>102-0303</t>
  </si>
  <si>
    <t>ТССЦ Московской обл., 102-0303, приказ Минстроя России №675/пр от 21.09.2015 г.</t>
  </si>
  <si>
    <t>Клинья пластиковые монтажные</t>
  </si>
  <si>
    <t>1-1037-90</t>
  </si>
  <si>
    <t>Рабочий строитель среднего разряда 3,7</t>
  </si>
  <si>
    <t>402-0083</t>
  </si>
  <si>
    <t>ТССЦ Московской обл., 402-0083, приказ Минстроя России №675/пр от 21.09.2015 г.</t>
  </si>
  <si>
    <t>Раствор готовый отделочный тяжелый, цементно-известковый 1:1:6</t>
  </si>
  <si>
    <t>402-0086</t>
  </si>
  <si>
    <t>ТССЦ Московской обл., 402-0086, приказ Минстроя России №675/пр от 21.09.2015 г.</t>
  </si>
  <si>
    <t>Раствор готовый отделочный тяжелый, известковый 1:2,5</t>
  </si>
  <si>
    <t>030952</t>
  </si>
  <si>
    <t>ТСЭМ Московской обл., 030952, приказ Минстроя России №675/пр от 21.09.2015 г.</t>
  </si>
  <si>
    <t>Подъемники грузоподъемностью до 500 кг одномачтовые, высота подъема 25 м</t>
  </si>
  <si>
    <t>101-1596</t>
  </si>
  <si>
    <t>ТССЦ Московской обл., 101-1596, приказ Минстроя России №675/пр от 21.09.2015 г.</t>
  </si>
  <si>
    <t>Шкурка шлифовальная двухслойная с зернистостью 40-25</t>
  </si>
  <si>
    <t>101-1757</t>
  </si>
  <si>
    <t>ТССЦ Московской обл., 101-1757, приказ Минстроя России №675/пр от 21.09.2015 г.</t>
  </si>
  <si>
    <t>Ветошь</t>
  </si>
  <si>
    <t>101-3512</t>
  </si>
  <si>
    <t>ТССЦ Московской обл., 101-3512, приказ Минстроя России №675/пр от 21.09.2015 г.</t>
  </si>
  <si>
    <t>Краска акриловая ВД-АК 2180, ВГТ</t>
  </si>
  <si>
    <t>101-3585</t>
  </si>
  <si>
    <t>ТССЦ Московской обл., 101-3585, приказ Минстроя России №675/пр от 21.09.2015 г.</t>
  </si>
  <si>
    <t>Шпатлевка водно-дисперсионная</t>
  </si>
  <si>
    <t>101-4163</t>
  </si>
  <si>
    <t>ТССЦ Московской обл., 101-4163, приказ Минстроя России №675/пр от 21.09.2015 г.</t>
  </si>
  <si>
    <t>Грунтовка акриловая НОРТЕКС-ГРУНТ</t>
  </si>
  <si>
    <t>111301</t>
  </si>
  <si>
    <t>ТСЭМ Московской обл., 111301, приказ Минстроя России №675/пр от 21.09.2015 г.</t>
  </si>
  <si>
    <t>Вибратор поверхностный</t>
  </si>
  <si>
    <t>402-0005</t>
  </si>
  <si>
    <t>ТССЦ Московской обл., 402-0005, приказ Минстроя России №675/пр от 21.09.2015 г.</t>
  </si>
  <si>
    <t>Раствор готовый кладочный цементный марки 150</t>
  </si>
  <si>
    <t>ТССЦ Московской обл., 411-0001, приказ Минстроя России №675/пр от 21.09.2015 г.</t>
  </si>
  <si>
    <t>020128</t>
  </si>
  <si>
    <t>ТСЭМ Московской обл., 020128, приказ Минстроя России №675/пр от 21.09.2015 г.</t>
  </si>
  <si>
    <t>Краны башенные при работе на других видах строительства 5 т</t>
  </si>
  <si>
    <t>021140</t>
  </si>
  <si>
    <t>ТСЭМ Московской обл., 021140, приказ Минстроя России №675/пр от 21.09.2015 г.</t>
  </si>
  <si>
    <t>Краны на автомобильном ходу при работе на других видах строительства 6,3 т</t>
  </si>
  <si>
    <t>110901</t>
  </si>
  <si>
    <t>ТСЭМ Московской обл., 110901, приказ Минстроя России №675/пр от 21.09.2015 г.</t>
  </si>
  <si>
    <t>Растворосмесители передвижные 65 л</t>
  </si>
  <si>
    <t>339904</t>
  </si>
  <si>
    <t>ТСЭМ Московской обл., 339904, приказ Минстроя России №675/пр от 21.09.2015 г.</t>
  </si>
  <si>
    <t>Плиткорез MAKITA RH 4101</t>
  </si>
  <si>
    <t>101-1971</t>
  </si>
  <si>
    <t>ТССЦ Московской обл., 101-1971, приказ Минстроя России №675/пр от 21.09.2015 г.</t>
  </si>
  <si>
    <t>Затирка «Старатели» (разной цветности)</t>
  </si>
  <si>
    <t>101-4368</t>
  </si>
  <si>
    <t>ТССЦ Московской обл., 101-4368, приказ Минстроя России №675/пр от 21.09.2015 г.</t>
  </si>
  <si>
    <t>Клей плиточный «Юнис Гранит»</t>
  </si>
  <si>
    <t>101-4486</t>
  </si>
  <si>
    <t>ТССЦ Московской обл., 101-4486, приказ Минстроя России №675/пр от 21.09.2015 г.</t>
  </si>
  <si>
    <t>Гранит керамический многоцветный неполированный, размером 400х400х9 мм</t>
  </si>
  <si>
    <t>101-9427</t>
  </si>
  <si>
    <t>ТССЦ Московской обл., 101-9427, приказ Минстроя России №675/пр от 28.02.2017 № 254/пр</t>
  </si>
  <si>
    <t>Диск отрезной алмазный</t>
  </si>
  <si>
    <t>201-9002</t>
  </si>
  <si>
    <t>ТССЦ Московской обл., 201-9002, приказ Минстроя России №675/пр от 28.02.2017 № 255/пр</t>
  </si>
  <si>
    <t>Конструкции стальные</t>
  </si>
  <si>
    <t>101-9910</t>
  </si>
  <si>
    <t>ТССЦ Московской обл., 101-9910, приказ Минстроя России №675/пр от 21.09.2015 г.</t>
  </si>
  <si>
    <t>Стальной гнутый профиль (профилированный настил)</t>
  </si>
  <si>
    <t>101-9911</t>
  </si>
  <si>
    <t>ТССЦ Московской обл., 101-9911, приказ Минстроя России №675/пр от 21.09.2015 г.</t>
  </si>
  <si>
    <t>Крепежные детали для крепления профилированного настила к несущим конструкциям</t>
  </si>
  <si>
    <t>101-9411</t>
  </si>
  <si>
    <t>ТССЦ Московской обл., 101-9411, приказ Минстроя России №675/пр от 21.09.2015 г.</t>
  </si>
  <si>
    <t>Скобяные изделия</t>
  </si>
  <si>
    <t>101-9732</t>
  </si>
  <si>
    <t>ТССЦ Московской обл., 101-9732, приказ Минстроя России №675/пр от 21.09.2015 г.</t>
  </si>
  <si>
    <t>Грунтовка</t>
  </si>
  <si>
    <t>203-9007</t>
  </si>
  <si>
    <t>ТССЦ Московской обл., 203-9007, приказ Минстроя России №675/пр от 21.09.2015 г.</t>
  </si>
  <si>
    <t>Рейки деревянные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</si>
  <si>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</si>
  <si>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</si>
  <si>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</si>
  <si>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</si>
  <si>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</si>
  <si>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</si>
  <si>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</si>
  <si>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</si>
  <si>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</si>
  <si>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</si>
  <si>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</si>
  <si>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</si>
  <si>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</si>
  <si>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</si>
  <si>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</si>
  <si>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</si>
  <si>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</si>
  <si>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</si>
  <si>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</si>
  <si>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</si>
  <si>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</si>
  <si>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</si>
  <si>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</si>
  <si>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</si>
  <si>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</si>
  <si>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</si>
  <si>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</si>
  <si>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</si>
  <si>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</si>
  <si>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</si>
  <si>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</si>
  <si>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</si>
  <si>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январь 2021 года и Московская область Каталог текущих цен на материалы, декабрь 2020 г</t>
  </si>
  <si>
    <t>Зарплата</t>
  </si>
  <si>
    <t>Материальные ресурсы</t>
  </si>
  <si>
    <t>Затраты труда</t>
  </si>
  <si>
    <t>чел-ч</t>
  </si>
  <si>
    <t>НР от ФОТ</t>
  </si>
  <si>
    <t>%</t>
  </si>
  <si>
    <t>СП от ФОТ</t>
  </si>
  <si>
    <t>в т.ч. зарплата машинистов</t>
  </si>
  <si>
    <r>
      <t>09-05-003-1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</si>
  <si>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13-03-002-4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</si>
  <si>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13-03-004-26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</si>
  <si>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09-04-013-2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</si>
  <si>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09-04-012-2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</si>
  <si>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10-01-047-4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</si>
  <si>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15-02-031-1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</si>
  <si>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15-04-007-1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</si>
  <si>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11-01-011-1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</si>
  <si>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11-01-011-2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</si>
  <si>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11-01-047-1</t>
    </r>
    <r>
      <rPr>
        <i/>
        <sz val="10"/>
        <rFont val="Arial"/>
        <family val="2"/>
        <charset val="204"/>
      </rPr>
      <t xml:space="preserve">
Поправка: МДС 81-35.2004, п.4.7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</si>
  <si>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</si>
  <si>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</si>
  <si>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</si>
  <si>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</si>
  <si>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</si>
  <si>
    <t xml:space="preserve">Мы, нижеподписавшиеся, произвели осмотр объекта </t>
  </si>
  <si>
    <t xml:space="preserve">и постановили произвести ремонт объекта в </t>
  </si>
  <si>
    <t>следующем объеме:</t>
  </si>
  <si>
    <t>Единица измерения</t>
  </si>
  <si>
    <t>Количество</t>
  </si>
  <si>
    <t>Примечание</t>
  </si>
  <si>
    <t>Заказчик _________________</t>
  </si>
  <si>
    <t>Подрядчик _________________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</si>
</sst>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14" fillId="0" borderId="0" xfId="0" applyFont="1"/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2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vertical="top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right" wrapText="1"/>
    </xf>
    <xf numFmtId="0" fontId="11" fillId="0" borderId="3" xfId="0" applyFont="1" applyBorder="1" applyAlignment="1">
      <alignment horizontal="right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69"/>
  <sheetViews>
    <sheetView zoomScaleNormal="100" workbookViewId="0">
      <selection activeCell="A160" sqref="A160"/>
    </sheetView>
  </sheetViews>
  <sheetFormatPr defaultRowHeight="13.2"/>
  <cols>
    <col min="1" max="1" width="5.77734375" customWidth="1"/>
    <col min="2" max="2" width="11.77734375" customWidth="1"/>
    <col min="3" max="3" width="40.77734375" customWidth="1"/>
    <col min="4" max="5" width="10.77734375" customWidth="1"/>
    <col min="6" max="8" width="12.77734375" customWidth="1"/>
    <col min="9" max="9" width="17.77734375" customWidth="1"/>
    <col min="10" max="10" width="8.77734375" customWidth="1"/>
    <col min="11" max="11" width="12.77734375" customWidth="1"/>
    <col min="12" max="12" width="9.77734375" customWidth="1"/>
    <col min="15" max="31" width="0" hidden="1" customWidth="1"/>
    <col min="32" max="32" width="91.77734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3.8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8">
      <c r="A3" s="12"/>
      <c r="B3" s="13" t="s">
        <v>612</v>
      </c>
      <c r="C3" s="13"/>
      <c r="D3" s="13"/>
      <c r="E3" s="13"/>
      <c r="F3" s="11"/>
      <c r="G3" s="11"/>
      <c r="H3" s="13" t="s">
        <v>613</v>
      </c>
      <c r="I3" s="13"/>
      <c r="J3" s="13"/>
      <c r="K3" s="13"/>
      <c r="L3" s="13"/>
    </row>
    <row r="4" spans="1:12" ht="13.8">
      <c r="A4" s="11"/>
      <c r="B4" s="14"/>
      <c r="C4" s="14"/>
      <c r="D4" s="14"/>
      <c r="E4" s="14"/>
      <c r="F4" s="11"/>
      <c r="G4" s="11"/>
      <c r="H4" s="14"/>
      <c r="I4" s="14"/>
      <c r="J4" s="14"/>
      <c r="K4" s="14"/>
      <c r="L4" s="14"/>
    </row>
    <row r="5" spans="1:12" ht="13.8">
      <c r="A5" s="15"/>
      <c r="B5" s="15"/>
      <c r="C5" s="16"/>
      <c r="D5" s="16"/>
      <c r="E5" s="16"/>
      <c r="F5" s="11"/>
      <c r="G5" s="11"/>
      <c r="H5" s="17"/>
      <c r="I5" s="16"/>
      <c r="J5" s="16"/>
      <c r="K5" s="16"/>
      <c r="L5" s="17"/>
    </row>
    <row r="6" spans="1:12" ht="13.8">
      <c r="A6" s="17"/>
      <c r="B6" s="14" t="str">
        <f>CONCATENATE("______________________ ", IF(Source!AL12&lt;&gt;"", Source!AL12, ""))</f>
        <v xml:space="preserve">______________________ </v>
      </c>
      <c r="C6" s="14"/>
      <c r="D6" s="14"/>
      <c r="E6" s="14"/>
      <c r="F6" s="11"/>
      <c r="G6" s="11"/>
      <c r="H6" s="14" t="str">
        <f>CONCATENATE("______________________ ", IF(Source!AH12&lt;&gt;"", Source!AH12, ""))</f>
        <v xml:space="preserve">______________________ </v>
      </c>
      <c r="I6" s="14"/>
      <c r="J6" s="14"/>
      <c r="K6" s="14"/>
      <c r="L6" s="14"/>
    </row>
    <row r="7" spans="1:12" ht="13.8">
      <c r="A7" s="18"/>
      <c r="B7" s="19" t="s">
        <v>614</v>
      </c>
      <c r="C7" s="19"/>
      <c r="D7" s="19"/>
      <c r="E7" s="19"/>
      <c r="F7" s="11"/>
      <c r="G7" s="11"/>
      <c r="H7" s="19" t="s">
        <v>614</v>
      </c>
      <c r="I7" s="19"/>
      <c r="J7" s="19"/>
      <c r="K7" s="19"/>
      <c r="L7" s="19"/>
    </row>
    <row r="10" spans="1:12" ht="15.6">
      <c r="A10" s="18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8"/>
    </row>
    <row r="11" spans="1:12" ht="13.8">
      <c r="A11" s="21"/>
      <c r="B11" s="22" t="s">
        <v>615</v>
      </c>
      <c r="C11" s="22"/>
      <c r="D11" s="22"/>
      <c r="E11" s="22"/>
      <c r="F11" s="22"/>
      <c r="G11" s="22"/>
      <c r="H11" s="22"/>
      <c r="I11" s="22"/>
      <c r="J11" s="22"/>
      <c r="K11" s="22"/>
      <c r="L11" s="18"/>
    </row>
    <row r="12" spans="1:12" ht="13.8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3.8">
      <c r="A13" s="11"/>
      <c r="B13" s="11"/>
      <c r="C13" s="11"/>
      <c r="D13" s="11"/>
      <c r="E13" s="11"/>
      <c r="F13" s="23" t="s">
        <v>616</v>
      </c>
      <c r="G13" s="23"/>
      <c r="H13" s="24" t="str">
        <f>IF(Source!F12&lt;&gt;"Новый объект", Source!F12, "")</f>
        <v/>
      </c>
      <c r="I13" s="24"/>
      <c r="J13" s="24"/>
      <c r="K13" s="24"/>
      <c r="L13" s="25"/>
    </row>
    <row r="14" spans="1:12" ht="13.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6">
      <c r="A15" s="26"/>
      <c r="B15" s="20" t="str">
        <f>CONCATENATE( "ЛОКАЛЬНАЯ СМЕТА № ",IF(Source!F12&lt;&gt;"Новый объект", Source!F12, ""))</f>
        <v xml:space="preserve">ЛОКАЛЬНАЯ СМЕТА № </v>
      </c>
      <c r="C15" s="20"/>
      <c r="D15" s="20"/>
      <c r="E15" s="20"/>
      <c r="F15" s="20"/>
      <c r="G15" s="20"/>
      <c r="H15" s="20"/>
      <c r="I15" s="20"/>
      <c r="J15" s="20"/>
      <c r="K15" s="20"/>
      <c r="L15" s="26"/>
    </row>
    <row r="16" spans="1:12" ht="15.6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6"/>
    </row>
    <row r="17" spans="1:12" ht="17.399999999999999" hidden="1">
      <c r="A17" s="26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6"/>
    </row>
    <row r="18" spans="1:12" ht="13.8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7.399999999999999">
      <c r="A19" s="11"/>
      <c r="B19" s="29" t="str">
        <f>IF(Source!G12&lt;&gt;"Новый объект", Source!G12, "")</f>
        <v>Ремонт выхода  запас СРО  ИП 2021</v>
      </c>
      <c r="C19" s="29"/>
      <c r="D19" s="29"/>
      <c r="E19" s="29"/>
      <c r="F19" s="29"/>
      <c r="G19" s="29"/>
      <c r="H19" s="29"/>
      <c r="I19" s="29"/>
      <c r="J19" s="29"/>
      <c r="K19" s="29"/>
      <c r="L19" s="30"/>
    </row>
    <row r="20" spans="1:12" ht="13.8">
      <c r="A20" s="11"/>
      <c r="B20" s="31" t="s">
        <v>617</v>
      </c>
      <c r="C20" s="31"/>
      <c r="D20" s="31"/>
      <c r="E20" s="31"/>
      <c r="F20" s="31"/>
      <c r="G20" s="31"/>
      <c r="H20" s="31"/>
      <c r="I20" s="31"/>
      <c r="J20" s="31"/>
      <c r="K20" s="31"/>
      <c r="L20" s="18"/>
    </row>
    <row r="21" spans="1:12" ht="13.8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3.8">
      <c r="A22" s="24" t="str">
        <f>CONCATENATE("Основание: ", Source!J12)</f>
        <v xml:space="preserve">Основание: 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3.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3.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3.8">
      <c r="A25" s="11"/>
      <c r="B25" s="11"/>
      <c r="C25" s="11"/>
      <c r="D25" s="11"/>
      <c r="E25" s="32"/>
      <c r="F25" s="32"/>
      <c r="G25" s="33" t="s">
        <v>618</v>
      </c>
      <c r="H25" s="33"/>
      <c r="I25" s="33" t="s">
        <v>619</v>
      </c>
      <c r="J25" s="33"/>
      <c r="K25" s="11"/>
      <c r="L25" s="11"/>
    </row>
    <row r="26" spans="1:12" ht="13.8">
      <c r="A26" s="11"/>
      <c r="B26" s="11"/>
      <c r="C26" s="34" t="s">
        <v>620</v>
      </c>
      <c r="D26" s="34"/>
      <c r="E26" s="34"/>
      <c r="F26" s="34"/>
      <c r="G26" s="35">
        <f>SUM(O1:O257)/1000</f>
        <v>69.70268999999999</v>
      </c>
      <c r="H26" s="35"/>
      <c r="I26" s="35">
        <f>(Source!F223/1000)</f>
        <v>168.6815</v>
      </c>
      <c r="J26" s="35"/>
      <c r="K26" s="36" t="s">
        <v>621</v>
      </c>
      <c r="L26" s="36"/>
    </row>
    <row r="27" spans="1:12" ht="13.8">
      <c r="A27" s="11"/>
      <c r="B27" s="11"/>
      <c r="C27" s="37" t="s">
        <v>622</v>
      </c>
      <c r="D27" s="37"/>
      <c r="E27" s="37"/>
      <c r="F27" s="37"/>
      <c r="G27" s="35">
        <f>SUM(W1:W257)/1000</f>
        <v>69.70268999999999</v>
      </c>
      <c r="H27" s="35"/>
      <c r="I27" s="35">
        <f>(Source!F210)/1000</f>
        <v>140.56792000000002</v>
      </c>
      <c r="J27" s="35"/>
      <c r="K27" s="36" t="s">
        <v>621</v>
      </c>
      <c r="L27" s="36"/>
    </row>
    <row r="28" spans="1:12" ht="13.8">
      <c r="A28" s="11"/>
      <c r="B28" s="11"/>
      <c r="C28" s="37" t="s">
        <v>623</v>
      </c>
      <c r="D28" s="37"/>
      <c r="E28" s="37"/>
      <c r="F28" s="37"/>
      <c r="G28" s="35">
        <f>SUM(X1:X257)/1000</f>
        <v>0</v>
      </c>
      <c r="H28" s="35"/>
      <c r="I28" s="35">
        <f>(Source!F211)/1000</f>
        <v>0</v>
      </c>
      <c r="J28" s="35"/>
      <c r="K28" s="36" t="s">
        <v>621</v>
      </c>
      <c r="L28" s="36"/>
    </row>
    <row r="29" spans="1:12" ht="13.8">
      <c r="A29" s="11"/>
      <c r="B29" s="11"/>
      <c r="C29" s="37" t="s">
        <v>624</v>
      </c>
      <c r="D29" s="37"/>
      <c r="E29" s="37"/>
      <c r="F29" s="37"/>
      <c r="G29" s="35">
        <f>SUM(Y1:Y257)/1000</f>
        <v>0</v>
      </c>
      <c r="H29" s="35"/>
      <c r="I29" s="35">
        <f>(Source!F202)/1000</f>
        <v>0</v>
      </c>
      <c r="J29" s="35"/>
      <c r="K29" s="36" t="s">
        <v>621</v>
      </c>
      <c r="L29" s="36"/>
    </row>
    <row r="30" spans="1:12" ht="13.8">
      <c r="A30" s="11"/>
      <c r="B30" s="11"/>
      <c r="C30" s="37" t="s">
        <v>625</v>
      </c>
      <c r="D30" s="37"/>
      <c r="E30" s="37"/>
      <c r="F30" s="37"/>
      <c r="G30" s="35">
        <f>SUM(Z1:Z257)/1000</f>
        <v>0</v>
      </c>
      <c r="H30" s="35"/>
      <c r="I30" s="35">
        <f>(Source!F212+Source!F213)/1000</f>
        <v>0</v>
      </c>
      <c r="J30" s="35"/>
      <c r="K30" s="36" t="s">
        <v>621</v>
      </c>
      <c r="L30" s="36"/>
    </row>
    <row r="31" spans="1:12" ht="13.8">
      <c r="A31" s="11"/>
      <c r="B31" s="11"/>
      <c r="C31" s="34" t="s">
        <v>626</v>
      </c>
      <c r="D31" s="34"/>
      <c r="E31" s="34"/>
      <c r="F31" s="34"/>
      <c r="G31" s="35">
        <f>I31</f>
        <v>69.502905999999996</v>
      </c>
      <c r="H31" s="35"/>
      <c r="I31" s="35">
        <f>(Source!F215+Source!F216)</f>
        <v>69.502905999999996</v>
      </c>
      <c r="J31" s="35"/>
      <c r="K31" s="36" t="s">
        <v>627</v>
      </c>
      <c r="L31" s="36"/>
    </row>
    <row r="32" spans="1:12" ht="13.8">
      <c r="A32" s="11"/>
      <c r="B32" s="11"/>
      <c r="C32" s="34" t="s">
        <v>628</v>
      </c>
      <c r="D32" s="34"/>
      <c r="E32" s="34"/>
      <c r="F32" s="34"/>
      <c r="G32" s="35">
        <f>SUM(R1:R257)/1000</f>
        <v>0.64932999999999996</v>
      </c>
      <c r="H32" s="35"/>
      <c r="I32" s="35">
        <f>(Source!F208+ Source!F207)/1000</f>
        <v>21.36881</v>
      </c>
      <c r="J32" s="35"/>
      <c r="K32" s="36" t="s">
        <v>621</v>
      </c>
      <c r="L32" s="36"/>
    </row>
    <row r="33" spans="1:22" ht="13.8" hidden="1">
      <c r="A33" s="11"/>
      <c r="B33" s="11"/>
      <c r="C33" s="37" t="s">
        <v>98</v>
      </c>
      <c r="D33" s="37"/>
      <c r="E33" s="37"/>
      <c r="F33" s="37"/>
      <c r="G33" s="35"/>
      <c r="H33" s="35"/>
      <c r="I33" s="35"/>
      <c r="J33" s="35"/>
      <c r="K33" s="38" t="s">
        <v>621</v>
      </c>
      <c r="L33" s="11"/>
    </row>
    <row r="34" spans="1:22" ht="13.8">
      <c r="A34" s="11"/>
      <c r="B34" s="11"/>
      <c r="C34" s="39"/>
      <c r="D34" s="39"/>
      <c r="E34" s="39"/>
      <c r="F34" s="17"/>
      <c r="G34" s="40"/>
      <c r="H34" s="40"/>
      <c r="I34" s="40"/>
      <c r="J34" s="40"/>
      <c r="K34" s="40"/>
      <c r="L34" s="40"/>
    </row>
    <row r="35" spans="1:22" ht="15" hidden="1">
      <c r="A35" s="17" t="s">
        <v>629</v>
      </c>
      <c r="B35" s="11"/>
      <c r="C35" s="11"/>
      <c r="D35" s="15"/>
      <c r="E35" s="11"/>
      <c r="F35" s="11"/>
      <c r="G35" s="41"/>
      <c r="H35" s="41"/>
      <c r="I35" s="42"/>
      <c r="J35" s="41"/>
      <c r="K35" s="41"/>
      <c r="L35" s="41"/>
    </row>
    <row r="36" spans="1:22" ht="15" hidden="1">
      <c r="A36" s="17" t="s">
        <v>630</v>
      </c>
      <c r="B36" s="11"/>
      <c r="C36" s="11"/>
      <c r="D36" s="15"/>
      <c r="E36" s="11"/>
      <c r="F36" s="11"/>
      <c r="G36" s="41"/>
      <c r="H36" s="41"/>
      <c r="I36" s="42"/>
      <c r="J36" s="41"/>
      <c r="K36" s="41"/>
      <c r="L36" s="41"/>
    </row>
    <row r="37" spans="1:22" ht="15" hidden="1">
      <c r="A37" s="11"/>
      <c r="B37" s="11"/>
      <c r="C37" s="10"/>
      <c r="D37" s="10"/>
      <c r="E37" s="10"/>
      <c r="F37" s="10"/>
      <c r="G37" s="41"/>
      <c r="H37" s="41"/>
      <c r="I37" s="42"/>
      <c r="J37" s="41"/>
      <c r="K37" s="41"/>
      <c r="L37" s="41"/>
    </row>
    <row r="38" spans="1:22" ht="13.8">
      <c r="A38" s="43" t="s">
        <v>643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22" ht="55.2">
      <c r="A39" s="44" t="s">
        <v>631</v>
      </c>
      <c r="B39" s="44" t="s">
        <v>632</v>
      </c>
      <c r="C39" s="44" t="s">
        <v>633</v>
      </c>
      <c r="D39" s="44" t="s">
        <v>634</v>
      </c>
      <c r="E39" s="44" t="s">
        <v>635</v>
      </c>
      <c r="F39" s="44" t="s">
        <v>636</v>
      </c>
      <c r="G39" s="44" t="s">
        <v>637</v>
      </c>
      <c r="H39" s="44" t="s">
        <v>638</v>
      </c>
      <c r="I39" s="44" t="s">
        <v>639</v>
      </c>
      <c r="J39" s="44" t="s">
        <v>640</v>
      </c>
      <c r="K39" s="44" t="s">
        <v>641</v>
      </c>
      <c r="L39" s="44" t="s">
        <v>642</v>
      </c>
    </row>
    <row r="40" spans="1:22" ht="13.8">
      <c r="A40" s="45">
        <v>1</v>
      </c>
      <c r="B40" s="45">
        <v>2</v>
      </c>
      <c r="C40" s="45">
        <v>3</v>
      </c>
      <c r="D40" s="45">
        <v>4</v>
      </c>
      <c r="E40" s="45">
        <v>5</v>
      </c>
      <c r="F40" s="45">
        <v>6</v>
      </c>
      <c r="G40" s="45">
        <v>7</v>
      </c>
      <c r="H40" s="45">
        <v>8</v>
      </c>
      <c r="I40" s="45">
        <v>9</v>
      </c>
      <c r="J40" s="45">
        <v>10</v>
      </c>
      <c r="K40" s="45">
        <v>11</v>
      </c>
      <c r="L40" s="46">
        <v>12</v>
      </c>
    </row>
    <row r="42" spans="1:22" ht="16.8">
      <c r="A42" s="53" t="str">
        <f>CONCATENATE("Локальная смета: ",IF(Source!G20&lt;&gt;"Новая локальная смета", Source!G20, ""))</f>
        <v xml:space="preserve">Локальная смета: 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4" spans="1:22" ht="16.8">
      <c r="A44" s="53" t="str">
        <f>CONCATENATE("Раздел: ",IF(Source!G24&lt;&gt;"Новый раздел", Source!G24, ""))</f>
        <v>Раздел: Демонтаж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</row>
    <row r="45" spans="1:22" ht="55.2">
      <c r="A45" s="38" t="str">
        <f>Source!E28</f>
        <v>2</v>
      </c>
      <c r="B45" s="76" t="str">
        <f>Source!F28</f>
        <v>46-04-016-1</v>
      </c>
      <c r="C45" s="76" t="str">
        <f>Source!G28</f>
        <v>Резка дисковыми стенорезными машинами бетонных и железобетонных конструкций стен, перегородок и перекрытий глубиной 230 мм</v>
      </c>
      <c r="D45" s="56" t="str">
        <f>Source!H28</f>
        <v>1 м реза</v>
      </c>
      <c r="E45" s="10">
        <f>Source!I28</f>
        <v>2</v>
      </c>
      <c r="F45" s="57">
        <f>Source!AL28+Source!AM28+Source!AO28</f>
        <v>334.06000000000006</v>
      </c>
      <c r="G45" s="58"/>
      <c r="H45" s="59"/>
      <c r="I45" s="58" t="str">
        <f>Source!BO28</f>
        <v>46-04-016-1</v>
      </c>
      <c r="J45" s="58"/>
      <c r="K45" s="59"/>
      <c r="L45" s="60"/>
      <c r="S45">
        <f>ROUND((Source!FX28/100)*((ROUND(Source!AF28*Source!I28, 2)+ROUND(Source!AE28*Source!I28, 2))), 2)</f>
        <v>0</v>
      </c>
      <c r="T45">
        <f>Source!X28</f>
        <v>0</v>
      </c>
      <c r="U45">
        <f>ROUND((Source!FY28/100)*((ROUND(Source!AF28*Source!I28, 2)+ROUND(Source!AE28*Source!I28, 2))), 2)</f>
        <v>0</v>
      </c>
      <c r="V45">
        <f>Source!Y28</f>
        <v>0</v>
      </c>
    </row>
    <row r="46" spans="1:22" ht="14.4">
      <c r="A46" s="38"/>
      <c r="B46" s="76"/>
      <c r="C46" s="76" t="s">
        <v>644</v>
      </c>
      <c r="D46" s="56"/>
      <c r="E46" s="10"/>
      <c r="F46" s="57">
        <f>Source!AO28</f>
        <v>43.47</v>
      </c>
      <c r="G46" s="58" t="str">
        <f>Source!DG28</f>
        <v/>
      </c>
      <c r="H46" s="59">
        <f>ROUND(Source!AF28*Source!I28, 2)</f>
        <v>86.94</v>
      </c>
      <c r="I46" s="58"/>
      <c r="J46" s="58">
        <f>IF(Source!BA28&lt;&gt; 0, Source!BA28, 1)</f>
        <v>32.909999999999997</v>
      </c>
      <c r="K46" s="59">
        <f>Source!S28</f>
        <v>2861.2</v>
      </c>
      <c r="L46" s="60"/>
      <c r="R46">
        <f>H46</f>
        <v>86.94</v>
      </c>
    </row>
    <row r="47" spans="1:22" ht="14.4">
      <c r="A47" s="38"/>
      <c r="B47" s="76"/>
      <c r="C47" s="76" t="s">
        <v>80</v>
      </c>
      <c r="D47" s="56"/>
      <c r="E47" s="10"/>
      <c r="F47" s="57">
        <f>Source!AM28</f>
        <v>279.79000000000002</v>
      </c>
      <c r="G47" s="58" t="str">
        <f>Source!DE28</f>
        <v/>
      </c>
      <c r="H47" s="59">
        <f>ROUND(Source!AD28*Source!I28, 2)</f>
        <v>559.58000000000004</v>
      </c>
      <c r="I47" s="58"/>
      <c r="J47" s="58">
        <f>IF(Source!BB28&lt;&gt; 0, Source!BB28, 1)</f>
        <v>3.29</v>
      </c>
      <c r="K47" s="59">
        <f>Source!Q28</f>
        <v>1841.02</v>
      </c>
      <c r="L47" s="60"/>
    </row>
    <row r="48" spans="1:22" ht="14.4">
      <c r="A48" s="38"/>
      <c r="B48" s="76"/>
      <c r="C48" s="76" t="s">
        <v>645</v>
      </c>
      <c r="D48" s="56"/>
      <c r="E48" s="10"/>
      <c r="F48" s="57">
        <f>Source!AL28</f>
        <v>10.8</v>
      </c>
      <c r="G48" s="58" t="str">
        <f>Source!DD28</f>
        <v/>
      </c>
      <c r="H48" s="59">
        <f>ROUND(Source!AC28*Source!I28, 2)</f>
        <v>21.6</v>
      </c>
      <c r="I48" s="58"/>
      <c r="J48" s="58">
        <f>IF(Source!BC28&lt;&gt; 0, Source!BC28, 1)</f>
        <v>3.5</v>
      </c>
      <c r="K48" s="59">
        <f>Source!P28</f>
        <v>75.599999999999994</v>
      </c>
      <c r="L48" s="60"/>
    </row>
    <row r="49" spans="1:26" ht="14.4">
      <c r="A49" s="38"/>
      <c r="B49" s="76"/>
      <c r="C49" s="76" t="s">
        <v>646</v>
      </c>
      <c r="D49" s="56" t="s">
        <v>647</v>
      </c>
      <c r="E49" s="10">
        <f>Source!AQ28</f>
        <v>3.92</v>
      </c>
      <c r="F49" s="57"/>
      <c r="G49" s="58" t="str">
        <f>Source!DI28</f>
        <v/>
      </c>
      <c r="H49" s="59"/>
      <c r="I49" s="58"/>
      <c r="J49" s="58"/>
      <c r="K49" s="59"/>
      <c r="L49" s="61">
        <f>Source!U28</f>
        <v>7.84</v>
      </c>
    </row>
    <row r="50" spans="1:26" ht="27.6">
      <c r="A50" s="77" t="str">
        <f>Source!E29</f>
        <v>2,1</v>
      </c>
      <c r="B50" s="78" t="str">
        <f>Source!F29</f>
        <v>101-4893</v>
      </c>
      <c r="C50" s="78" t="str">
        <f>Source!G29</f>
        <v>Диск отрезной алмазный сегментный BCER-34-350.21.35/25,4</v>
      </c>
      <c r="D50" s="62" t="str">
        <f>Source!H29</f>
        <v>шт.</v>
      </c>
      <c r="E50" s="63">
        <f>Source!I29</f>
        <v>1</v>
      </c>
      <c r="F50" s="64">
        <f>Source!AL29+Source!AM29+Source!AO29</f>
        <v>6028.67</v>
      </c>
      <c r="G50" s="65" t="s">
        <v>3</v>
      </c>
      <c r="H50" s="66">
        <f>ROUND(Source!AC29*Source!I29, 2)+ROUND(Source!AD29*Source!I29, 2)+ROUND(Source!AF29*Source!I29, 2)</f>
        <v>6028.67</v>
      </c>
      <c r="I50" s="67"/>
      <c r="J50" s="67">
        <f>IF(Source!BC29&lt;&gt; 0, Source!BC29, 1)</f>
        <v>1</v>
      </c>
      <c r="K50" s="66">
        <f>Source!O29</f>
        <v>6028.67</v>
      </c>
      <c r="L50" s="68"/>
      <c r="S50">
        <f>ROUND((Source!FX29/100)*((ROUND(Source!AF29*Source!I29, 2)+ROUND(Source!AE29*Source!I29, 2))), 2)</f>
        <v>0</v>
      </c>
      <c r="T50">
        <f>Source!X29</f>
        <v>0</v>
      </c>
      <c r="U50">
        <f>ROUND((Source!FY29/100)*((ROUND(Source!AF29*Source!I29, 2)+ROUND(Source!AE29*Source!I29, 2))), 2)</f>
        <v>0</v>
      </c>
      <c r="V50">
        <f>Source!Y29</f>
        <v>0</v>
      </c>
      <c r="W50">
        <f>IF(Source!BI29&lt;=1,H50, 0)</f>
        <v>6028.67</v>
      </c>
      <c r="X50">
        <f>IF(Source!BI29=2,H50, 0)</f>
        <v>0</v>
      </c>
      <c r="Y50">
        <f>IF(Source!BI29=3,H50, 0)</f>
        <v>0</v>
      </c>
      <c r="Z50">
        <f>IF(Source!BI29=4,H50, 0)</f>
        <v>0</v>
      </c>
    </row>
    <row r="51" spans="1:26" ht="13.8">
      <c r="G51" s="69">
        <f>H46+H47+H48+SUM(H50:H50)</f>
        <v>6696.79</v>
      </c>
      <c r="H51" s="69"/>
      <c r="J51" s="69">
        <f>K46+K47+K48+SUM(K50:K50)</f>
        <v>10806.49</v>
      </c>
      <c r="K51" s="69"/>
      <c r="L51" s="70">
        <f>Source!U28</f>
        <v>7.84</v>
      </c>
      <c r="O51" s="47">
        <f>G51</f>
        <v>6696.79</v>
      </c>
      <c r="P51" s="47">
        <f>J51</f>
        <v>10806.49</v>
      </c>
      <c r="Q51" s="47">
        <f>L51</f>
        <v>7.84</v>
      </c>
      <c r="W51">
        <f>IF(Source!BI28&lt;=1,H46+H47+H48, 0)</f>
        <v>668.12</v>
      </c>
      <c r="X51">
        <f>IF(Source!BI28=2,H46+H47+H48, 0)</f>
        <v>0</v>
      </c>
      <c r="Y51">
        <f>IF(Source!BI28=3,H46+H47+H48, 0)</f>
        <v>0</v>
      </c>
      <c r="Z51">
        <f>IF(Source!BI28=4,H46+H47+H48, 0)</f>
        <v>0</v>
      </c>
    </row>
    <row r="52" spans="1:26" ht="72">
      <c r="A52" s="38" t="str">
        <f>Source!E30</f>
        <v>3</v>
      </c>
      <c r="B52" s="76" t="str">
        <f>Source!F30</f>
        <v>62-41-1</v>
      </c>
      <c r="C52" s="76" t="str">
        <f>Source!G30</f>
        <v>Очистка вручную поверхности фасадов от перхлорвиниловых и масляных красок с земли и лесов</v>
      </c>
      <c r="D52" s="56" t="str">
        <f>Source!H30</f>
        <v>100 м2 расчищенной поверхности</v>
      </c>
      <c r="E52" s="10">
        <f>Source!I30</f>
        <v>7.0000000000000007E-2</v>
      </c>
      <c r="F52" s="57">
        <f>Source!AL30+Source!AM30+Source!AO30</f>
        <v>162.24</v>
      </c>
      <c r="G52" s="58"/>
      <c r="H52" s="59"/>
      <c r="I52" s="58" t="str">
        <f>Source!BO30</f>
        <v>62-41-1</v>
      </c>
      <c r="J52" s="58"/>
      <c r="K52" s="59"/>
      <c r="L52" s="60"/>
      <c r="S52">
        <f>ROUND((Source!FX30/100)*((ROUND(Source!AF30*Source!I30, 2)+ROUND(Source!AE30*Source!I30, 2))), 2)</f>
        <v>9.09</v>
      </c>
      <c r="T52">
        <f>Source!X30</f>
        <v>299</v>
      </c>
      <c r="U52">
        <f>ROUND((Source!FY30/100)*((ROUND(Source!AF30*Source!I30, 2)+ROUND(Source!AE30*Source!I30, 2))), 2)</f>
        <v>5.68</v>
      </c>
      <c r="V52">
        <f>Source!Y30</f>
        <v>186.88</v>
      </c>
    </row>
    <row r="53" spans="1:26">
      <c r="C53" s="49" t="str">
        <f>"Объем: "&amp;Source!I30&amp;"=7/"&amp;"100"</f>
        <v>Объем: 0,07=7/100</v>
      </c>
    </row>
    <row r="54" spans="1:26" ht="14.4">
      <c r="A54" s="38"/>
      <c r="B54" s="76"/>
      <c r="C54" s="76" t="s">
        <v>644</v>
      </c>
      <c r="D54" s="56"/>
      <c r="E54" s="10"/>
      <c r="F54" s="57">
        <f>Source!AO30</f>
        <v>162.24</v>
      </c>
      <c r="G54" s="58" t="str">
        <f>Source!DG30</f>
        <v/>
      </c>
      <c r="H54" s="59">
        <f>ROUND(Source!AF30*Source!I30, 2)</f>
        <v>11.36</v>
      </c>
      <c r="I54" s="58"/>
      <c r="J54" s="58">
        <f>IF(Source!BA30&lt;&gt; 0, Source!BA30, 1)</f>
        <v>32.909999999999997</v>
      </c>
      <c r="K54" s="59">
        <f>Source!S30</f>
        <v>373.75</v>
      </c>
      <c r="L54" s="60"/>
      <c r="R54">
        <f>H54</f>
        <v>11.36</v>
      </c>
    </row>
    <row r="55" spans="1:26" ht="14.4">
      <c r="A55" s="38"/>
      <c r="B55" s="76"/>
      <c r="C55" s="76" t="s">
        <v>648</v>
      </c>
      <c r="D55" s="56" t="s">
        <v>649</v>
      </c>
      <c r="E55" s="10">
        <f>Source!BZ30</f>
        <v>80</v>
      </c>
      <c r="F55" s="79"/>
      <c r="G55" s="58"/>
      <c r="H55" s="59">
        <f>SUM(S52:S57)</f>
        <v>9.09</v>
      </c>
      <c r="I55" s="71"/>
      <c r="J55" s="54">
        <f>Source!AT30</f>
        <v>80</v>
      </c>
      <c r="K55" s="59">
        <f>SUM(T52:T57)</f>
        <v>299</v>
      </c>
      <c r="L55" s="60"/>
    </row>
    <row r="56" spans="1:26" ht="14.4">
      <c r="A56" s="38"/>
      <c r="B56" s="76"/>
      <c r="C56" s="76" t="s">
        <v>650</v>
      </c>
      <c r="D56" s="56" t="s">
        <v>649</v>
      </c>
      <c r="E56" s="10">
        <f>Source!CA30</f>
        <v>50</v>
      </c>
      <c r="F56" s="79"/>
      <c r="G56" s="58"/>
      <c r="H56" s="59">
        <f>SUM(U52:U57)</f>
        <v>5.68</v>
      </c>
      <c r="I56" s="71"/>
      <c r="J56" s="54">
        <f>Source!AU30</f>
        <v>50</v>
      </c>
      <c r="K56" s="59">
        <f>SUM(V52:V57)</f>
        <v>186.88</v>
      </c>
      <c r="L56" s="60"/>
    </row>
    <row r="57" spans="1:26" ht="14.4">
      <c r="A57" s="77"/>
      <c r="B57" s="78"/>
      <c r="C57" s="78" t="s">
        <v>646</v>
      </c>
      <c r="D57" s="62" t="s">
        <v>647</v>
      </c>
      <c r="E57" s="63">
        <f>Source!AQ30</f>
        <v>20.8</v>
      </c>
      <c r="F57" s="64"/>
      <c r="G57" s="67" t="str">
        <f>Source!DI30</f>
        <v/>
      </c>
      <c r="H57" s="66"/>
      <c r="I57" s="67"/>
      <c r="J57" s="67"/>
      <c r="K57" s="66"/>
      <c r="L57" s="72">
        <f>Source!U30</f>
        <v>1.4560000000000002</v>
      </c>
    </row>
    <row r="58" spans="1:26" ht="13.8">
      <c r="G58" s="69">
        <f>H54+H55+H56</f>
        <v>26.13</v>
      </c>
      <c r="H58" s="69"/>
      <c r="J58" s="69">
        <f>K54+K55+K56</f>
        <v>859.63</v>
      </c>
      <c r="K58" s="69"/>
      <c r="L58" s="70">
        <f>Source!U30</f>
        <v>1.4560000000000002</v>
      </c>
      <c r="O58" s="47">
        <f>G58</f>
        <v>26.13</v>
      </c>
      <c r="P58" s="47">
        <f>J58</f>
        <v>859.63</v>
      </c>
      <c r="Q58" s="47">
        <f>L58</f>
        <v>1.4560000000000002</v>
      </c>
      <c r="W58">
        <f>IF(Source!BI30&lt;=1,H54+H55+H56, 0)</f>
        <v>26.13</v>
      </c>
      <c r="X58">
        <f>IF(Source!BI30=2,H54+H55+H56, 0)</f>
        <v>0</v>
      </c>
      <c r="Y58">
        <f>IF(Source!BI30=3,H54+H55+H56, 0)</f>
        <v>0</v>
      </c>
      <c r="Z58">
        <f>IF(Source!BI30=4,H54+H55+H56, 0)</f>
        <v>0</v>
      </c>
    </row>
    <row r="59" spans="1:26" ht="43.2">
      <c r="A59" s="38" t="str">
        <f>Source!E31</f>
        <v>4</v>
      </c>
      <c r="B59" s="76" t="str">
        <f>Source!F31</f>
        <v>57-2-3</v>
      </c>
      <c r="C59" s="76" t="str">
        <f>Source!G31</f>
        <v>Разборка покрытий полов из керамических плиток</v>
      </c>
      <c r="D59" s="56" t="str">
        <f>Source!H31</f>
        <v>100 м2 покрытия</v>
      </c>
      <c r="E59" s="10">
        <f>Source!I31</f>
        <v>0.03</v>
      </c>
      <c r="F59" s="57">
        <f>Source!AL31+Source!AM31+Source!AO31</f>
        <v>641</v>
      </c>
      <c r="G59" s="58"/>
      <c r="H59" s="59"/>
      <c r="I59" s="58" t="str">
        <f>Source!BO31</f>
        <v>57-2-3</v>
      </c>
      <c r="J59" s="58"/>
      <c r="K59" s="59"/>
      <c r="L59" s="60"/>
      <c r="S59">
        <f>ROUND((Source!FX31/100)*((ROUND(Source!AF31*Source!I31, 2)+ROUND(Source!AE31*Source!I31, 2))), 2)</f>
        <v>14.77</v>
      </c>
      <c r="T59">
        <f>Source!X31</f>
        <v>486.09</v>
      </c>
      <c r="U59">
        <f>ROUND((Source!FY31/100)*((ROUND(Source!AF31*Source!I31, 2)+ROUND(Source!AE31*Source!I31, 2))), 2)</f>
        <v>12.55</v>
      </c>
      <c r="V59">
        <f>Source!Y31</f>
        <v>413.17</v>
      </c>
    </row>
    <row r="60" spans="1:26">
      <c r="C60" s="49" t="str">
        <f>"Объем: "&amp;Source!I31&amp;"=3/"&amp;"100"</f>
        <v>Объем: 0,03=3/100</v>
      </c>
    </row>
    <row r="61" spans="1:26" ht="14.4">
      <c r="A61" s="38"/>
      <c r="B61" s="76"/>
      <c r="C61" s="76" t="s">
        <v>644</v>
      </c>
      <c r="D61" s="56"/>
      <c r="E61" s="10"/>
      <c r="F61" s="57">
        <f>Source!AO31</f>
        <v>595.99</v>
      </c>
      <c r="G61" s="58" t="str">
        <f>Source!DG31</f>
        <v/>
      </c>
      <c r="H61" s="59">
        <f>ROUND(Source!AF31*Source!I31, 2)</f>
        <v>17.88</v>
      </c>
      <c r="I61" s="58"/>
      <c r="J61" s="58">
        <f>IF(Source!BA31&lt;&gt; 0, Source!BA31, 1)</f>
        <v>32.909999999999997</v>
      </c>
      <c r="K61" s="59">
        <f>Source!S31</f>
        <v>588.41999999999996</v>
      </c>
      <c r="L61" s="60"/>
      <c r="R61">
        <f>H61</f>
        <v>17.88</v>
      </c>
    </row>
    <row r="62" spans="1:26" ht="14.4">
      <c r="A62" s="38"/>
      <c r="B62" s="76"/>
      <c r="C62" s="76" t="s">
        <v>80</v>
      </c>
      <c r="D62" s="56"/>
      <c r="E62" s="10"/>
      <c r="F62" s="57">
        <f>Source!AM31</f>
        <v>45.01</v>
      </c>
      <c r="G62" s="58" t="str">
        <f>Source!DE31</f>
        <v/>
      </c>
      <c r="H62" s="59">
        <f>ROUND(Source!AD31*Source!I31, 2)</f>
        <v>1.35</v>
      </c>
      <c r="I62" s="58"/>
      <c r="J62" s="58">
        <f>IF(Source!BB31&lt;&gt; 0, Source!BB31, 1)</f>
        <v>14.45</v>
      </c>
      <c r="K62" s="59">
        <f>Source!Q31</f>
        <v>19.510000000000002</v>
      </c>
      <c r="L62" s="60"/>
    </row>
    <row r="63" spans="1:26" ht="14.4">
      <c r="A63" s="38"/>
      <c r="B63" s="76"/>
      <c r="C63" s="76" t="s">
        <v>651</v>
      </c>
      <c r="D63" s="56"/>
      <c r="E63" s="10"/>
      <c r="F63" s="57">
        <f>Source!AN31</f>
        <v>19.440000000000001</v>
      </c>
      <c r="G63" s="58" t="str">
        <f>Source!DF31</f>
        <v/>
      </c>
      <c r="H63" s="73">
        <f>ROUND(Source!AE31*Source!I31, 2)</f>
        <v>0.57999999999999996</v>
      </c>
      <c r="I63" s="58"/>
      <c r="J63" s="58">
        <f>IF(Source!BS31&lt;&gt; 0, Source!BS31, 1)</f>
        <v>32.909999999999997</v>
      </c>
      <c r="K63" s="73">
        <f>Source!R31</f>
        <v>19.190000000000001</v>
      </c>
      <c r="L63" s="60"/>
      <c r="R63">
        <f>H63</f>
        <v>0.57999999999999996</v>
      </c>
    </row>
    <row r="64" spans="1:26" ht="14.4">
      <c r="A64" s="38"/>
      <c r="B64" s="76"/>
      <c r="C64" s="76" t="s">
        <v>648</v>
      </c>
      <c r="D64" s="56" t="s">
        <v>649</v>
      </c>
      <c r="E64" s="10">
        <f>Source!BZ31</f>
        <v>80</v>
      </c>
      <c r="F64" s="79"/>
      <c r="G64" s="58"/>
      <c r="H64" s="59">
        <f>SUM(S59:S67)</f>
        <v>14.77</v>
      </c>
      <c r="I64" s="71"/>
      <c r="J64" s="54">
        <f>Source!AT31</f>
        <v>80</v>
      </c>
      <c r="K64" s="59">
        <f>SUM(T59:T67)</f>
        <v>486.09</v>
      </c>
      <c r="L64" s="60"/>
    </row>
    <row r="65" spans="1:26" ht="14.4">
      <c r="A65" s="38"/>
      <c r="B65" s="76"/>
      <c r="C65" s="76" t="s">
        <v>650</v>
      </c>
      <c r="D65" s="56" t="s">
        <v>649</v>
      </c>
      <c r="E65" s="10">
        <f>Source!CA31</f>
        <v>68</v>
      </c>
      <c r="F65" s="79"/>
      <c r="G65" s="58"/>
      <c r="H65" s="59">
        <f>SUM(U59:U67)</f>
        <v>12.55</v>
      </c>
      <c r="I65" s="71"/>
      <c r="J65" s="54">
        <f>Source!AU31</f>
        <v>68</v>
      </c>
      <c r="K65" s="59">
        <f>SUM(V59:V67)</f>
        <v>413.17</v>
      </c>
      <c r="L65" s="60"/>
    </row>
    <row r="66" spans="1:26" ht="14.4">
      <c r="A66" s="38"/>
      <c r="B66" s="76"/>
      <c r="C66" s="76" t="s">
        <v>646</v>
      </c>
      <c r="D66" s="56" t="s">
        <v>647</v>
      </c>
      <c r="E66" s="10">
        <f>Source!AQ31</f>
        <v>69.87</v>
      </c>
      <c r="F66" s="57"/>
      <c r="G66" s="58" t="str">
        <f>Source!DI31</f>
        <v/>
      </c>
      <c r="H66" s="59"/>
      <c r="I66" s="58"/>
      <c r="J66" s="58"/>
      <c r="K66" s="59"/>
      <c r="L66" s="61">
        <f>Source!U31</f>
        <v>2.0960999999999999</v>
      </c>
    </row>
    <row r="67" spans="1:26" ht="14.4">
      <c r="A67" s="77" t="str">
        <f>Source!E32</f>
        <v>4,1</v>
      </c>
      <c r="B67" s="78" t="str">
        <f>Source!F32</f>
        <v>509-9900</v>
      </c>
      <c r="C67" s="78" t="str">
        <f>Source!G32</f>
        <v>Строительный мусор</v>
      </c>
      <c r="D67" s="62" t="str">
        <f>Source!H32</f>
        <v>т</v>
      </c>
      <c r="E67" s="63">
        <f>Source!I32</f>
        <v>0.156</v>
      </c>
      <c r="F67" s="64">
        <f>Source!AL32+Source!AM32+Source!AO32</f>
        <v>0</v>
      </c>
      <c r="G67" s="65" t="s">
        <v>3</v>
      </c>
      <c r="H67" s="66">
        <f>ROUND(Source!AC32*Source!I32, 2)+ROUND(Source!AD32*Source!I32, 2)+ROUND(Source!AF32*Source!I32, 2)</f>
        <v>0</v>
      </c>
      <c r="I67" s="67"/>
      <c r="J67" s="67">
        <f>IF(Source!BC32&lt;&gt; 0, Source!BC32, 1)</f>
        <v>1</v>
      </c>
      <c r="K67" s="66">
        <f>Source!O32</f>
        <v>0</v>
      </c>
      <c r="L67" s="68"/>
      <c r="S67">
        <f>ROUND((Source!FX32/100)*((ROUND(Source!AF32*Source!I32, 2)+ROUND(Source!AE32*Source!I32, 2))), 2)</f>
        <v>0</v>
      </c>
      <c r="T67">
        <f>Source!X32</f>
        <v>0</v>
      </c>
      <c r="U67">
        <f>ROUND((Source!FY32/100)*((ROUND(Source!AF32*Source!I32, 2)+ROUND(Source!AE32*Source!I32, 2))), 2)</f>
        <v>0</v>
      </c>
      <c r="V67">
        <f>Source!Y32</f>
        <v>0</v>
      </c>
      <c r="W67">
        <f>IF(Source!BI32&lt;=1,H67, 0)</f>
        <v>0</v>
      </c>
      <c r="X67">
        <f>IF(Source!BI32=2,H67, 0)</f>
        <v>0</v>
      </c>
      <c r="Y67">
        <f>IF(Source!BI32=3,H67, 0)</f>
        <v>0</v>
      </c>
      <c r="Z67">
        <f>IF(Source!BI32=4,H67, 0)</f>
        <v>0</v>
      </c>
    </row>
    <row r="68" spans="1:26" ht="13.8">
      <c r="G68" s="69">
        <f>H61+H62+H64+H65+SUM(H67:H67)</f>
        <v>46.55</v>
      </c>
      <c r="H68" s="69"/>
      <c r="J68" s="69">
        <f>K61+K62+K64+K65+SUM(K67:K67)</f>
        <v>1507.19</v>
      </c>
      <c r="K68" s="69"/>
      <c r="L68" s="70">
        <f>Source!U31</f>
        <v>2.0960999999999999</v>
      </c>
      <c r="O68" s="47">
        <f>G68</f>
        <v>46.55</v>
      </c>
      <c r="P68" s="47">
        <f>J68</f>
        <v>1507.19</v>
      </c>
      <c r="Q68" s="47">
        <f>L68</f>
        <v>2.0960999999999999</v>
      </c>
      <c r="W68">
        <f>IF(Source!BI31&lt;=1,H61+H62+H64+H65, 0)</f>
        <v>46.55</v>
      </c>
      <c r="X68">
        <f>IF(Source!BI31=2,H61+H62+H64+H65, 0)</f>
        <v>0</v>
      </c>
      <c r="Y68">
        <f>IF(Source!BI31=3,H61+H62+H64+H65, 0)</f>
        <v>0</v>
      </c>
      <c r="Z68">
        <f>IF(Source!BI31=4,H61+H62+H64+H65, 0)</f>
        <v>0</v>
      </c>
    </row>
    <row r="69" spans="1:26" ht="43.2">
      <c r="A69" s="38" t="str">
        <f>Source!E33</f>
        <v>5</v>
      </c>
      <c r="B69" s="76" t="str">
        <f>Source!F33</f>
        <v>56-10-1</v>
      </c>
      <c r="C69" s="76" t="str">
        <f>Source!G33</f>
        <v>Снятие дверных полотен</v>
      </c>
      <c r="D69" s="56" t="str">
        <f>Source!H33</f>
        <v>100 м2 дверных полотен</v>
      </c>
      <c r="E69" s="10">
        <f>Source!I33</f>
        <v>4.7E-2</v>
      </c>
      <c r="F69" s="57">
        <f>Source!AL33+Source!AM33+Source!AO33</f>
        <v>288.06</v>
      </c>
      <c r="G69" s="58"/>
      <c r="H69" s="59"/>
      <c r="I69" s="58" t="str">
        <f>Source!BO33</f>
        <v>56-10-1</v>
      </c>
      <c r="J69" s="58"/>
      <c r="K69" s="59"/>
      <c r="L69" s="60"/>
      <c r="S69">
        <f>ROUND((Source!FX33/100)*((ROUND(Source!AF33*Source!I33, 2)+ROUND(Source!AE33*Source!I33, 2))), 2)</f>
        <v>11.1</v>
      </c>
      <c r="T69">
        <f>Source!X33</f>
        <v>365.36</v>
      </c>
      <c r="U69">
        <f>ROUND((Source!FY33/100)*((ROUND(Source!AF33*Source!I33, 2)+ROUND(Source!AE33*Source!I33, 2))), 2)</f>
        <v>8.39</v>
      </c>
      <c r="V69">
        <f>Source!Y33</f>
        <v>276.25</v>
      </c>
    </row>
    <row r="70" spans="1:26">
      <c r="C70" s="49" t="str">
        <f>"Объем: "&amp;Source!I33&amp;"=4,7/"&amp;"100"</f>
        <v>Объем: 0,047=4,7/100</v>
      </c>
    </row>
    <row r="71" spans="1:26" ht="14.4">
      <c r="A71" s="38"/>
      <c r="B71" s="76"/>
      <c r="C71" s="76" t="s">
        <v>644</v>
      </c>
      <c r="D71" s="56"/>
      <c r="E71" s="10"/>
      <c r="F71" s="57">
        <f>Source!AO33</f>
        <v>288.06</v>
      </c>
      <c r="G71" s="58" t="str">
        <f>Source!DG33</f>
        <v/>
      </c>
      <c r="H71" s="59">
        <f>ROUND(Source!AF33*Source!I33, 2)</f>
        <v>13.54</v>
      </c>
      <c r="I71" s="58"/>
      <c r="J71" s="58">
        <f>IF(Source!BA33&lt;&gt; 0, Source!BA33, 1)</f>
        <v>32.909999999999997</v>
      </c>
      <c r="K71" s="59">
        <f>Source!S33</f>
        <v>445.56</v>
      </c>
      <c r="L71" s="60"/>
      <c r="R71">
        <f>H71</f>
        <v>13.54</v>
      </c>
    </row>
    <row r="72" spans="1:26" ht="14.4">
      <c r="A72" s="38"/>
      <c r="B72" s="76"/>
      <c r="C72" s="76" t="s">
        <v>648</v>
      </c>
      <c r="D72" s="56" t="s">
        <v>649</v>
      </c>
      <c r="E72" s="10">
        <f>Source!BZ33</f>
        <v>82</v>
      </c>
      <c r="F72" s="79"/>
      <c r="G72" s="58"/>
      <c r="H72" s="59">
        <f>SUM(S69:S75)</f>
        <v>11.1</v>
      </c>
      <c r="I72" s="71"/>
      <c r="J72" s="54">
        <f>Source!AT33</f>
        <v>82</v>
      </c>
      <c r="K72" s="59">
        <f>SUM(T69:T75)</f>
        <v>365.36</v>
      </c>
      <c r="L72" s="60"/>
    </row>
    <row r="73" spans="1:26" ht="14.4">
      <c r="A73" s="38"/>
      <c r="B73" s="76"/>
      <c r="C73" s="76" t="s">
        <v>650</v>
      </c>
      <c r="D73" s="56" t="s">
        <v>649</v>
      </c>
      <c r="E73" s="10">
        <f>Source!CA33</f>
        <v>62</v>
      </c>
      <c r="F73" s="79"/>
      <c r="G73" s="58"/>
      <c r="H73" s="59">
        <f>SUM(U69:U75)</f>
        <v>8.39</v>
      </c>
      <c r="I73" s="71"/>
      <c r="J73" s="54">
        <f>Source!AU33</f>
        <v>62</v>
      </c>
      <c r="K73" s="59">
        <f>SUM(V69:V75)</f>
        <v>276.25</v>
      </c>
      <c r="L73" s="60"/>
    </row>
    <row r="74" spans="1:26" ht="14.4">
      <c r="A74" s="38"/>
      <c r="B74" s="76"/>
      <c r="C74" s="76" t="s">
        <v>646</v>
      </c>
      <c r="D74" s="56" t="s">
        <v>647</v>
      </c>
      <c r="E74" s="10">
        <f>Source!AQ33</f>
        <v>36.28</v>
      </c>
      <c r="F74" s="57"/>
      <c r="G74" s="58" t="str">
        <f>Source!DI33</f>
        <v/>
      </c>
      <c r="H74" s="59"/>
      <c r="I74" s="58"/>
      <c r="J74" s="58"/>
      <c r="K74" s="59"/>
      <c r="L74" s="61">
        <f>Source!U33</f>
        <v>1.70516</v>
      </c>
    </row>
    <row r="75" spans="1:26" ht="14.4">
      <c r="A75" s="77" t="str">
        <f>Source!E34</f>
        <v>5,1</v>
      </c>
      <c r="B75" s="78" t="str">
        <f>Source!F34</f>
        <v>509-9900</v>
      </c>
      <c r="C75" s="78" t="str">
        <f>Source!G34</f>
        <v>Строительный мусор</v>
      </c>
      <c r="D75" s="62" t="str">
        <f>Source!H34</f>
        <v>т</v>
      </c>
      <c r="E75" s="63">
        <f>Source!I34</f>
        <v>5.5459999999999995E-2</v>
      </c>
      <c r="F75" s="64">
        <f>Source!AL34+Source!AM34+Source!AO34</f>
        <v>0</v>
      </c>
      <c r="G75" s="65" t="s">
        <v>3</v>
      </c>
      <c r="H75" s="66">
        <f>ROUND(Source!AC34*Source!I34, 2)+ROUND(Source!AD34*Source!I34, 2)+ROUND(Source!AF34*Source!I34, 2)</f>
        <v>0</v>
      </c>
      <c r="I75" s="67"/>
      <c r="J75" s="67">
        <f>IF(Source!BC34&lt;&gt; 0, Source!BC34, 1)</f>
        <v>1</v>
      </c>
      <c r="K75" s="66">
        <f>Source!O34</f>
        <v>0</v>
      </c>
      <c r="L75" s="68"/>
      <c r="S75">
        <f>ROUND((Source!FX34/100)*((ROUND(Source!AF34*Source!I34, 2)+ROUND(Source!AE34*Source!I34, 2))), 2)</f>
        <v>0</v>
      </c>
      <c r="T75">
        <f>Source!X34</f>
        <v>0</v>
      </c>
      <c r="U75">
        <f>ROUND((Source!FY34/100)*((ROUND(Source!AF34*Source!I34, 2)+ROUND(Source!AE34*Source!I34, 2))), 2)</f>
        <v>0</v>
      </c>
      <c r="V75">
        <f>Source!Y34</f>
        <v>0</v>
      </c>
      <c r="W75">
        <f>IF(Source!BI34&lt;=1,H75, 0)</f>
        <v>0</v>
      </c>
      <c r="X75">
        <f>IF(Source!BI34=2,H75, 0)</f>
        <v>0</v>
      </c>
      <c r="Y75">
        <f>IF(Source!BI34=3,H75, 0)</f>
        <v>0</v>
      </c>
      <c r="Z75">
        <f>IF(Source!BI34=4,H75, 0)</f>
        <v>0</v>
      </c>
    </row>
    <row r="76" spans="1:26" ht="13.8">
      <c r="G76" s="69">
        <f>H71+H72+H73+SUM(H75:H75)</f>
        <v>33.03</v>
      </c>
      <c r="H76" s="69"/>
      <c r="J76" s="69">
        <f>K71+K72+K73+SUM(K75:K75)</f>
        <v>1087.17</v>
      </c>
      <c r="K76" s="69"/>
      <c r="L76" s="70">
        <f>Source!U33</f>
        <v>1.70516</v>
      </c>
      <c r="O76" s="47">
        <f>G76</f>
        <v>33.03</v>
      </c>
      <c r="P76" s="47">
        <f>J76</f>
        <v>1087.17</v>
      </c>
      <c r="Q76" s="47">
        <f>L76</f>
        <v>1.70516</v>
      </c>
      <c r="W76">
        <f>IF(Source!BI33&lt;=1,H71+H72+H73, 0)</f>
        <v>33.03</v>
      </c>
      <c r="X76">
        <f>IF(Source!BI33=2,H71+H72+H73, 0)</f>
        <v>0</v>
      </c>
      <c r="Y76">
        <f>IF(Source!BI33=3,H71+H72+H73, 0)</f>
        <v>0</v>
      </c>
      <c r="Z76">
        <f>IF(Source!BI33=4,H71+H72+H73, 0)</f>
        <v>0</v>
      </c>
    </row>
    <row r="77" spans="1:26" ht="28.8">
      <c r="A77" s="38" t="str">
        <f>Source!E35</f>
        <v>6</v>
      </c>
      <c r="B77" s="76" t="str">
        <f>Source!F35</f>
        <v>56-9-1</v>
      </c>
      <c r="C77" s="76" t="str">
        <f>Source!G35</f>
        <v>Демонтаж дверных коробок в каменных стенах с отбивкой штукатурки в откосах</v>
      </c>
      <c r="D77" s="56" t="str">
        <f>Source!H35</f>
        <v>100 коробок</v>
      </c>
      <c r="E77" s="10">
        <f>Source!I35</f>
        <v>0.02</v>
      </c>
      <c r="F77" s="57">
        <f>Source!AL35+Source!AM35+Source!AO35</f>
        <v>1634.97</v>
      </c>
      <c r="G77" s="58"/>
      <c r="H77" s="59"/>
      <c r="I77" s="58" t="str">
        <f>Source!BO35</f>
        <v>56-9-1</v>
      </c>
      <c r="J77" s="58"/>
      <c r="K77" s="59"/>
      <c r="L77" s="60"/>
      <c r="S77">
        <f>ROUND((Source!FX35/100)*((ROUND(Source!AF35*Source!I35, 2)+ROUND(Source!AE35*Source!I35, 2))), 2)</f>
        <v>24.24</v>
      </c>
      <c r="T77">
        <f>Source!X35</f>
        <v>797.68</v>
      </c>
      <c r="U77">
        <f>ROUND((Source!FY35/100)*((ROUND(Source!AF35*Source!I35, 2)+ROUND(Source!AE35*Source!I35, 2))), 2)</f>
        <v>18.329999999999998</v>
      </c>
      <c r="V77">
        <f>Source!Y35</f>
        <v>603.12</v>
      </c>
    </row>
    <row r="78" spans="1:26">
      <c r="C78" s="49" t="str">
        <f>"Объем: "&amp;Source!I35&amp;"=2/"&amp;"100"</f>
        <v>Объем: 0,02=2/100</v>
      </c>
    </row>
    <row r="79" spans="1:26" ht="14.4">
      <c r="A79" s="38"/>
      <c r="B79" s="76"/>
      <c r="C79" s="76" t="s">
        <v>644</v>
      </c>
      <c r="D79" s="56"/>
      <c r="E79" s="10"/>
      <c r="F79" s="57">
        <f>Source!AO35</f>
        <v>1437.99</v>
      </c>
      <c r="G79" s="58" t="str">
        <f>Source!DG35</f>
        <v/>
      </c>
      <c r="H79" s="59">
        <f>ROUND(Source!AF35*Source!I35, 2)</f>
        <v>28.76</v>
      </c>
      <c r="I79" s="58"/>
      <c r="J79" s="58">
        <f>IF(Source!BA35&lt;&gt; 0, Source!BA35, 1)</f>
        <v>32.909999999999997</v>
      </c>
      <c r="K79" s="59">
        <f>Source!S35</f>
        <v>946.49</v>
      </c>
      <c r="L79" s="60"/>
      <c r="R79">
        <f>H79</f>
        <v>28.76</v>
      </c>
    </row>
    <row r="80" spans="1:26" ht="14.4">
      <c r="A80" s="38"/>
      <c r="B80" s="76"/>
      <c r="C80" s="76" t="s">
        <v>80</v>
      </c>
      <c r="D80" s="56"/>
      <c r="E80" s="10"/>
      <c r="F80" s="57">
        <f>Source!AM35</f>
        <v>196.98</v>
      </c>
      <c r="G80" s="58" t="str">
        <f>Source!DE35</f>
        <v/>
      </c>
      <c r="H80" s="59">
        <f>ROUND(Source!AD35*Source!I35, 2)</f>
        <v>3.94</v>
      </c>
      <c r="I80" s="58"/>
      <c r="J80" s="58">
        <f>IF(Source!BB35&lt;&gt; 0, Source!BB35, 1)</f>
        <v>10.84</v>
      </c>
      <c r="K80" s="59">
        <f>Source!Q35</f>
        <v>42.71</v>
      </c>
      <c r="L80" s="60"/>
    </row>
    <row r="81" spans="1:26" ht="14.4">
      <c r="A81" s="38"/>
      <c r="B81" s="76"/>
      <c r="C81" s="76" t="s">
        <v>651</v>
      </c>
      <c r="D81" s="56"/>
      <c r="E81" s="10"/>
      <c r="F81" s="57">
        <f>Source!AN35</f>
        <v>39.94</v>
      </c>
      <c r="G81" s="58" t="str">
        <f>Source!DF35</f>
        <v/>
      </c>
      <c r="H81" s="73">
        <f>ROUND(Source!AE35*Source!I35, 2)</f>
        <v>0.8</v>
      </c>
      <c r="I81" s="58"/>
      <c r="J81" s="58">
        <f>IF(Source!BS35&lt;&gt; 0, Source!BS35, 1)</f>
        <v>32.909999999999997</v>
      </c>
      <c r="K81" s="73">
        <f>Source!R35</f>
        <v>26.29</v>
      </c>
      <c r="L81" s="60"/>
      <c r="R81">
        <f>H81</f>
        <v>0.8</v>
      </c>
    </row>
    <row r="82" spans="1:26" ht="14.4">
      <c r="A82" s="38"/>
      <c r="B82" s="76"/>
      <c r="C82" s="76" t="s">
        <v>648</v>
      </c>
      <c r="D82" s="56" t="s">
        <v>649</v>
      </c>
      <c r="E82" s="10">
        <f>Source!BZ35</f>
        <v>82</v>
      </c>
      <c r="F82" s="79"/>
      <c r="G82" s="58"/>
      <c r="H82" s="59">
        <f>SUM(S77:S85)</f>
        <v>24.24</v>
      </c>
      <c r="I82" s="71"/>
      <c r="J82" s="54">
        <f>Source!AT35</f>
        <v>82</v>
      </c>
      <c r="K82" s="59">
        <f>SUM(T77:T85)</f>
        <v>797.68</v>
      </c>
      <c r="L82" s="60"/>
    </row>
    <row r="83" spans="1:26" ht="14.4">
      <c r="A83" s="38"/>
      <c r="B83" s="76"/>
      <c r="C83" s="76" t="s">
        <v>650</v>
      </c>
      <c r="D83" s="56" t="s">
        <v>649</v>
      </c>
      <c r="E83" s="10">
        <f>Source!CA35</f>
        <v>62</v>
      </c>
      <c r="F83" s="79"/>
      <c r="G83" s="58"/>
      <c r="H83" s="59">
        <f>SUM(U77:U85)</f>
        <v>18.329999999999998</v>
      </c>
      <c r="I83" s="71"/>
      <c r="J83" s="54">
        <f>Source!AU35</f>
        <v>62</v>
      </c>
      <c r="K83" s="59">
        <f>SUM(V77:V85)</f>
        <v>603.12</v>
      </c>
      <c r="L83" s="60"/>
    </row>
    <row r="84" spans="1:26" ht="14.4">
      <c r="A84" s="38"/>
      <c r="B84" s="76"/>
      <c r="C84" s="76" t="s">
        <v>646</v>
      </c>
      <c r="D84" s="56" t="s">
        <v>647</v>
      </c>
      <c r="E84" s="10">
        <f>Source!AQ35</f>
        <v>179.3</v>
      </c>
      <c r="F84" s="57"/>
      <c r="G84" s="58" t="str">
        <f>Source!DI35</f>
        <v/>
      </c>
      <c r="H84" s="59"/>
      <c r="I84" s="58"/>
      <c r="J84" s="58"/>
      <c r="K84" s="59"/>
      <c r="L84" s="61">
        <f>Source!U35</f>
        <v>3.5860000000000003</v>
      </c>
    </row>
    <row r="85" spans="1:26" ht="14.4">
      <c r="A85" s="77" t="str">
        <f>Source!E36</f>
        <v>6,1</v>
      </c>
      <c r="B85" s="78" t="str">
        <f>Source!F36</f>
        <v>509-9900</v>
      </c>
      <c r="C85" s="78" t="str">
        <f>Source!G36</f>
        <v>Строительный мусор</v>
      </c>
      <c r="D85" s="62" t="str">
        <f>Source!H36</f>
        <v>т</v>
      </c>
      <c r="E85" s="63">
        <f>Source!I36</f>
        <v>0.21</v>
      </c>
      <c r="F85" s="64">
        <f>Source!AL36+Source!AM36+Source!AO36</f>
        <v>0</v>
      </c>
      <c r="G85" s="65" t="s">
        <v>3</v>
      </c>
      <c r="H85" s="66">
        <f>ROUND(Source!AC36*Source!I36, 2)+ROUND(Source!AD36*Source!I36, 2)+ROUND(Source!AF36*Source!I36, 2)</f>
        <v>0</v>
      </c>
      <c r="I85" s="67"/>
      <c r="J85" s="67">
        <f>IF(Source!BC36&lt;&gt; 0, Source!BC36, 1)</f>
        <v>1</v>
      </c>
      <c r="K85" s="66">
        <f>Source!O36</f>
        <v>0</v>
      </c>
      <c r="L85" s="68"/>
      <c r="S85">
        <f>ROUND((Source!FX36/100)*((ROUND(Source!AF36*Source!I36, 2)+ROUND(Source!AE36*Source!I36, 2))), 2)</f>
        <v>0</v>
      </c>
      <c r="T85">
        <f>Source!X36</f>
        <v>0</v>
      </c>
      <c r="U85">
        <f>ROUND((Source!FY36/100)*((ROUND(Source!AF36*Source!I36, 2)+ROUND(Source!AE36*Source!I36, 2))), 2)</f>
        <v>0</v>
      </c>
      <c r="V85">
        <f>Source!Y36</f>
        <v>0</v>
      </c>
      <c r="W85">
        <f>IF(Source!BI36&lt;=1,H85, 0)</f>
        <v>0</v>
      </c>
      <c r="X85">
        <f>IF(Source!BI36=2,H85, 0)</f>
        <v>0</v>
      </c>
      <c r="Y85">
        <f>IF(Source!BI36=3,H85, 0)</f>
        <v>0</v>
      </c>
      <c r="Z85">
        <f>IF(Source!BI36=4,H85, 0)</f>
        <v>0</v>
      </c>
    </row>
    <row r="86" spans="1:26" ht="13.8">
      <c r="G86" s="69">
        <f>H79+H80+H82+H83+SUM(H85:H85)</f>
        <v>75.27</v>
      </c>
      <c r="H86" s="69"/>
      <c r="J86" s="69">
        <f>K79+K80+K82+K83+SUM(K85:K85)</f>
        <v>2390</v>
      </c>
      <c r="K86" s="69"/>
      <c r="L86" s="70">
        <f>Source!U35</f>
        <v>3.5860000000000003</v>
      </c>
      <c r="O86" s="47">
        <f>G86</f>
        <v>75.27</v>
      </c>
      <c r="P86" s="47">
        <f>J86</f>
        <v>2390</v>
      </c>
      <c r="Q86" s="47">
        <f>L86</f>
        <v>3.5860000000000003</v>
      </c>
      <c r="W86">
        <f>IF(Source!BI35&lt;=1,H79+H80+H82+H83, 0)</f>
        <v>75.27</v>
      </c>
      <c r="X86">
        <f>IF(Source!BI35=2,H79+H80+H82+H83, 0)</f>
        <v>0</v>
      </c>
      <c r="Y86">
        <f>IF(Source!BI35=3,H79+H80+H82+H83, 0)</f>
        <v>0</v>
      </c>
      <c r="Z86">
        <f>IF(Source!BI35=4,H79+H80+H82+H83, 0)</f>
        <v>0</v>
      </c>
    </row>
    <row r="88" spans="1:26" ht="13.8">
      <c r="A88" s="55" t="str">
        <f>CONCATENATE("Итого по разделу: ",IF(Source!G38&lt;&gt;"Новый раздел", Source!G38, ""))</f>
        <v>Итого по разделу: Демонтаж</v>
      </c>
      <c r="B88" s="55"/>
      <c r="C88" s="55"/>
      <c r="D88" s="55"/>
      <c r="E88" s="55"/>
      <c r="F88" s="55"/>
      <c r="G88" s="74">
        <f>SUM(O44:O87)</f>
        <v>6877.77</v>
      </c>
      <c r="H88" s="74"/>
      <c r="I88" s="52"/>
      <c r="J88" s="74">
        <f>SUM(P44:P87)</f>
        <v>16650.48</v>
      </c>
      <c r="K88" s="74"/>
      <c r="L88" s="70">
        <f>SUM(Q44:Q87)</f>
        <v>16.683259999999997</v>
      </c>
    </row>
    <row r="92" spans="1:26" ht="16.8">
      <c r="A92" s="53" t="str">
        <f>CONCATENATE("Раздел: ",IF(Source!G68&lt;&gt;"Новый раздел", Source!G68, ""))</f>
        <v>Раздел: Монтаж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</row>
    <row r="93" spans="1:26" ht="57.6">
      <c r="A93" s="38" t="str">
        <f>Source!E72</f>
        <v>1</v>
      </c>
      <c r="B93" s="76" t="str">
        <f>Source!F72</f>
        <v>07-01-044-3</v>
      </c>
      <c r="C93" s="76" t="str">
        <f>Source!G72</f>
        <v>Установка монтажных изделий массой до 20 кг</v>
      </c>
      <c r="D93" s="56" t="str">
        <f>Source!H72</f>
        <v>1 т стальных элементов</v>
      </c>
      <c r="E93" s="10">
        <f>Source!I72</f>
        <v>1.4999999999999999E-2</v>
      </c>
      <c r="F93" s="57">
        <f>Source!AL72+Source!AM72+Source!AO72</f>
        <v>11119.839999999998</v>
      </c>
      <c r="G93" s="58"/>
      <c r="H93" s="59"/>
      <c r="I93" s="58" t="str">
        <f>Source!BO72</f>
        <v>07-01-044-3</v>
      </c>
      <c r="J93" s="58"/>
      <c r="K93" s="59"/>
      <c r="L93" s="60"/>
      <c r="S93">
        <f>ROUND((Source!FX72/100)*((ROUND(Source!AF72*Source!I72, 2)+ROUND(Source!AE72*Source!I72, 2))), 2)</f>
        <v>7.65</v>
      </c>
      <c r="T93">
        <f>Source!X72</f>
        <v>251.81</v>
      </c>
      <c r="U93">
        <f>ROUND((Source!FY72/100)*((ROUND(Source!AF72*Source!I72, 2)+ROUND(Source!AE72*Source!I72, 2))), 2)</f>
        <v>4.7300000000000004</v>
      </c>
      <c r="V93">
        <f>Source!Y72</f>
        <v>154.96</v>
      </c>
    </row>
    <row r="94" spans="1:26" ht="14.4">
      <c r="A94" s="38"/>
      <c r="B94" s="76"/>
      <c r="C94" s="76" t="s">
        <v>644</v>
      </c>
      <c r="D94" s="56"/>
      <c r="E94" s="10"/>
      <c r="F94" s="57">
        <f>Source!AO72</f>
        <v>435.97</v>
      </c>
      <c r="G94" s="58" t="str">
        <f>Source!DG72</f>
        <v/>
      </c>
      <c r="H94" s="59">
        <f>ROUND(Source!AF72*Source!I72, 2)</f>
        <v>6.54</v>
      </c>
      <c r="I94" s="58"/>
      <c r="J94" s="58">
        <f>IF(Source!BA72&lt;&gt; 0, Source!BA72, 1)</f>
        <v>32.909999999999997</v>
      </c>
      <c r="K94" s="59">
        <f>Source!S72</f>
        <v>215.22</v>
      </c>
      <c r="L94" s="60"/>
      <c r="R94">
        <f>H94</f>
        <v>6.54</v>
      </c>
    </row>
    <row r="95" spans="1:26" ht="14.4">
      <c r="A95" s="38"/>
      <c r="B95" s="76"/>
      <c r="C95" s="76" t="s">
        <v>80</v>
      </c>
      <c r="D95" s="56"/>
      <c r="E95" s="10"/>
      <c r="F95" s="57">
        <f>Source!AM72</f>
        <v>261.91000000000003</v>
      </c>
      <c r="G95" s="58" t="str">
        <f>Source!DE72</f>
        <v/>
      </c>
      <c r="H95" s="59">
        <f>ROUND(Source!AD72*Source!I72, 2)</f>
        <v>3.93</v>
      </c>
      <c r="I95" s="58"/>
      <c r="J95" s="58">
        <f>IF(Source!BB72&lt;&gt; 0, Source!BB72, 1)</f>
        <v>8.51</v>
      </c>
      <c r="K95" s="59">
        <f>Source!Q72</f>
        <v>33.43</v>
      </c>
      <c r="L95" s="60"/>
    </row>
    <row r="96" spans="1:26" ht="14.4">
      <c r="A96" s="38"/>
      <c r="B96" s="76"/>
      <c r="C96" s="76" t="s">
        <v>645</v>
      </c>
      <c r="D96" s="56"/>
      <c r="E96" s="10"/>
      <c r="F96" s="57">
        <f>Source!AL72</f>
        <v>10421.959999999999</v>
      </c>
      <c r="G96" s="58" t="str">
        <f>Source!DD72</f>
        <v/>
      </c>
      <c r="H96" s="59">
        <f>ROUND(Source!AC72*Source!I72, 2)</f>
        <v>156.33000000000001</v>
      </c>
      <c r="I96" s="58"/>
      <c r="J96" s="58">
        <f>IF(Source!BC72&lt;&gt; 0, Source!BC72, 1)</f>
        <v>8.0399999999999991</v>
      </c>
      <c r="K96" s="59">
        <f>Source!P72</f>
        <v>1256.8900000000001</v>
      </c>
      <c r="L96" s="60"/>
    </row>
    <row r="97" spans="1:26" ht="14.4">
      <c r="A97" s="38"/>
      <c r="B97" s="76"/>
      <c r="C97" s="76" t="s">
        <v>648</v>
      </c>
      <c r="D97" s="56" t="s">
        <v>649</v>
      </c>
      <c r="E97" s="10">
        <f>Source!BZ72</f>
        <v>130</v>
      </c>
      <c r="F97" s="14" t="str">
        <f>CONCATENATE(" )", Source!DL72, Source!FT72, "=", Source!FX72)</f>
        <v xml:space="preserve"> )*0,9=117</v>
      </c>
      <c r="G97" s="23"/>
      <c r="H97" s="59">
        <f>SUM(S93:S99)</f>
        <v>7.65</v>
      </c>
      <c r="I97" s="71"/>
      <c r="J97" s="54">
        <f>Source!AT72</f>
        <v>117</v>
      </c>
      <c r="K97" s="59">
        <f>SUM(T93:T99)</f>
        <v>251.81</v>
      </c>
      <c r="L97" s="60"/>
    </row>
    <row r="98" spans="1:26" ht="14.4">
      <c r="A98" s="38"/>
      <c r="B98" s="76"/>
      <c r="C98" s="76" t="s">
        <v>650</v>
      </c>
      <c r="D98" s="56" t="s">
        <v>649</v>
      </c>
      <c r="E98" s="10">
        <f>Source!CA72</f>
        <v>85</v>
      </c>
      <c r="F98" s="14" t="str">
        <f>CONCATENATE(" )", Source!DM72, Source!FU72, "=", Source!FY72)</f>
        <v xml:space="preserve"> )*0,85=72,25</v>
      </c>
      <c r="G98" s="23"/>
      <c r="H98" s="59">
        <f>SUM(U93:U99)</f>
        <v>4.7300000000000004</v>
      </c>
      <c r="I98" s="71"/>
      <c r="J98" s="54">
        <f>Source!AU72</f>
        <v>72</v>
      </c>
      <c r="K98" s="59">
        <f>SUM(V93:V99)</f>
        <v>154.96</v>
      </c>
      <c r="L98" s="60"/>
    </row>
    <row r="99" spans="1:26" ht="14.4">
      <c r="A99" s="77"/>
      <c r="B99" s="78"/>
      <c r="C99" s="78" t="s">
        <v>646</v>
      </c>
      <c r="D99" s="62" t="s">
        <v>647</v>
      </c>
      <c r="E99" s="63">
        <f>Source!AQ72</f>
        <v>42.7</v>
      </c>
      <c r="F99" s="64"/>
      <c r="G99" s="67" t="str">
        <f>Source!DI72</f>
        <v/>
      </c>
      <c r="H99" s="66"/>
      <c r="I99" s="67"/>
      <c r="J99" s="67"/>
      <c r="K99" s="66"/>
      <c r="L99" s="72">
        <f>Source!U72</f>
        <v>0.64050000000000007</v>
      </c>
    </row>
    <row r="100" spans="1:26" ht="13.8">
      <c r="G100" s="69">
        <f>H94+H95+H96+H97+H98</f>
        <v>179.18</v>
      </c>
      <c r="H100" s="69"/>
      <c r="J100" s="69">
        <f>K94+K95+K96+K97+K98</f>
        <v>1912.3100000000002</v>
      </c>
      <c r="K100" s="69"/>
      <c r="L100" s="70">
        <f>Source!U72</f>
        <v>0.64050000000000007</v>
      </c>
      <c r="O100" s="47">
        <f>G100</f>
        <v>179.18</v>
      </c>
      <c r="P100" s="47">
        <f>J100</f>
        <v>1912.3100000000002</v>
      </c>
      <c r="Q100" s="47">
        <f>L100</f>
        <v>0.64050000000000007</v>
      </c>
      <c r="W100">
        <f>IF(Source!BI72&lt;=1,H94+H95+H96+H97+H98, 0)</f>
        <v>179.18</v>
      </c>
      <c r="X100">
        <f>IF(Source!BI72=2,H94+H95+H96+H97+H98, 0)</f>
        <v>0</v>
      </c>
      <c r="Y100">
        <f>IF(Source!BI72=3,H94+H95+H96+H97+H98, 0)</f>
        <v>0</v>
      </c>
      <c r="Z100">
        <f>IF(Source!BI72=4,H94+H95+H96+H97+H98, 0)</f>
        <v>0</v>
      </c>
    </row>
    <row r="101" spans="1:26" ht="55.2">
      <c r="A101" s="38" t="str">
        <f>Source!E73</f>
        <v>2</v>
      </c>
      <c r="B101" s="76" t="str">
        <f>Source!F73</f>
        <v>09-03-014-1</v>
      </c>
      <c r="C101" s="76" t="str">
        <f>Source!G73</f>
        <v>Монтаж связей и распорок из одиночных и парных уголков, гнутосварных профилей для пролетов до 24 м при высоте здания до 25 м</v>
      </c>
      <c r="D101" s="56" t="str">
        <f>Source!H73</f>
        <v>1 т конструкций</v>
      </c>
      <c r="E101" s="10">
        <f>Source!I73</f>
        <v>1.4999999999999999E-2</v>
      </c>
      <c r="F101" s="57">
        <f>Source!AL73+Source!AM73+Source!AO73</f>
        <v>1262.73</v>
      </c>
      <c r="G101" s="58"/>
      <c r="H101" s="59"/>
      <c r="I101" s="58" t="str">
        <f>Source!BO73</f>
        <v>09-03-014-1</v>
      </c>
      <c r="J101" s="58"/>
      <c r="K101" s="59"/>
      <c r="L101" s="60"/>
      <c r="S101">
        <f>ROUND((Source!FX73/100)*((ROUND(Source!AF73*Source!I73, 2)+ROUND(Source!AE73*Source!I73, 2))), 2)</f>
        <v>7.35</v>
      </c>
      <c r="T101">
        <f>Source!X73</f>
        <v>241.84</v>
      </c>
      <c r="U101">
        <f>ROUND((Source!FY73/100)*((ROUND(Source!AF73*Source!I73, 2)+ROUND(Source!AE73*Source!I73, 2))), 2)</f>
        <v>6.56</v>
      </c>
      <c r="V101">
        <f>Source!Y73</f>
        <v>214.97</v>
      </c>
    </row>
    <row r="102" spans="1:26" ht="14.4">
      <c r="A102" s="38"/>
      <c r="B102" s="76"/>
      <c r="C102" s="76" t="s">
        <v>644</v>
      </c>
      <c r="D102" s="56"/>
      <c r="E102" s="10"/>
      <c r="F102" s="57">
        <f>Source!AO73</f>
        <v>553.07000000000005</v>
      </c>
      <c r="G102" s="58" t="str">
        <f>Source!DG73</f>
        <v/>
      </c>
      <c r="H102" s="59">
        <f>ROUND(Source!AF73*Source!I73, 2)</f>
        <v>8.3000000000000007</v>
      </c>
      <c r="I102" s="58"/>
      <c r="J102" s="58">
        <f>IF(Source!BA73&lt;&gt; 0, Source!BA73, 1)</f>
        <v>32.909999999999997</v>
      </c>
      <c r="K102" s="59">
        <f>Source!S73</f>
        <v>273.02</v>
      </c>
      <c r="L102" s="60"/>
      <c r="R102">
        <f>H102</f>
        <v>8.3000000000000007</v>
      </c>
    </row>
    <row r="103" spans="1:26" ht="14.4">
      <c r="A103" s="38"/>
      <c r="B103" s="76"/>
      <c r="C103" s="76" t="s">
        <v>80</v>
      </c>
      <c r="D103" s="56"/>
      <c r="E103" s="10"/>
      <c r="F103" s="57">
        <f>Source!AM73</f>
        <v>477.15</v>
      </c>
      <c r="G103" s="58" t="str">
        <f>Source!DE73</f>
        <v/>
      </c>
      <c r="H103" s="59">
        <f>ROUND(Source!AD73*Source!I73, 2)</f>
        <v>7.16</v>
      </c>
      <c r="I103" s="58"/>
      <c r="J103" s="58">
        <f>IF(Source!BB73&lt;&gt; 0, Source!BB73, 1)</f>
        <v>9.9600000000000009</v>
      </c>
      <c r="K103" s="59">
        <f>Source!Q73</f>
        <v>71.290000000000006</v>
      </c>
      <c r="L103" s="60"/>
    </row>
    <row r="104" spans="1:26" ht="14.4">
      <c r="A104" s="38"/>
      <c r="B104" s="76"/>
      <c r="C104" s="76" t="s">
        <v>651</v>
      </c>
      <c r="D104" s="56"/>
      <c r="E104" s="10"/>
      <c r="F104" s="57">
        <f>Source!AN73</f>
        <v>51.76</v>
      </c>
      <c r="G104" s="58" t="str">
        <f>Source!DF73</f>
        <v/>
      </c>
      <c r="H104" s="73">
        <f>ROUND(Source!AE73*Source!I73, 2)</f>
        <v>0.78</v>
      </c>
      <c r="I104" s="58"/>
      <c r="J104" s="58">
        <f>IF(Source!BS73&lt;&gt; 0, Source!BS73, 1)</f>
        <v>32.909999999999997</v>
      </c>
      <c r="K104" s="73">
        <f>Source!R73</f>
        <v>25.55</v>
      </c>
      <c r="L104" s="60"/>
      <c r="R104">
        <f>H104</f>
        <v>0.78</v>
      </c>
    </row>
    <row r="105" spans="1:26" ht="14.4">
      <c r="A105" s="38"/>
      <c r="B105" s="76"/>
      <c r="C105" s="76" t="s">
        <v>645</v>
      </c>
      <c r="D105" s="56"/>
      <c r="E105" s="10"/>
      <c r="F105" s="57">
        <f>Source!AL73</f>
        <v>232.51</v>
      </c>
      <c r="G105" s="58" t="str">
        <f>Source!DD73</f>
        <v/>
      </c>
      <c r="H105" s="59">
        <f>ROUND(Source!AC73*Source!I73, 2)</f>
        <v>3.49</v>
      </c>
      <c r="I105" s="58"/>
      <c r="J105" s="58">
        <f>IF(Source!BC73&lt;&gt; 0, Source!BC73, 1)</f>
        <v>9.3699999999999992</v>
      </c>
      <c r="K105" s="59">
        <f>Source!P73</f>
        <v>32.68</v>
      </c>
      <c r="L105" s="60"/>
    </row>
    <row r="106" spans="1:26" ht="14.4">
      <c r="A106" s="38"/>
      <c r="B106" s="76"/>
      <c r="C106" s="76" t="s">
        <v>648</v>
      </c>
      <c r="D106" s="56" t="s">
        <v>649</v>
      </c>
      <c r="E106" s="10">
        <f>Source!BZ73</f>
        <v>90</v>
      </c>
      <c r="F106" s="14" t="str">
        <f>CONCATENATE(" )", Source!DL73, Source!FT73, "=", Source!FX73)</f>
        <v xml:space="preserve"> )*0,9=81</v>
      </c>
      <c r="G106" s="23"/>
      <c r="H106" s="59">
        <f>SUM(S101:S109)</f>
        <v>7.35</v>
      </c>
      <c r="I106" s="71"/>
      <c r="J106" s="54">
        <f>Source!AT73</f>
        <v>81</v>
      </c>
      <c r="K106" s="59">
        <f>SUM(T101:T109)</f>
        <v>241.84</v>
      </c>
      <c r="L106" s="60"/>
    </row>
    <row r="107" spans="1:26" ht="14.4">
      <c r="A107" s="38"/>
      <c r="B107" s="76"/>
      <c r="C107" s="76" t="s">
        <v>650</v>
      </c>
      <c r="D107" s="56" t="s">
        <v>649</v>
      </c>
      <c r="E107" s="10">
        <f>Source!CA73</f>
        <v>85</v>
      </c>
      <c r="F107" s="14" t="str">
        <f>CONCATENATE(" )", Source!DM73, Source!FU73, "=", Source!FY73)</f>
        <v xml:space="preserve"> )*0,85=72,25</v>
      </c>
      <c r="G107" s="23"/>
      <c r="H107" s="59">
        <f>SUM(U101:U109)</f>
        <v>6.56</v>
      </c>
      <c r="I107" s="71"/>
      <c r="J107" s="54">
        <f>Source!AU73</f>
        <v>72</v>
      </c>
      <c r="K107" s="59">
        <f>SUM(V101:V109)</f>
        <v>214.97</v>
      </c>
      <c r="L107" s="60"/>
    </row>
    <row r="108" spans="1:26" ht="14.4">
      <c r="A108" s="38"/>
      <c r="B108" s="76"/>
      <c r="C108" s="76" t="s">
        <v>646</v>
      </c>
      <c r="D108" s="56" t="s">
        <v>647</v>
      </c>
      <c r="E108" s="10">
        <f>Source!AQ73</f>
        <v>63.28</v>
      </c>
      <c r="F108" s="57"/>
      <c r="G108" s="58" t="str">
        <f>Source!DI73</f>
        <v/>
      </c>
      <c r="H108" s="59"/>
      <c r="I108" s="58"/>
      <c r="J108" s="58"/>
      <c r="K108" s="59"/>
      <c r="L108" s="61">
        <f>Source!U73</f>
        <v>0.94919999999999993</v>
      </c>
    </row>
    <row r="109" spans="1:26" ht="55.2">
      <c r="A109" s="77" t="str">
        <f>Source!E74</f>
        <v>2,1</v>
      </c>
      <c r="B109" s="78" t="str">
        <f>Source!F74</f>
        <v>201-0755</v>
      </c>
      <c r="C109" s="78" t="str">
        <f>Source!G74</f>
        <v>Отдельные конструктивные элементы зданий и сооружений с преобладанием горячекатаных профилей, средняя масса сборочной единицы до 0,1 т</v>
      </c>
      <c r="D109" s="62" t="str">
        <f>Source!H74</f>
        <v>т</v>
      </c>
      <c r="E109" s="63">
        <f>Source!I74</f>
        <v>1.4999999999999999E-2</v>
      </c>
      <c r="F109" s="64">
        <f>Source!AL74+Source!AM74+Source!AO74</f>
        <v>8060</v>
      </c>
      <c r="G109" s="65" t="s">
        <v>3</v>
      </c>
      <c r="H109" s="66">
        <f>ROUND(Source!AC74*Source!I74, 2)+ROUND(Source!AD74*Source!I74, 2)+ROUND(Source!AF74*Source!I74, 2)</f>
        <v>120.9</v>
      </c>
      <c r="I109" s="67"/>
      <c r="J109" s="67">
        <f>IF(Source!BC74&lt;&gt; 0, Source!BC74, 1)</f>
        <v>9.6300000000000008</v>
      </c>
      <c r="K109" s="66">
        <f>Source!O74</f>
        <v>1164.27</v>
      </c>
      <c r="L109" s="68"/>
      <c r="S109">
        <f>ROUND((Source!FX74/100)*((ROUND(Source!AF74*Source!I74, 2)+ROUND(Source!AE74*Source!I74, 2))), 2)</f>
        <v>0</v>
      </c>
      <c r="T109">
        <f>Source!X74</f>
        <v>0</v>
      </c>
      <c r="U109">
        <f>ROUND((Source!FY74/100)*((ROUND(Source!AF74*Source!I74, 2)+ROUND(Source!AE74*Source!I74, 2))), 2)</f>
        <v>0</v>
      </c>
      <c r="V109">
        <f>Source!Y74</f>
        <v>0</v>
      </c>
      <c r="W109">
        <f>IF(Source!BI74&lt;=1,H109, 0)</f>
        <v>120.9</v>
      </c>
      <c r="X109">
        <f>IF(Source!BI74=2,H109, 0)</f>
        <v>0</v>
      </c>
      <c r="Y109">
        <f>IF(Source!BI74=3,H109, 0)</f>
        <v>0</v>
      </c>
      <c r="Z109">
        <f>IF(Source!BI74=4,H109, 0)</f>
        <v>0</v>
      </c>
    </row>
    <row r="110" spans="1:26" ht="13.8">
      <c r="G110" s="69">
        <f>H102+H103+H105+H106+H107+SUM(H109:H109)</f>
        <v>153.76000000000002</v>
      </c>
      <c r="H110" s="69"/>
      <c r="J110" s="69">
        <f>K102+K103+K105+K106+K107+SUM(K109:K109)</f>
        <v>1998.0700000000002</v>
      </c>
      <c r="K110" s="69"/>
      <c r="L110" s="70">
        <f>Source!U73</f>
        <v>0.94919999999999993</v>
      </c>
      <c r="O110" s="47">
        <f>G110</f>
        <v>153.76000000000002</v>
      </c>
      <c r="P110" s="47">
        <f>J110</f>
        <v>1998.0700000000002</v>
      </c>
      <c r="Q110" s="47">
        <f>L110</f>
        <v>0.94919999999999993</v>
      </c>
      <c r="W110">
        <f>IF(Source!BI73&lt;=1,H102+H103+H105+H106+H107, 0)</f>
        <v>32.860000000000007</v>
      </c>
      <c r="X110">
        <f>IF(Source!BI73=2,H102+H103+H105+H106+H107, 0)</f>
        <v>0</v>
      </c>
      <c r="Y110">
        <f>IF(Source!BI73=3,H102+H103+H105+H106+H107, 0)</f>
        <v>0</v>
      </c>
      <c r="Z110">
        <f>IF(Source!BI73=4,H102+H103+H105+H106+H107, 0)</f>
        <v>0</v>
      </c>
    </row>
    <row r="111" spans="1:26" ht="55.2">
      <c r="A111" s="38" t="str">
        <f>Source!E75</f>
        <v>6</v>
      </c>
      <c r="B111" s="76" t="str">
        <f>Source!F75</f>
        <v>46-03-002-1</v>
      </c>
      <c r="C111" s="76" t="str">
        <f>Source!G75</f>
        <v>Сверление установками алмазного бурения в железобетонных конструкциях горизонтальных отверстий глубиной 200 мм диаметром 20 мм</v>
      </c>
      <c r="D111" s="56" t="str">
        <f>Source!H75</f>
        <v>100 отверстий</v>
      </c>
      <c r="E111" s="10">
        <f>Source!I75</f>
        <v>0.06</v>
      </c>
      <c r="F111" s="57">
        <f>Source!AL75+Source!AM75+Source!AO75</f>
        <v>2389.58</v>
      </c>
      <c r="G111" s="58"/>
      <c r="H111" s="59"/>
      <c r="I111" s="58" t="str">
        <f>Source!BO75</f>
        <v>46-03-002-1</v>
      </c>
      <c r="J111" s="58"/>
      <c r="K111" s="59"/>
      <c r="L111" s="60"/>
      <c r="S111">
        <f>ROUND((Source!FX75/100)*((ROUND(Source!AF75*Source!I75, 2)+ROUND(Source!AE75*Source!I75, 2))), 2)</f>
        <v>28.47</v>
      </c>
      <c r="T111">
        <f>Source!X75</f>
        <v>937.06</v>
      </c>
      <c r="U111">
        <f>ROUND((Source!FY75/100)*((ROUND(Source!AF75*Source!I75, 2)+ROUND(Source!AE75*Source!I75, 2))), 2)</f>
        <v>17.11</v>
      </c>
      <c r="V111">
        <f>Source!Y75</f>
        <v>567.91999999999996</v>
      </c>
    </row>
    <row r="112" spans="1:26">
      <c r="C112" s="49" t="str">
        <f>"Объем: "&amp;Source!I75&amp;"=6/"&amp;"100"</f>
        <v>Объем: 0,06=6/100</v>
      </c>
    </row>
    <row r="113" spans="1:26" ht="14.4">
      <c r="A113" s="38"/>
      <c r="B113" s="76"/>
      <c r="C113" s="76" t="s">
        <v>644</v>
      </c>
      <c r="D113" s="56"/>
      <c r="E113" s="10"/>
      <c r="F113" s="57">
        <f>Source!AO75</f>
        <v>224.15</v>
      </c>
      <c r="G113" s="58" t="str">
        <f>Source!DG75</f>
        <v/>
      </c>
      <c r="H113" s="59">
        <f>ROUND(Source!AF75*Source!I75, 2)</f>
        <v>13.45</v>
      </c>
      <c r="I113" s="58"/>
      <c r="J113" s="58">
        <f>IF(Source!BA75&lt;&gt; 0, Source!BA75, 1)</f>
        <v>32.909999999999997</v>
      </c>
      <c r="K113" s="59">
        <f>Source!S75</f>
        <v>442.61</v>
      </c>
      <c r="L113" s="60"/>
      <c r="R113">
        <f>H113</f>
        <v>13.45</v>
      </c>
    </row>
    <row r="114" spans="1:26" ht="14.4">
      <c r="A114" s="38"/>
      <c r="B114" s="76"/>
      <c r="C114" s="76" t="s">
        <v>80</v>
      </c>
      <c r="D114" s="56"/>
      <c r="E114" s="10"/>
      <c r="F114" s="57">
        <f>Source!AM75</f>
        <v>1023.93</v>
      </c>
      <c r="G114" s="58" t="str">
        <f>Source!DE75</f>
        <v/>
      </c>
      <c r="H114" s="59">
        <f>ROUND(Source!AD75*Source!I75, 2)</f>
        <v>61.44</v>
      </c>
      <c r="I114" s="58"/>
      <c r="J114" s="58">
        <f>IF(Source!BB75&lt;&gt; 0, Source!BB75, 1)</f>
        <v>10.71</v>
      </c>
      <c r="K114" s="59">
        <f>Source!Q75</f>
        <v>657.98</v>
      </c>
      <c r="L114" s="60"/>
    </row>
    <row r="115" spans="1:26" ht="14.4">
      <c r="A115" s="38"/>
      <c r="B115" s="76"/>
      <c r="C115" s="76" t="s">
        <v>651</v>
      </c>
      <c r="D115" s="56"/>
      <c r="E115" s="10"/>
      <c r="F115" s="57">
        <f>Source!AN75</f>
        <v>255.2</v>
      </c>
      <c r="G115" s="58" t="str">
        <f>Source!DF75</f>
        <v/>
      </c>
      <c r="H115" s="73">
        <f>ROUND(Source!AE75*Source!I75, 2)</f>
        <v>15.31</v>
      </c>
      <c r="I115" s="58"/>
      <c r="J115" s="58">
        <f>IF(Source!BS75&lt;&gt; 0, Source!BS75, 1)</f>
        <v>32.909999999999997</v>
      </c>
      <c r="K115" s="73">
        <f>Source!R75</f>
        <v>503.92</v>
      </c>
      <c r="L115" s="60"/>
      <c r="R115">
        <f>H115</f>
        <v>15.31</v>
      </c>
    </row>
    <row r="116" spans="1:26" ht="14.4">
      <c r="A116" s="38"/>
      <c r="B116" s="76"/>
      <c r="C116" s="76" t="s">
        <v>645</v>
      </c>
      <c r="D116" s="56"/>
      <c r="E116" s="10"/>
      <c r="F116" s="57">
        <f>Source!AL75</f>
        <v>1141.5</v>
      </c>
      <c r="G116" s="58" t="str">
        <f>Source!DD75</f>
        <v/>
      </c>
      <c r="H116" s="59">
        <f>ROUND(Source!AC75*Source!I75, 2)</f>
        <v>68.489999999999995</v>
      </c>
      <c r="I116" s="58"/>
      <c r="J116" s="58">
        <f>IF(Source!BC75&lt;&gt; 0, Source!BC75, 1)</f>
        <v>2.85</v>
      </c>
      <c r="K116" s="59">
        <f>Source!P75</f>
        <v>195.2</v>
      </c>
      <c r="L116" s="60"/>
    </row>
    <row r="117" spans="1:26" ht="14.4">
      <c r="A117" s="38"/>
      <c r="B117" s="76"/>
      <c r="C117" s="76" t="s">
        <v>648</v>
      </c>
      <c r="D117" s="56" t="s">
        <v>649</v>
      </c>
      <c r="E117" s="10">
        <f>Source!BZ75</f>
        <v>110</v>
      </c>
      <c r="F117" s="14" t="str">
        <f>CONCATENATE(" )", Source!DL75, Source!FT75, "=", Source!FX75)</f>
        <v xml:space="preserve"> )*0,9=99</v>
      </c>
      <c r="G117" s="23"/>
      <c r="H117" s="59">
        <f>SUM(S111:S119)</f>
        <v>28.47</v>
      </c>
      <c r="I117" s="71"/>
      <c r="J117" s="54">
        <f>Source!AT75</f>
        <v>99</v>
      </c>
      <c r="K117" s="59">
        <f>SUM(T111:T119)</f>
        <v>937.06</v>
      </c>
      <c r="L117" s="60"/>
    </row>
    <row r="118" spans="1:26" ht="14.4">
      <c r="A118" s="38"/>
      <c r="B118" s="76"/>
      <c r="C118" s="76" t="s">
        <v>650</v>
      </c>
      <c r="D118" s="56" t="s">
        <v>649</v>
      </c>
      <c r="E118" s="10">
        <f>Source!CA75</f>
        <v>70</v>
      </c>
      <c r="F118" s="14" t="str">
        <f>CONCATENATE(" )", Source!DM75, Source!FU75, "=", Source!FY75)</f>
        <v xml:space="preserve"> )*0,85=59,5</v>
      </c>
      <c r="G118" s="23"/>
      <c r="H118" s="59">
        <f>SUM(U111:U119)</f>
        <v>17.11</v>
      </c>
      <c r="I118" s="71"/>
      <c r="J118" s="54">
        <f>Source!AU75</f>
        <v>60</v>
      </c>
      <c r="K118" s="59">
        <f>SUM(V111:V119)</f>
        <v>567.91999999999996</v>
      </c>
      <c r="L118" s="60"/>
    </row>
    <row r="119" spans="1:26" ht="14.4">
      <c r="A119" s="77"/>
      <c r="B119" s="78"/>
      <c r="C119" s="78" t="s">
        <v>646</v>
      </c>
      <c r="D119" s="62" t="s">
        <v>647</v>
      </c>
      <c r="E119" s="63">
        <f>Source!AQ75</f>
        <v>23.3</v>
      </c>
      <c r="F119" s="64"/>
      <c r="G119" s="67" t="str">
        <f>Source!DI75</f>
        <v/>
      </c>
      <c r="H119" s="66"/>
      <c r="I119" s="67"/>
      <c r="J119" s="67"/>
      <c r="K119" s="66"/>
      <c r="L119" s="72">
        <f>Source!U75</f>
        <v>1.3979999999999999</v>
      </c>
    </row>
    <row r="120" spans="1:26" ht="13.8">
      <c r="G120" s="69">
        <f>H113+H114+H116+H117+H118</f>
        <v>188.95999999999998</v>
      </c>
      <c r="H120" s="69"/>
      <c r="J120" s="69">
        <f>K113+K114+K116+K117+K118</f>
        <v>2800.7700000000004</v>
      </c>
      <c r="K120" s="69"/>
      <c r="L120" s="70">
        <f>Source!U75</f>
        <v>1.3979999999999999</v>
      </c>
      <c r="O120" s="47">
        <f>G120</f>
        <v>188.95999999999998</v>
      </c>
      <c r="P120" s="47">
        <f>J120</f>
        <v>2800.7700000000004</v>
      </c>
      <c r="Q120" s="47">
        <f>L120</f>
        <v>1.3979999999999999</v>
      </c>
      <c r="W120">
        <f>IF(Source!BI75&lt;=1,H113+H114+H116+H117+H118, 0)</f>
        <v>188.95999999999998</v>
      </c>
      <c r="X120">
        <f>IF(Source!BI75=2,H113+H114+H116+H117+H118, 0)</f>
        <v>0</v>
      </c>
      <c r="Y120">
        <f>IF(Source!BI75=3,H113+H114+H116+H117+H118, 0)</f>
        <v>0</v>
      </c>
      <c r="Z120">
        <f>IF(Source!BI75=4,H113+H114+H116+H117+H118, 0)</f>
        <v>0</v>
      </c>
    </row>
    <row r="121" spans="1:26" ht="80.400000000000006">
      <c r="A121" s="38" t="str">
        <f>Source!E76</f>
        <v>7</v>
      </c>
      <c r="B121" s="76" t="s">
        <v>652</v>
      </c>
      <c r="C121" s="76" t="str">
        <f>Source!G76</f>
        <v>Постановка болтов строительных с гайками и шайбами</v>
      </c>
      <c r="D121" s="56" t="str">
        <f>Source!H76</f>
        <v>100 шт. болтов</v>
      </c>
      <c r="E121" s="10">
        <f>Source!I76</f>
        <v>0.06</v>
      </c>
      <c r="F121" s="57">
        <f>Source!AL76+Source!AM76+Source!AO76</f>
        <v>110.55000000000001</v>
      </c>
      <c r="G121" s="58"/>
      <c r="H121" s="59"/>
      <c r="I121" s="58" t="str">
        <f>Source!BO76</f>
        <v>09-05-003-1</v>
      </c>
      <c r="J121" s="58"/>
      <c r="K121" s="59"/>
      <c r="L121" s="60"/>
      <c r="S121">
        <f>ROUND((Source!FX76/100)*((ROUND(Source!AF76*Source!I76, 2)+ROUND(Source!AE76*Source!I76, 2))), 2)</f>
        <v>6.03</v>
      </c>
      <c r="T121">
        <f>Source!X76</f>
        <v>198.52</v>
      </c>
      <c r="U121">
        <f>ROUND((Source!FY76/100)*((ROUND(Source!AF76*Source!I76, 2)+ROUND(Source!AE76*Source!I76, 2))), 2)</f>
        <v>5.38</v>
      </c>
      <c r="V121">
        <f>Source!Y76</f>
        <v>176.46</v>
      </c>
    </row>
    <row r="122" spans="1:26">
      <c r="C122" s="49" t="str">
        <f>"Объем: "&amp;Source!I76&amp;"=6/"&amp;"100"</f>
        <v>Объем: 0,06=6/100</v>
      </c>
    </row>
    <row r="123" spans="1:26" ht="14.4">
      <c r="A123" s="38"/>
      <c r="B123" s="76"/>
      <c r="C123" s="76" t="s">
        <v>644</v>
      </c>
      <c r="D123" s="56"/>
      <c r="E123" s="10"/>
      <c r="F123" s="57">
        <f>Source!AO76</f>
        <v>107.93</v>
      </c>
      <c r="G123" s="58" t="str">
        <f>Source!DG76</f>
        <v>)*1,15</v>
      </c>
      <c r="H123" s="59">
        <f>ROUND(Source!AF76*Source!I76, 2)</f>
        <v>7.45</v>
      </c>
      <c r="I123" s="58"/>
      <c r="J123" s="58">
        <f>IF(Source!BA76&lt;&gt; 0, Source!BA76, 1)</f>
        <v>32.909999999999997</v>
      </c>
      <c r="K123" s="59">
        <f>Source!S76</f>
        <v>245.09</v>
      </c>
      <c r="L123" s="60"/>
      <c r="R123">
        <f>H123</f>
        <v>7.45</v>
      </c>
    </row>
    <row r="124" spans="1:26" ht="14.4">
      <c r="A124" s="38"/>
      <c r="B124" s="76"/>
      <c r="C124" s="76" t="s">
        <v>80</v>
      </c>
      <c r="D124" s="56"/>
      <c r="E124" s="10"/>
      <c r="F124" s="57">
        <f>Source!AM76</f>
        <v>2.62</v>
      </c>
      <c r="G124" s="58" t="str">
        <f>Source!DE76</f>
        <v>)*1,25</v>
      </c>
      <c r="H124" s="59">
        <f>ROUND(Source!AD76*Source!I76, 2)</f>
        <v>0.2</v>
      </c>
      <c r="I124" s="58"/>
      <c r="J124" s="58">
        <f>IF(Source!BB76&lt;&gt; 0, Source!BB76, 1)</f>
        <v>10.52</v>
      </c>
      <c r="K124" s="59">
        <f>Source!Q76</f>
        <v>2.0699999999999998</v>
      </c>
      <c r="L124" s="60"/>
    </row>
    <row r="125" spans="1:26" ht="14.4">
      <c r="A125" s="38"/>
      <c r="B125" s="76"/>
      <c r="C125" s="76" t="s">
        <v>648</v>
      </c>
      <c r="D125" s="56" t="s">
        <v>649</v>
      </c>
      <c r="E125" s="10">
        <f>Source!BZ76</f>
        <v>90</v>
      </c>
      <c r="F125" s="14" t="str">
        <f>CONCATENATE(" )", Source!DL76, Source!FT76, "=", Source!FX76)</f>
        <v xml:space="preserve"> )*0,9=81</v>
      </c>
      <c r="G125" s="23"/>
      <c r="H125" s="59">
        <f>SUM(S121:S128)</f>
        <v>6.03</v>
      </c>
      <c r="I125" s="71"/>
      <c r="J125" s="54">
        <f>Source!AT76</f>
        <v>81</v>
      </c>
      <c r="K125" s="59">
        <f>SUM(T121:T128)</f>
        <v>198.52</v>
      </c>
      <c r="L125" s="60"/>
    </row>
    <row r="126" spans="1:26" ht="14.4">
      <c r="A126" s="38"/>
      <c r="B126" s="76"/>
      <c r="C126" s="76" t="s">
        <v>650</v>
      </c>
      <c r="D126" s="56" t="s">
        <v>649</v>
      </c>
      <c r="E126" s="10">
        <f>Source!CA76</f>
        <v>85</v>
      </c>
      <c r="F126" s="14" t="str">
        <f>CONCATENATE(" )", Source!DM76, Source!FU76, "=", Source!FY76)</f>
        <v xml:space="preserve"> )*0,85=72,25</v>
      </c>
      <c r="G126" s="23"/>
      <c r="H126" s="59">
        <f>SUM(U121:U128)</f>
        <v>5.38</v>
      </c>
      <c r="I126" s="71"/>
      <c r="J126" s="54">
        <f>Source!AU76</f>
        <v>72</v>
      </c>
      <c r="K126" s="59">
        <f>SUM(V121:V128)</f>
        <v>176.46</v>
      </c>
      <c r="L126" s="60"/>
    </row>
    <row r="127" spans="1:26" ht="14.4">
      <c r="A127" s="38"/>
      <c r="B127" s="76"/>
      <c r="C127" s="76" t="s">
        <v>646</v>
      </c>
      <c r="D127" s="56" t="s">
        <v>647</v>
      </c>
      <c r="E127" s="10">
        <f>Source!AQ76</f>
        <v>11.9</v>
      </c>
      <c r="F127" s="57"/>
      <c r="G127" s="58" t="str">
        <f>Source!DI76</f>
        <v>)*1,15</v>
      </c>
      <c r="H127" s="59"/>
      <c r="I127" s="58"/>
      <c r="J127" s="58"/>
      <c r="K127" s="59"/>
      <c r="L127" s="61">
        <f>Source!U76</f>
        <v>0.82109999999999994</v>
      </c>
    </row>
    <row r="128" spans="1:26" ht="27.6">
      <c r="A128" s="77" t="str">
        <f>Source!E77</f>
        <v>7,1</v>
      </c>
      <c r="B128" s="78" t="str">
        <f>Source!F77</f>
        <v>101-3138</v>
      </c>
      <c r="C128" s="78" t="str">
        <f>Source!G77</f>
        <v>Болт анкерный с гайкой, размер 12,0x100 мм</v>
      </c>
      <c r="D128" s="62" t="str">
        <f>Source!H77</f>
        <v>100 шт.</v>
      </c>
      <c r="E128" s="63">
        <f>Source!I77</f>
        <v>0.06</v>
      </c>
      <c r="F128" s="64">
        <f>Source!AL77+Source!AM77+Source!AO77</f>
        <v>285</v>
      </c>
      <c r="G128" s="65" t="s">
        <v>3</v>
      </c>
      <c r="H128" s="66">
        <f>ROUND(Source!AC77*Source!I77, 2)+ROUND(Source!AD77*Source!I77, 2)+ROUND(Source!AF77*Source!I77, 2)</f>
        <v>17.100000000000001</v>
      </c>
      <c r="I128" s="67"/>
      <c r="J128" s="67">
        <f>IF(Source!BC77&lt;&gt; 0, Source!BC77, 1)</f>
        <v>3.29</v>
      </c>
      <c r="K128" s="66">
        <f>Source!O77</f>
        <v>56.26</v>
      </c>
      <c r="L128" s="68"/>
      <c r="S128">
        <f>ROUND((Source!FX77/100)*((ROUND(Source!AF77*Source!I77, 2)+ROUND(Source!AE77*Source!I77, 2))), 2)</f>
        <v>0</v>
      </c>
      <c r="T128">
        <f>Source!X77</f>
        <v>0</v>
      </c>
      <c r="U128">
        <f>ROUND((Source!FY77/100)*((ROUND(Source!AF77*Source!I77, 2)+ROUND(Source!AE77*Source!I77, 2))), 2)</f>
        <v>0</v>
      </c>
      <c r="V128">
        <f>Source!Y77</f>
        <v>0</v>
      </c>
      <c r="W128">
        <f>IF(Source!BI77&lt;=1,H128, 0)</f>
        <v>17.100000000000001</v>
      </c>
      <c r="X128">
        <f>IF(Source!BI77=2,H128, 0)</f>
        <v>0</v>
      </c>
      <c r="Y128">
        <f>IF(Source!BI77=3,H128, 0)</f>
        <v>0</v>
      </c>
      <c r="Z128">
        <f>IF(Source!BI77=4,H128, 0)</f>
        <v>0</v>
      </c>
    </row>
    <row r="129" spans="1:26" ht="13.8">
      <c r="G129" s="69">
        <f>H123+H124+H125+H126+SUM(H128:H128)</f>
        <v>36.159999999999997</v>
      </c>
      <c r="H129" s="69"/>
      <c r="J129" s="69">
        <f>K123+K124+K125+K126+SUM(K128:K128)</f>
        <v>678.4</v>
      </c>
      <c r="K129" s="69"/>
      <c r="L129" s="70">
        <f>Source!U76</f>
        <v>0.82109999999999994</v>
      </c>
      <c r="O129" s="47">
        <f>G129</f>
        <v>36.159999999999997</v>
      </c>
      <c r="P129" s="47">
        <f>J129</f>
        <v>678.4</v>
      </c>
      <c r="Q129" s="47">
        <f>L129</f>
        <v>0.82109999999999994</v>
      </c>
      <c r="W129">
        <f>IF(Source!BI76&lt;=1,H123+H124+H125+H126, 0)</f>
        <v>19.059999999999999</v>
      </c>
      <c r="X129">
        <f>IF(Source!BI76=2,H123+H124+H125+H126, 0)</f>
        <v>0</v>
      </c>
      <c r="Y129">
        <f>IF(Source!BI76=3,H123+H124+H125+H126, 0)</f>
        <v>0</v>
      </c>
      <c r="Z129">
        <f>IF(Source!BI76=4,H123+H124+H125+H126, 0)</f>
        <v>0</v>
      </c>
    </row>
    <row r="130" spans="1:26" ht="80.400000000000006">
      <c r="A130" s="38" t="str">
        <f>Source!E78</f>
        <v>8</v>
      </c>
      <c r="B130" s="76" t="s">
        <v>653</v>
      </c>
      <c r="C130" s="76" t="str">
        <f>Source!G78</f>
        <v>Огрунтовка металлических поверхностей за один раз грунтовкой ГФ-021</v>
      </c>
      <c r="D130" s="56" t="str">
        <f>Source!H78</f>
        <v>100 м2 окрашиваемой поверхности</v>
      </c>
      <c r="E130" s="10">
        <f>Source!I78</f>
        <v>1.4999999999999999E-2</v>
      </c>
      <c r="F130" s="57">
        <f>Source!AL78+Source!AM78+Source!AO78</f>
        <v>268.8</v>
      </c>
      <c r="G130" s="58"/>
      <c r="H130" s="59"/>
      <c r="I130" s="58" t="str">
        <f>Source!BO78</f>
        <v>13-03-002-4</v>
      </c>
      <c r="J130" s="58"/>
      <c r="K130" s="59"/>
      <c r="L130" s="60"/>
      <c r="S130">
        <f>ROUND((Source!FX78/100)*((ROUND(Source!AF78*Source!I78, 2)+ROUND(Source!AE78*Source!I78, 2))), 2)</f>
        <v>0.79</v>
      </c>
      <c r="T130">
        <f>Source!X78</f>
        <v>26.05</v>
      </c>
      <c r="U130">
        <f>ROUND((Source!FY78/100)*((ROUND(Source!AF78*Source!I78, 2)+ROUND(Source!AE78*Source!I78, 2))), 2)</f>
        <v>0.57999999999999996</v>
      </c>
      <c r="V130">
        <f>Source!Y78</f>
        <v>19.3</v>
      </c>
    </row>
    <row r="131" spans="1:26">
      <c r="C131" s="49" t="str">
        <f>"Объем: "&amp;Source!I78&amp;"=1,5/"&amp;"100"</f>
        <v>Объем: 0,015=1,5/100</v>
      </c>
    </row>
    <row r="132" spans="1:26" ht="14.4">
      <c r="A132" s="38"/>
      <c r="B132" s="76"/>
      <c r="C132" s="76" t="s">
        <v>644</v>
      </c>
      <c r="D132" s="56"/>
      <c r="E132" s="10"/>
      <c r="F132" s="57">
        <f>Source!AO78</f>
        <v>56.55</v>
      </c>
      <c r="G132" s="58" t="str">
        <f>Source!DG78</f>
        <v>)*1,15</v>
      </c>
      <c r="H132" s="59">
        <f>ROUND(Source!AF78*Source!I78, 2)</f>
        <v>0.98</v>
      </c>
      <c r="I132" s="58"/>
      <c r="J132" s="58">
        <f>IF(Source!BA78&lt;&gt; 0, Source!BA78, 1)</f>
        <v>32.909999999999997</v>
      </c>
      <c r="K132" s="59">
        <f>Source!S78</f>
        <v>32.1</v>
      </c>
      <c r="L132" s="60"/>
      <c r="R132">
        <f>H132</f>
        <v>0.98</v>
      </c>
    </row>
    <row r="133" spans="1:26" ht="14.4">
      <c r="A133" s="38"/>
      <c r="B133" s="76"/>
      <c r="C133" s="76" t="s">
        <v>80</v>
      </c>
      <c r="D133" s="56"/>
      <c r="E133" s="10"/>
      <c r="F133" s="57">
        <f>Source!AM78</f>
        <v>9.5299999999999994</v>
      </c>
      <c r="G133" s="58" t="str">
        <f>Source!DE78</f>
        <v>)*1,25</v>
      </c>
      <c r="H133" s="59">
        <f>ROUND(Source!AD78*Source!I78, 2)</f>
        <v>0.18</v>
      </c>
      <c r="I133" s="58"/>
      <c r="J133" s="58">
        <f>IF(Source!BB78&lt;&gt; 0, Source!BB78, 1)</f>
        <v>5.62</v>
      </c>
      <c r="K133" s="59">
        <f>Source!Q78</f>
        <v>1</v>
      </c>
      <c r="L133" s="60"/>
    </row>
    <row r="134" spans="1:26" ht="14.4">
      <c r="A134" s="38"/>
      <c r="B134" s="76"/>
      <c r="C134" s="76" t="s">
        <v>651</v>
      </c>
      <c r="D134" s="56"/>
      <c r="E134" s="10"/>
      <c r="F134" s="57">
        <f>Source!AN78</f>
        <v>0.1</v>
      </c>
      <c r="G134" s="58" t="str">
        <f>Source!DF78</f>
        <v>)*1,25</v>
      </c>
      <c r="H134" s="73">
        <f>ROUND(Source!AE78*Source!I78, 2)</f>
        <v>0</v>
      </c>
      <c r="I134" s="58"/>
      <c r="J134" s="58">
        <f>IF(Source!BS78&lt;&gt; 0, Source!BS78, 1)</f>
        <v>32.909999999999997</v>
      </c>
      <c r="K134" s="73">
        <f>Source!R78</f>
        <v>0.06</v>
      </c>
      <c r="L134" s="60"/>
      <c r="R134">
        <f>H134</f>
        <v>0</v>
      </c>
    </row>
    <row r="135" spans="1:26" ht="14.4">
      <c r="A135" s="38"/>
      <c r="B135" s="76"/>
      <c r="C135" s="76" t="s">
        <v>645</v>
      </c>
      <c r="D135" s="56"/>
      <c r="E135" s="10"/>
      <c r="F135" s="57">
        <f>Source!AL78</f>
        <v>202.72</v>
      </c>
      <c r="G135" s="58" t="str">
        <f>Source!DD78</f>
        <v/>
      </c>
      <c r="H135" s="59">
        <f>ROUND(Source!AC78*Source!I78, 2)</f>
        <v>3.04</v>
      </c>
      <c r="I135" s="58"/>
      <c r="J135" s="58">
        <f>IF(Source!BC78&lt;&gt; 0, Source!BC78, 1)</f>
        <v>3.53</v>
      </c>
      <c r="K135" s="59">
        <f>Source!P78</f>
        <v>10.73</v>
      </c>
      <c r="L135" s="60"/>
    </row>
    <row r="136" spans="1:26" ht="14.4">
      <c r="A136" s="38"/>
      <c r="B136" s="76"/>
      <c r="C136" s="76" t="s">
        <v>648</v>
      </c>
      <c r="D136" s="56" t="s">
        <v>649</v>
      </c>
      <c r="E136" s="10">
        <f>Source!BZ78</f>
        <v>90</v>
      </c>
      <c r="F136" s="14" t="str">
        <f>CONCATENATE(" )", Source!DL78, Source!FT78, "=", Source!FX78)</f>
        <v xml:space="preserve"> )*0,9=81</v>
      </c>
      <c r="G136" s="23"/>
      <c r="H136" s="59">
        <f>SUM(S130:S138)</f>
        <v>0.79</v>
      </c>
      <c r="I136" s="71"/>
      <c r="J136" s="54">
        <f>Source!AT78</f>
        <v>81</v>
      </c>
      <c r="K136" s="59">
        <f>SUM(T130:T138)</f>
        <v>26.05</v>
      </c>
      <c r="L136" s="60"/>
    </row>
    <row r="137" spans="1:26" ht="14.4">
      <c r="A137" s="38"/>
      <c r="B137" s="76"/>
      <c r="C137" s="76" t="s">
        <v>650</v>
      </c>
      <c r="D137" s="56" t="s">
        <v>649</v>
      </c>
      <c r="E137" s="10">
        <f>Source!CA78</f>
        <v>70</v>
      </c>
      <c r="F137" s="14" t="str">
        <f>CONCATENATE(" )", Source!DM78, Source!FU78, "=", Source!FY78)</f>
        <v xml:space="preserve"> )*0,85=59,5</v>
      </c>
      <c r="G137" s="23"/>
      <c r="H137" s="59">
        <f>SUM(U130:U138)</f>
        <v>0.57999999999999996</v>
      </c>
      <c r="I137" s="71"/>
      <c r="J137" s="54">
        <f>Source!AU78</f>
        <v>60</v>
      </c>
      <c r="K137" s="59">
        <f>SUM(V130:V138)</f>
        <v>19.3</v>
      </c>
      <c r="L137" s="60"/>
    </row>
    <row r="138" spans="1:26" ht="14.4">
      <c r="A138" s="77"/>
      <c r="B138" s="78"/>
      <c r="C138" s="78" t="s">
        <v>646</v>
      </c>
      <c r="D138" s="62" t="s">
        <v>647</v>
      </c>
      <c r="E138" s="63">
        <f>Source!AQ78</f>
        <v>5.31</v>
      </c>
      <c r="F138" s="64"/>
      <c r="G138" s="67" t="str">
        <f>Source!DI78</f>
        <v>)*1,15</v>
      </c>
      <c r="H138" s="66"/>
      <c r="I138" s="67"/>
      <c r="J138" s="67"/>
      <c r="K138" s="66"/>
      <c r="L138" s="72">
        <f>Source!U78</f>
        <v>9.1597499999999971E-2</v>
      </c>
    </row>
    <row r="139" spans="1:26" ht="13.8">
      <c r="G139" s="69">
        <f>H132+H133+H135+H136+H137</f>
        <v>5.57</v>
      </c>
      <c r="H139" s="69"/>
      <c r="J139" s="69">
        <f>K132+K133+K135+K136+K137</f>
        <v>89.179999999999993</v>
      </c>
      <c r="K139" s="69"/>
      <c r="L139" s="70">
        <f>Source!U78</f>
        <v>9.1597499999999971E-2</v>
      </c>
      <c r="O139" s="47">
        <f>G139</f>
        <v>5.57</v>
      </c>
      <c r="P139" s="47">
        <f>J139</f>
        <v>89.179999999999993</v>
      </c>
      <c r="Q139" s="47">
        <f>L139</f>
        <v>9.1597499999999971E-2</v>
      </c>
      <c r="W139">
        <f>IF(Source!BI78&lt;=1,H132+H133+H135+H136+H137, 0)</f>
        <v>5.57</v>
      </c>
      <c r="X139">
        <f>IF(Source!BI78=2,H132+H133+H135+H136+H137, 0)</f>
        <v>0</v>
      </c>
      <c r="Y139">
        <f>IF(Source!BI78=3,H132+H133+H135+H136+H137, 0)</f>
        <v>0</v>
      </c>
      <c r="Z139">
        <f>IF(Source!BI78=4,H132+H133+H135+H136+H137, 0)</f>
        <v>0</v>
      </c>
    </row>
    <row r="140" spans="1:26" ht="80.400000000000006">
      <c r="A140" s="38" t="str">
        <f>Source!E79</f>
        <v>9</v>
      </c>
      <c r="B140" s="76" t="s">
        <v>654</v>
      </c>
      <c r="C140" s="76" t="str">
        <f>Source!G79</f>
        <v>Окраска металлических огрунтованных поверхностей эмалью ПФ-115</v>
      </c>
      <c r="D140" s="56" t="str">
        <f>Source!H79</f>
        <v>100 м2 окрашиваемой поверхности</v>
      </c>
      <c r="E140" s="10">
        <f>Source!I79</f>
        <v>1.4999999999999999E-2</v>
      </c>
      <c r="F140" s="57">
        <f>Source!AL79+Source!AM79+Source!AO79</f>
        <v>335.12</v>
      </c>
      <c r="G140" s="58"/>
      <c r="H140" s="59"/>
      <c r="I140" s="58" t="str">
        <f>Source!BO79</f>
        <v>13-03-004-26</v>
      </c>
      <c r="J140" s="58"/>
      <c r="K140" s="59"/>
      <c r="L140" s="60"/>
      <c r="S140">
        <f>ROUND((Source!FX79/100)*((ROUND(Source!AF79*Source!I79, 2)+ROUND(Source!AE79*Source!I79, 2))), 2)</f>
        <v>0.49</v>
      </c>
      <c r="T140">
        <f>Source!X79</f>
        <v>16.02</v>
      </c>
      <c r="U140">
        <f>ROUND((Source!FY79/100)*((ROUND(Source!AF79*Source!I79, 2)+ROUND(Source!AE79*Source!I79, 2))), 2)</f>
        <v>0.36</v>
      </c>
      <c r="V140">
        <f>Source!Y79</f>
        <v>11.87</v>
      </c>
    </row>
    <row r="141" spans="1:26">
      <c r="C141" s="49" t="str">
        <f>"Объем: "&amp;Source!I79&amp;"=1,5/"&amp;"100"</f>
        <v>Объем: 0,015=1,5/100</v>
      </c>
    </row>
    <row r="142" spans="1:26" ht="14.4">
      <c r="A142" s="38"/>
      <c r="B142" s="76"/>
      <c r="C142" s="76" t="s">
        <v>644</v>
      </c>
      <c r="D142" s="56"/>
      <c r="E142" s="10"/>
      <c r="F142" s="57">
        <f>Source!AO79</f>
        <v>34.74</v>
      </c>
      <c r="G142" s="58" t="str">
        <f>Source!DG79</f>
        <v>)*1,15</v>
      </c>
      <c r="H142" s="59">
        <f>ROUND(Source!AF79*Source!I79, 2)</f>
        <v>0.6</v>
      </c>
      <c r="I142" s="58"/>
      <c r="J142" s="58">
        <f>IF(Source!BA79&lt;&gt; 0, Source!BA79, 1)</f>
        <v>32.909999999999997</v>
      </c>
      <c r="K142" s="59">
        <f>Source!S79</f>
        <v>19.72</v>
      </c>
      <c r="L142" s="60"/>
      <c r="R142">
        <f>H142</f>
        <v>0.6</v>
      </c>
    </row>
    <row r="143" spans="1:26" ht="14.4">
      <c r="A143" s="38"/>
      <c r="B143" s="76"/>
      <c r="C143" s="76" t="s">
        <v>80</v>
      </c>
      <c r="D143" s="56"/>
      <c r="E143" s="10"/>
      <c r="F143" s="57">
        <f>Source!AM79</f>
        <v>6.32</v>
      </c>
      <c r="G143" s="58" t="str">
        <f>Source!DE79</f>
        <v>)*1,25</v>
      </c>
      <c r="H143" s="59">
        <f>ROUND(Source!AD79*Source!I79, 2)</f>
        <v>0.12</v>
      </c>
      <c r="I143" s="58"/>
      <c r="J143" s="58">
        <f>IF(Source!BB79&lt;&gt; 0, Source!BB79, 1)</f>
        <v>6.12</v>
      </c>
      <c r="K143" s="59">
        <f>Source!Q79</f>
        <v>0.73</v>
      </c>
      <c r="L143" s="60"/>
    </row>
    <row r="144" spans="1:26" ht="14.4">
      <c r="A144" s="38"/>
      <c r="B144" s="76"/>
      <c r="C144" s="76" t="s">
        <v>651</v>
      </c>
      <c r="D144" s="56"/>
      <c r="E144" s="10"/>
      <c r="F144" s="57">
        <f>Source!AN79</f>
        <v>0.1</v>
      </c>
      <c r="G144" s="58" t="str">
        <f>Source!DF79</f>
        <v>)*1,25</v>
      </c>
      <c r="H144" s="73">
        <f>ROUND(Source!AE79*Source!I79, 2)</f>
        <v>0</v>
      </c>
      <c r="I144" s="58"/>
      <c r="J144" s="58">
        <f>IF(Source!BS79&lt;&gt; 0, Source!BS79, 1)</f>
        <v>32.909999999999997</v>
      </c>
      <c r="K144" s="73">
        <f>Source!R79</f>
        <v>0.06</v>
      </c>
      <c r="L144" s="60"/>
      <c r="R144">
        <f>H144</f>
        <v>0</v>
      </c>
    </row>
    <row r="145" spans="1:26" ht="14.4">
      <c r="A145" s="38"/>
      <c r="B145" s="76"/>
      <c r="C145" s="76" t="s">
        <v>645</v>
      </c>
      <c r="D145" s="56"/>
      <c r="E145" s="10"/>
      <c r="F145" s="57">
        <f>Source!AL79</f>
        <v>294.06</v>
      </c>
      <c r="G145" s="58" t="str">
        <f>Source!DD79</f>
        <v/>
      </c>
      <c r="H145" s="59">
        <f>ROUND(Source!AC79*Source!I79, 2)</f>
        <v>4.41</v>
      </c>
      <c r="I145" s="58"/>
      <c r="J145" s="58">
        <f>IF(Source!BC79&lt;&gt; 0, Source!BC79, 1)</f>
        <v>4.1900000000000004</v>
      </c>
      <c r="K145" s="59">
        <f>Source!P79</f>
        <v>18.48</v>
      </c>
      <c r="L145" s="60"/>
    </row>
    <row r="146" spans="1:26" ht="14.4">
      <c r="A146" s="38"/>
      <c r="B146" s="76"/>
      <c r="C146" s="76" t="s">
        <v>648</v>
      </c>
      <c r="D146" s="56" t="s">
        <v>649</v>
      </c>
      <c r="E146" s="10">
        <f>Source!BZ79</f>
        <v>90</v>
      </c>
      <c r="F146" s="14" t="str">
        <f>CONCATENATE(" )", Source!DL79, Source!FT79, "=", Source!FX79)</f>
        <v xml:space="preserve"> )*0,9=81</v>
      </c>
      <c r="G146" s="23"/>
      <c r="H146" s="59">
        <f>SUM(S140:S148)</f>
        <v>0.49</v>
      </c>
      <c r="I146" s="71"/>
      <c r="J146" s="54">
        <f>Source!AT79</f>
        <v>81</v>
      </c>
      <c r="K146" s="59">
        <f>SUM(T140:T148)</f>
        <v>16.02</v>
      </c>
      <c r="L146" s="60"/>
    </row>
    <row r="147" spans="1:26" ht="14.4">
      <c r="A147" s="38"/>
      <c r="B147" s="76"/>
      <c r="C147" s="76" t="s">
        <v>650</v>
      </c>
      <c r="D147" s="56" t="s">
        <v>649</v>
      </c>
      <c r="E147" s="10">
        <f>Source!CA79</f>
        <v>70</v>
      </c>
      <c r="F147" s="14" t="str">
        <f>CONCATENATE(" )", Source!DM79, Source!FU79, "=", Source!FY79)</f>
        <v xml:space="preserve"> )*0,85=59,5</v>
      </c>
      <c r="G147" s="23"/>
      <c r="H147" s="59">
        <f>SUM(U140:U148)</f>
        <v>0.36</v>
      </c>
      <c r="I147" s="71"/>
      <c r="J147" s="54">
        <f>Source!AU79</f>
        <v>60</v>
      </c>
      <c r="K147" s="59">
        <f>SUM(V140:V148)</f>
        <v>11.87</v>
      </c>
      <c r="L147" s="60"/>
    </row>
    <row r="148" spans="1:26" ht="14.4">
      <c r="A148" s="77"/>
      <c r="B148" s="78"/>
      <c r="C148" s="78" t="s">
        <v>646</v>
      </c>
      <c r="D148" s="62" t="s">
        <v>647</v>
      </c>
      <c r="E148" s="63">
        <f>Source!AQ79</f>
        <v>3.83</v>
      </c>
      <c r="F148" s="64"/>
      <c r="G148" s="67" t="str">
        <f>Source!DI79</f>
        <v>)*1,15</v>
      </c>
      <c r="H148" s="66"/>
      <c r="I148" s="67"/>
      <c r="J148" s="67"/>
      <c r="K148" s="66"/>
      <c r="L148" s="72">
        <f>Source!U79</f>
        <v>6.6067499999999987E-2</v>
      </c>
    </row>
    <row r="149" spans="1:26" ht="13.8">
      <c r="G149" s="69">
        <f>H142+H143+H145+H146+H147</f>
        <v>5.98</v>
      </c>
      <c r="H149" s="69"/>
      <c r="J149" s="69">
        <f>K142+K143+K145+K146+K147</f>
        <v>66.820000000000007</v>
      </c>
      <c r="K149" s="69"/>
      <c r="L149" s="70">
        <f>Source!U79</f>
        <v>6.6067499999999987E-2</v>
      </c>
      <c r="O149" s="47">
        <f>G149</f>
        <v>5.98</v>
      </c>
      <c r="P149" s="47">
        <f>J149</f>
        <v>66.820000000000007</v>
      </c>
      <c r="Q149" s="47">
        <f>L149</f>
        <v>6.6067499999999987E-2</v>
      </c>
      <c r="W149">
        <f>IF(Source!BI79&lt;=1,H142+H143+H145+H146+H147, 0)</f>
        <v>5.98</v>
      </c>
      <c r="X149">
        <f>IF(Source!BI79=2,H142+H143+H145+H146+H147, 0)</f>
        <v>0</v>
      </c>
      <c r="Y149">
        <f>IF(Source!BI79=3,H142+H143+H145+H146+H147, 0)</f>
        <v>0</v>
      </c>
      <c r="Z149">
        <f>IF(Source!BI79=4,H142+H143+H145+H146+H147, 0)</f>
        <v>0</v>
      </c>
    </row>
    <row r="150" spans="1:26" ht="43.2">
      <c r="A150" s="38" t="str">
        <f>Source!E80</f>
        <v>10</v>
      </c>
      <c r="B150" s="76" t="str">
        <f>Source!F80</f>
        <v>09-04-002-1</v>
      </c>
      <c r="C150" s="76" t="str">
        <f>Source!G80</f>
        <v>Монтаж кровельного покрытия из профилированного листа при высоте здания до 25 м</v>
      </c>
      <c r="D150" s="56" t="str">
        <f>Source!H80</f>
        <v>100 м2 покрытия</v>
      </c>
      <c r="E150" s="10">
        <f>Source!I80</f>
        <v>0.02</v>
      </c>
      <c r="F150" s="57">
        <f>Source!AL80+Source!AM80+Source!AO80</f>
        <v>946.18</v>
      </c>
      <c r="G150" s="58"/>
      <c r="H150" s="59"/>
      <c r="I150" s="58" t="str">
        <f>Source!BO80</f>
        <v>09-04-002-1</v>
      </c>
      <c r="J150" s="58"/>
      <c r="K150" s="59"/>
      <c r="L150" s="60"/>
      <c r="S150">
        <f>ROUND((Source!FX80/100)*((ROUND(Source!AF80*Source!I80, 2)+ROUND(Source!AE80*Source!I80, 2))), 2)</f>
        <v>6.54</v>
      </c>
      <c r="T150">
        <f>Source!X80</f>
        <v>215.18</v>
      </c>
      <c r="U150">
        <f>ROUND((Source!FY80/100)*((ROUND(Source!AF80*Source!I80, 2)+ROUND(Source!AE80*Source!I80, 2))), 2)</f>
        <v>5.84</v>
      </c>
      <c r="V150">
        <f>Source!Y80</f>
        <v>191.27</v>
      </c>
    </row>
    <row r="151" spans="1:26">
      <c r="C151" s="49" t="str">
        <f>"Объем: "&amp;Source!I80&amp;"=2/"&amp;"100"</f>
        <v>Объем: 0,02=2/100</v>
      </c>
    </row>
    <row r="152" spans="1:26" ht="14.4">
      <c r="A152" s="38"/>
      <c r="B152" s="76"/>
      <c r="C152" s="76" t="s">
        <v>644</v>
      </c>
      <c r="D152" s="56"/>
      <c r="E152" s="10"/>
      <c r="F152" s="57">
        <f>Source!AO80</f>
        <v>310.27</v>
      </c>
      <c r="G152" s="58" t="str">
        <f>Source!DG80</f>
        <v>)*1,15</v>
      </c>
      <c r="H152" s="59">
        <f>ROUND(Source!AF80*Source!I80, 2)</f>
        <v>7.14</v>
      </c>
      <c r="I152" s="58"/>
      <c r="J152" s="58">
        <f>IF(Source!BA80&lt;&gt; 0, Source!BA80, 1)</f>
        <v>32.909999999999997</v>
      </c>
      <c r="K152" s="59">
        <f>Source!S80</f>
        <v>234.85</v>
      </c>
      <c r="L152" s="60"/>
      <c r="R152">
        <f>H152</f>
        <v>7.14</v>
      </c>
    </row>
    <row r="153" spans="1:26" ht="14.4">
      <c r="A153" s="38"/>
      <c r="B153" s="76"/>
      <c r="C153" s="76" t="s">
        <v>80</v>
      </c>
      <c r="D153" s="56"/>
      <c r="E153" s="10"/>
      <c r="F153" s="57">
        <f>Source!AM80</f>
        <v>481.94</v>
      </c>
      <c r="G153" s="58" t="str">
        <f>Source!DE80</f>
        <v>)*1,25</v>
      </c>
      <c r="H153" s="59">
        <f>ROUND(Source!AD80*Source!I80, 2)</f>
        <v>12.05</v>
      </c>
      <c r="I153" s="58"/>
      <c r="J153" s="58">
        <f>IF(Source!BB80&lt;&gt; 0, Source!BB80, 1)</f>
        <v>7.95</v>
      </c>
      <c r="K153" s="59">
        <f>Source!Q80</f>
        <v>95.79</v>
      </c>
      <c r="L153" s="60"/>
    </row>
    <row r="154" spans="1:26" ht="14.4">
      <c r="A154" s="38"/>
      <c r="B154" s="76"/>
      <c r="C154" s="76" t="s">
        <v>651</v>
      </c>
      <c r="D154" s="56"/>
      <c r="E154" s="10"/>
      <c r="F154" s="57">
        <f>Source!AN80</f>
        <v>37.43</v>
      </c>
      <c r="G154" s="58" t="str">
        <f>Source!DF80</f>
        <v>)*1,25</v>
      </c>
      <c r="H154" s="73">
        <f>ROUND(Source!AE80*Source!I80, 2)</f>
        <v>0.94</v>
      </c>
      <c r="I154" s="58"/>
      <c r="J154" s="58">
        <f>IF(Source!BS80&lt;&gt; 0, Source!BS80, 1)</f>
        <v>32.909999999999997</v>
      </c>
      <c r="K154" s="73">
        <f>Source!R80</f>
        <v>30.8</v>
      </c>
      <c r="L154" s="60"/>
      <c r="R154">
        <f>H154</f>
        <v>0.94</v>
      </c>
    </row>
    <row r="155" spans="1:26" ht="14.4">
      <c r="A155" s="38"/>
      <c r="B155" s="76"/>
      <c r="C155" s="76" t="s">
        <v>648</v>
      </c>
      <c r="D155" s="56" t="s">
        <v>649</v>
      </c>
      <c r="E155" s="10">
        <f>Source!BZ80</f>
        <v>90</v>
      </c>
      <c r="F155" s="14" t="str">
        <f>CONCATENATE(" )", Source!DL80, Source!FT80, "=", Source!FX80)</f>
        <v xml:space="preserve"> )*0,9=81</v>
      </c>
      <c r="G155" s="23"/>
      <c r="H155" s="59">
        <f>SUM(S150:S158)</f>
        <v>6.54</v>
      </c>
      <c r="I155" s="71"/>
      <c r="J155" s="54">
        <f>Source!AT80</f>
        <v>81</v>
      </c>
      <c r="K155" s="59">
        <f>SUM(T150:T158)</f>
        <v>215.18</v>
      </c>
      <c r="L155" s="60"/>
    </row>
    <row r="156" spans="1:26" ht="14.4">
      <c r="A156" s="38"/>
      <c r="B156" s="76"/>
      <c r="C156" s="76" t="s">
        <v>650</v>
      </c>
      <c r="D156" s="56" t="s">
        <v>649</v>
      </c>
      <c r="E156" s="10">
        <f>Source!CA80</f>
        <v>85</v>
      </c>
      <c r="F156" s="14" t="str">
        <f>CONCATENATE(" )", Source!DM80, Source!FU80, "=", Source!FY80)</f>
        <v xml:space="preserve"> )*0,85=72,25</v>
      </c>
      <c r="G156" s="23"/>
      <c r="H156" s="59">
        <f>SUM(U150:U158)</f>
        <v>5.84</v>
      </c>
      <c r="I156" s="71"/>
      <c r="J156" s="54">
        <f>Source!AU80</f>
        <v>72</v>
      </c>
      <c r="K156" s="59">
        <f>SUM(V150:V158)</f>
        <v>191.27</v>
      </c>
      <c r="L156" s="60"/>
    </row>
    <row r="157" spans="1:26" ht="14.4">
      <c r="A157" s="38"/>
      <c r="B157" s="76"/>
      <c r="C157" s="76" t="s">
        <v>646</v>
      </c>
      <c r="D157" s="56" t="s">
        <v>647</v>
      </c>
      <c r="E157" s="10">
        <f>Source!AQ80</f>
        <v>35.5</v>
      </c>
      <c r="F157" s="57"/>
      <c r="G157" s="58" t="str">
        <f>Source!DI80</f>
        <v>)*1,15</v>
      </c>
      <c r="H157" s="59"/>
      <c r="I157" s="58"/>
      <c r="J157" s="58"/>
      <c r="K157" s="59"/>
      <c r="L157" s="61">
        <f>Source!U80</f>
        <v>0.81649999999999989</v>
      </c>
    </row>
    <row r="158" spans="1:26" ht="41.4">
      <c r="A158" s="77" t="str">
        <f>Source!E81</f>
        <v>10,1</v>
      </c>
      <c r="B158" s="78" t="str">
        <f>Source!F81</f>
        <v>Цена поставщика</v>
      </c>
      <c r="C158" s="78" t="str">
        <f>Source!G81</f>
        <v>Профнастил оцинкованный С-21 0,4х1050x3000</v>
      </c>
      <c r="D158" s="62" t="str">
        <f>Source!H81</f>
        <v>1 м2</v>
      </c>
      <c r="E158" s="63">
        <f>Source!I81</f>
        <v>3</v>
      </c>
      <c r="F158" s="64">
        <f>Source!AL81+Source!AM81+Source!AO81</f>
        <v>554.66999999999996</v>
      </c>
      <c r="G158" s="65" t="s">
        <v>3</v>
      </c>
      <c r="H158" s="66">
        <f>ROUND(Source!AC81*Source!I81, 2)+ROUND(Source!AD81*Source!I81, 2)+ROUND(Source!AF81*Source!I81, 2)</f>
        <v>1664.01</v>
      </c>
      <c r="I158" s="67"/>
      <c r="J158" s="67">
        <f>IF(Source!BC81&lt;&gt; 0, Source!BC81, 1)</f>
        <v>1</v>
      </c>
      <c r="K158" s="66">
        <f>Source!O81</f>
        <v>1664.01</v>
      </c>
      <c r="L158" s="68"/>
      <c r="S158">
        <f>ROUND((Source!FX81/100)*((ROUND(Source!AF81*Source!I81, 2)+ROUND(Source!AE81*Source!I81, 2))), 2)</f>
        <v>0</v>
      </c>
      <c r="T158">
        <f>Source!X81</f>
        <v>0</v>
      </c>
      <c r="U158">
        <f>ROUND((Source!FY81/100)*((ROUND(Source!AF81*Source!I81, 2)+ROUND(Source!AE81*Source!I81, 2))), 2)</f>
        <v>0</v>
      </c>
      <c r="V158">
        <f>Source!Y81</f>
        <v>0</v>
      </c>
      <c r="W158">
        <f>IF(Source!BI81&lt;=1,H158, 0)</f>
        <v>1664.01</v>
      </c>
      <c r="X158">
        <f>IF(Source!BI81=2,H158, 0)</f>
        <v>0</v>
      </c>
      <c r="Y158">
        <f>IF(Source!BI81=3,H158, 0)</f>
        <v>0</v>
      </c>
      <c r="Z158">
        <f>IF(Source!BI81=4,H158, 0)</f>
        <v>0</v>
      </c>
    </row>
    <row r="159" spans="1:26" ht="13.8">
      <c r="G159" s="69">
        <f>H152+H153+H155+H156+SUM(H158:H158)</f>
        <v>1695.58</v>
      </c>
      <c r="H159" s="69"/>
      <c r="J159" s="69">
        <f>K152+K153+K155+K156+SUM(K158:K158)</f>
        <v>2401.1</v>
      </c>
      <c r="K159" s="69"/>
      <c r="L159" s="70">
        <f>Source!U80</f>
        <v>0.81649999999999989</v>
      </c>
      <c r="O159" s="47">
        <f>G159</f>
        <v>1695.58</v>
      </c>
      <c r="P159" s="47">
        <f>J159</f>
        <v>2401.1</v>
      </c>
      <c r="Q159" s="47">
        <f>L159</f>
        <v>0.81649999999999989</v>
      </c>
      <c r="W159">
        <f>IF(Source!BI80&lt;=1,H152+H153+H155+H156, 0)</f>
        <v>31.57</v>
      </c>
      <c r="X159">
        <f>IF(Source!BI80=2,H152+H153+H155+H156, 0)</f>
        <v>0</v>
      </c>
      <c r="Y159">
        <f>IF(Source!BI80=3,H152+H153+H155+H156, 0)</f>
        <v>0</v>
      </c>
      <c r="Z159">
        <f>IF(Source!BI80=4,H152+H153+H155+H156, 0)</f>
        <v>0</v>
      </c>
    </row>
    <row r="160" spans="1:26" ht="80.400000000000006">
      <c r="A160" s="38" t="str">
        <f>Source!E82</f>
        <v>11</v>
      </c>
      <c r="B160" s="76" t="s">
        <v>655</v>
      </c>
      <c r="C160" s="76" t="str">
        <f>Source!G82</f>
        <v>Установка противопожарных дверей двупольных глухих</v>
      </c>
      <c r="D160" s="56" t="str">
        <f>Source!H82</f>
        <v>1 м2 проема</v>
      </c>
      <c r="E160" s="10">
        <f>Source!I82</f>
        <v>3</v>
      </c>
      <c r="F160" s="57">
        <f>Source!AL82+Source!AM82+Source!AO82</f>
        <v>92.36</v>
      </c>
      <c r="G160" s="58"/>
      <c r="H160" s="59"/>
      <c r="I160" s="58" t="str">
        <f>Source!BO82</f>
        <v>09-04-013-2</v>
      </c>
      <c r="J160" s="58"/>
      <c r="K160" s="59"/>
      <c r="L160" s="60"/>
      <c r="S160">
        <f>ROUND((Source!FX82/100)*((ROUND(Source!AF82*Source!I82, 2)+ROUND(Source!AE82*Source!I82, 2))), 2)</f>
        <v>78.17</v>
      </c>
      <c r="T160">
        <f>Source!X82</f>
        <v>2572.3200000000002</v>
      </c>
      <c r="U160">
        <f>ROUND((Source!FY82/100)*((ROUND(Source!AF82*Source!I82, 2)+ROUND(Source!AE82*Source!I82, 2))), 2)</f>
        <v>69.72</v>
      </c>
      <c r="V160">
        <f>Source!Y82</f>
        <v>2286.5</v>
      </c>
    </row>
    <row r="161" spans="1:26" ht="14.4">
      <c r="A161" s="38"/>
      <c r="B161" s="76"/>
      <c r="C161" s="76" t="s">
        <v>644</v>
      </c>
      <c r="D161" s="56"/>
      <c r="E161" s="10"/>
      <c r="F161" s="57">
        <f>Source!AO82</f>
        <v>27.97</v>
      </c>
      <c r="G161" s="58" t="str">
        <f>Source!DG82</f>
        <v>)*1,15</v>
      </c>
      <c r="H161" s="59">
        <f>ROUND(Source!AF82*Source!I82, 2)</f>
        <v>96.5</v>
      </c>
      <c r="I161" s="58"/>
      <c r="J161" s="58">
        <f>IF(Source!BA82&lt;&gt; 0, Source!BA82, 1)</f>
        <v>32.909999999999997</v>
      </c>
      <c r="K161" s="59">
        <f>Source!S82</f>
        <v>3175.7</v>
      </c>
      <c r="L161" s="60"/>
      <c r="R161">
        <f>H161</f>
        <v>96.5</v>
      </c>
    </row>
    <row r="162" spans="1:26" ht="14.4">
      <c r="A162" s="38"/>
      <c r="B162" s="76"/>
      <c r="C162" s="76" t="s">
        <v>80</v>
      </c>
      <c r="D162" s="56"/>
      <c r="E162" s="10"/>
      <c r="F162" s="57">
        <f>Source!AM82</f>
        <v>11.48</v>
      </c>
      <c r="G162" s="58" t="str">
        <f>Source!DE82</f>
        <v>)*1,25</v>
      </c>
      <c r="H162" s="59">
        <f>ROUND(Source!AD82*Source!I82, 2)</f>
        <v>43.05</v>
      </c>
      <c r="I162" s="58"/>
      <c r="J162" s="58">
        <f>IF(Source!BB82&lt;&gt; 0, Source!BB82, 1)</f>
        <v>8.32</v>
      </c>
      <c r="K162" s="59">
        <f>Source!Q82</f>
        <v>358.18</v>
      </c>
      <c r="L162" s="60"/>
    </row>
    <row r="163" spans="1:26" ht="14.4">
      <c r="A163" s="38"/>
      <c r="B163" s="76"/>
      <c r="C163" s="76" t="s">
        <v>645</v>
      </c>
      <c r="D163" s="56"/>
      <c r="E163" s="10"/>
      <c r="F163" s="57">
        <f>Source!AL82</f>
        <v>52.91</v>
      </c>
      <c r="G163" s="58" t="str">
        <f>Source!DD82</f>
        <v/>
      </c>
      <c r="H163" s="59">
        <f>ROUND(Source!AC82*Source!I82, 2)</f>
        <v>158.72999999999999</v>
      </c>
      <c r="I163" s="58"/>
      <c r="J163" s="58">
        <f>IF(Source!BC82&lt;&gt; 0, Source!BC82, 1)</f>
        <v>10.17</v>
      </c>
      <c r="K163" s="59">
        <f>Source!P82</f>
        <v>1614.28</v>
      </c>
      <c r="L163" s="60"/>
    </row>
    <row r="164" spans="1:26" ht="14.4">
      <c r="A164" s="38"/>
      <c r="B164" s="76"/>
      <c r="C164" s="76" t="s">
        <v>648</v>
      </c>
      <c r="D164" s="56" t="s">
        <v>649</v>
      </c>
      <c r="E164" s="10">
        <f>Source!BZ82</f>
        <v>90</v>
      </c>
      <c r="F164" s="14" t="str">
        <f>CONCATENATE(" )", Source!DL82, Source!FT82, "=", Source!FX82)</f>
        <v xml:space="preserve"> )*0,9=81</v>
      </c>
      <c r="G164" s="23"/>
      <c r="H164" s="59">
        <f>SUM(S160:S168)</f>
        <v>78.17</v>
      </c>
      <c r="I164" s="71"/>
      <c r="J164" s="54">
        <f>Source!AT82</f>
        <v>81</v>
      </c>
      <c r="K164" s="59">
        <f>SUM(T160:T168)</f>
        <v>2572.3200000000002</v>
      </c>
      <c r="L164" s="60"/>
    </row>
    <row r="165" spans="1:26" ht="14.4">
      <c r="A165" s="38"/>
      <c r="B165" s="76"/>
      <c r="C165" s="76" t="s">
        <v>650</v>
      </c>
      <c r="D165" s="56" t="s">
        <v>649</v>
      </c>
      <c r="E165" s="10">
        <f>Source!CA82</f>
        <v>85</v>
      </c>
      <c r="F165" s="14" t="str">
        <f>CONCATENATE(" )", Source!DM82, Source!FU82, "=", Source!FY82)</f>
        <v xml:space="preserve"> )*0,85=72,25</v>
      </c>
      <c r="G165" s="23"/>
      <c r="H165" s="59">
        <f>SUM(U160:U168)</f>
        <v>69.72</v>
      </c>
      <c r="I165" s="71"/>
      <c r="J165" s="54">
        <f>Source!AU82</f>
        <v>72</v>
      </c>
      <c r="K165" s="59">
        <f>SUM(V160:V168)</f>
        <v>2286.5</v>
      </c>
      <c r="L165" s="60"/>
    </row>
    <row r="166" spans="1:26" ht="14.4">
      <c r="A166" s="38"/>
      <c r="B166" s="76"/>
      <c r="C166" s="76" t="s">
        <v>646</v>
      </c>
      <c r="D166" s="56" t="s">
        <v>647</v>
      </c>
      <c r="E166" s="10">
        <f>Source!AQ82</f>
        <v>2.78</v>
      </c>
      <c r="F166" s="57"/>
      <c r="G166" s="58" t="str">
        <f>Source!DI82</f>
        <v>)*1,15</v>
      </c>
      <c r="H166" s="59"/>
      <c r="I166" s="58"/>
      <c r="J166" s="58"/>
      <c r="K166" s="59"/>
      <c r="L166" s="61">
        <f>Source!U82</f>
        <v>9.5909999999999993</v>
      </c>
    </row>
    <row r="167" spans="1:26" ht="41.4">
      <c r="A167" s="38" t="str">
        <f>Source!E84</f>
        <v>11,2</v>
      </c>
      <c r="B167" s="76" t="str">
        <f>Source!F84</f>
        <v>203-8132</v>
      </c>
      <c r="C167" s="76" t="str">
        <f>Source!G84</f>
        <v>Дверь противопожарная металлическая двупольная ДПМ-02/60, размером 1500х2100 мм</v>
      </c>
      <c r="D167" s="56" t="str">
        <f>Source!H84</f>
        <v>шт.</v>
      </c>
      <c r="E167" s="10">
        <f>Source!I84</f>
        <v>1</v>
      </c>
      <c r="F167" s="57">
        <f>Source!AL84+Source!AM84+Source!AO84</f>
        <v>5688.16</v>
      </c>
      <c r="G167" s="75" t="s">
        <v>3</v>
      </c>
      <c r="H167" s="59">
        <f>ROUND(Source!AC84*Source!I84, 2)+ROUND(Source!AD84*Source!I84, 2)+ROUND(Source!AF84*Source!I84, 2)</f>
        <v>5688.16</v>
      </c>
      <c r="I167" s="58"/>
      <c r="J167" s="58">
        <f>IF(Source!BC84&lt;&gt; 0, Source!BC84, 1)</f>
        <v>3.16</v>
      </c>
      <c r="K167" s="59">
        <f>Source!O84</f>
        <v>17974.59</v>
      </c>
      <c r="L167" s="60"/>
      <c r="S167">
        <f>ROUND((Source!FX84/100)*((ROUND(Source!AF84*Source!I84, 2)+ROUND(Source!AE84*Source!I84, 2))), 2)</f>
        <v>0</v>
      </c>
      <c r="T167">
        <f>Source!X84</f>
        <v>0</v>
      </c>
      <c r="U167">
        <f>ROUND((Source!FY84/100)*((ROUND(Source!AF84*Source!I84, 2)+ROUND(Source!AE84*Source!I84, 2))), 2)</f>
        <v>0</v>
      </c>
      <c r="V167">
        <f>Source!Y84</f>
        <v>0</v>
      </c>
      <c r="W167">
        <f>IF(Source!BI84&lt;=1,H167, 0)</f>
        <v>5688.16</v>
      </c>
      <c r="X167">
        <f>IF(Source!BI84=2,H167, 0)</f>
        <v>0</v>
      </c>
      <c r="Y167">
        <f>IF(Source!BI84=3,H167, 0)</f>
        <v>0</v>
      </c>
      <c r="Z167">
        <f>IF(Source!BI84=4,H167, 0)</f>
        <v>0</v>
      </c>
    </row>
    <row r="168" spans="1:26" ht="27.6">
      <c r="A168" s="77" t="str">
        <f>Source!E85</f>
        <v>11,3</v>
      </c>
      <c r="B168" s="78" t="str">
        <f>Source!F85</f>
        <v>101-0888</v>
      </c>
      <c r="C168" s="78" t="str">
        <f>Source!G85</f>
        <v>Скобяные изделия для блоков входных дверей в здание двупольных</v>
      </c>
      <c r="D168" s="62" t="str">
        <f>Source!H85</f>
        <v>компл.</v>
      </c>
      <c r="E168" s="63">
        <f>Source!I85</f>
        <v>1</v>
      </c>
      <c r="F168" s="64">
        <f>Source!AL85+Source!AM85+Source!AO85</f>
        <v>94.69</v>
      </c>
      <c r="G168" s="65" t="s">
        <v>3</v>
      </c>
      <c r="H168" s="66">
        <f>ROUND(Source!AC85*Source!I85, 2)+ROUND(Source!AD85*Source!I85, 2)+ROUND(Source!AF85*Source!I85, 2)</f>
        <v>94.69</v>
      </c>
      <c r="I168" s="67"/>
      <c r="J168" s="67">
        <f>IF(Source!BC85&lt;&gt; 0, Source!BC85, 1)</f>
        <v>6.47</v>
      </c>
      <c r="K168" s="66">
        <f>Source!O85</f>
        <v>612.64</v>
      </c>
      <c r="L168" s="68"/>
      <c r="S168">
        <f>ROUND((Source!FX85/100)*((ROUND(Source!AF85*Source!I85, 2)+ROUND(Source!AE85*Source!I85, 2))), 2)</f>
        <v>0</v>
      </c>
      <c r="T168">
        <f>Source!X85</f>
        <v>0</v>
      </c>
      <c r="U168">
        <f>ROUND((Source!FY85/100)*((ROUND(Source!AF85*Source!I85, 2)+ROUND(Source!AE85*Source!I85, 2))), 2)</f>
        <v>0</v>
      </c>
      <c r="V168">
        <f>Source!Y85</f>
        <v>0</v>
      </c>
      <c r="W168">
        <f>IF(Source!BI85&lt;=1,H168, 0)</f>
        <v>94.69</v>
      </c>
      <c r="X168">
        <f>IF(Source!BI85=2,H168, 0)</f>
        <v>0</v>
      </c>
      <c r="Y168">
        <f>IF(Source!BI85=3,H168, 0)</f>
        <v>0</v>
      </c>
      <c r="Z168">
        <f>IF(Source!BI85=4,H168, 0)</f>
        <v>0</v>
      </c>
    </row>
    <row r="169" spans="1:26" ht="13.8">
      <c r="G169" s="69">
        <f>H161+H162+H163+H164+H165+SUM(H167:H168)</f>
        <v>6229.0199999999995</v>
      </c>
      <c r="H169" s="69"/>
      <c r="J169" s="69">
        <f>K161+K162+K163+K164+K165+SUM(K167:K168)</f>
        <v>28594.21</v>
      </c>
      <c r="K169" s="69"/>
      <c r="L169" s="70">
        <f>Source!U82</f>
        <v>9.5909999999999993</v>
      </c>
      <c r="O169" s="47">
        <f>G169</f>
        <v>6229.0199999999995</v>
      </c>
      <c r="P169" s="47">
        <f>J169</f>
        <v>28594.21</v>
      </c>
      <c r="Q169" s="47">
        <f>L169</f>
        <v>9.5909999999999993</v>
      </c>
      <c r="W169">
        <f>IF(Source!BI82&lt;=1,H161+H162+H163+H164+H165, 0)</f>
        <v>446.16999999999996</v>
      </c>
      <c r="X169">
        <f>IF(Source!BI82=2,H161+H162+H163+H164+H165, 0)</f>
        <v>0</v>
      </c>
      <c r="Y169">
        <f>IF(Source!BI82=3,H161+H162+H163+H164+H165, 0)</f>
        <v>0</v>
      </c>
      <c r="Z169">
        <f>IF(Source!BI82=4,H161+H162+H163+H164+H165, 0)</f>
        <v>0</v>
      </c>
    </row>
    <row r="170" spans="1:26" ht="80.400000000000006">
      <c r="A170" s="38" t="str">
        <f>Source!E86</f>
        <v>16</v>
      </c>
      <c r="B170" s="76" t="s">
        <v>656</v>
      </c>
      <c r="C170" s="76" t="str">
        <f>Source!G86</f>
        <v>Установка дверного доводчика к металлическим дверям</v>
      </c>
      <c r="D170" s="56" t="str">
        <f>Source!H86</f>
        <v>1  ШТ.</v>
      </c>
      <c r="E170" s="10">
        <f>Source!I86</f>
        <v>1</v>
      </c>
      <c r="F170" s="57">
        <f>Source!AL86+Source!AM86+Source!AO86</f>
        <v>14.56</v>
      </c>
      <c r="G170" s="58"/>
      <c r="H170" s="59"/>
      <c r="I170" s="58" t="str">
        <f>Source!BO86</f>
        <v>09-04-012-2</v>
      </c>
      <c r="J170" s="58"/>
      <c r="K170" s="59"/>
      <c r="L170" s="60"/>
      <c r="S170">
        <f>ROUND((Source!FX86/100)*((ROUND(Source!AF86*Source!I86, 2)+ROUND(Source!AE86*Source!I86, 2))), 2)</f>
        <v>10.25</v>
      </c>
      <c r="T170">
        <f>Source!X86</f>
        <v>337.52</v>
      </c>
      <c r="U170">
        <f>ROUND((Source!FY86/100)*((ROUND(Source!AF86*Source!I86, 2)+ROUND(Source!AE86*Source!I86, 2))), 2)</f>
        <v>9.15</v>
      </c>
      <c r="V170">
        <f>Source!Y86</f>
        <v>300.02</v>
      </c>
    </row>
    <row r="171" spans="1:26" ht="14.4">
      <c r="A171" s="38"/>
      <c r="B171" s="76"/>
      <c r="C171" s="76" t="s">
        <v>644</v>
      </c>
      <c r="D171" s="56"/>
      <c r="E171" s="10"/>
      <c r="F171" s="57">
        <f>Source!AO86</f>
        <v>11.01</v>
      </c>
      <c r="G171" s="58" t="str">
        <f>Source!DG86</f>
        <v>)*1,15</v>
      </c>
      <c r="H171" s="59">
        <f>ROUND(Source!AF86*Source!I86, 2)</f>
        <v>12.66</v>
      </c>
      <c r="I171" s="58"/>
      <c r="J171" s="58">
        <f>IF(Source!BA86&lt;&gt; 0, Source!BA86, 1)</f>
        <v>32.909999999999997</v>
      </c>
      <c r="K171" s="59">
        <f>Source!S86</f>
        <v>416.69</v>
      </c>
      <c r="L171" s="60"/>
      <c r="R171">
        <f>H171</f>
        <v>12.66</v>
      </c>
    </row>
    <row r="172" spans="1:26" ht="14.4">
      <c r="A172" s="38"/>
      <c r="B172" s="76"/>
      <c r="C172" s="76" t="s">
        <v>80</v>
      </c>
      <c r="D172" s="56"/>
      <c r="E172" s="10"/>
      <c r="F172" s="57">
        <f>Source!AM86</f>
        <v>2.87</v>
      </c>
      <c r="G172" s="58" t="str">
        <f>Source!DE86</f>
        <v>)*1,25</v>
      </c>
      <c r="H172" s="59">
        <f>ROUND(Source!AD86*Source!I86, 2)</f>
        <v>3.59</v>
      </c>
      <c r="I172" s="58"/>
      <c r="J172" s="58">
        <f>IF(Source!BB86&lt;&gt; 0, Source!BB86, 1)</f>
        <v>6.54</v>
      </c>
      <c r="K172" s="59">
        <f>Source!Q86</f>
        <v>23.46</v>
      </c>
      <c r="L172" s="60"/>
    </row>
    <row r="173" spans="1:26" ht="14.4">
      <c r="A173" s="38"/>
      <c r="B173" s="76"/>
      <c r="C173" s="76" t="s">
        <v>645</v>
      </c>
      <c r="D173" s="56"/>
      <c r="E173" s="10"/>
      <c r="F173" s="57">
        <f>Source!AL86</f>
        <v>0.68</v>
      </c>
      <c r="G173" s="58" t="str">
        <f>Source!DD86</f>
        <v/>
      </c>
      <c r="H173" s="59">
        <f>ROUND(Source!AC86*Source!I86, 2)</f>
        <v>0.68</v>
      </c>
      <c r="I173" s="58"/>
      <c r="J173" s="58">
        <f>IF(Source!BC86&lt;&gt; 0, Source!BC86, 1)</f>
        <v>9.2799999999999994</v>
      </c>
      <c r="K173" s="59">
        <f>Source!P86</f>
        <v>6.31</v>
      </c>
      <c r="L173" s="60"/>
    </row>
    <row r="174" spans="1:26" ht="14.4">
      <c r="A174" s="38"/>
      <c r="B174" s="76"/>
      <c r="C174" s="76" t="s">
        <v>648</v>
      </c>
      <c r="D174" s="56" t="s">
        <v>649</v>
      </c>
      <c r="E174" s="10">
        <f>Source!BZ86</f>
        <v>90</v>
      </c>
      <c r="F174" s="14" t="str">
        <f>CONCATENATE(" )", Source!DL86, Source!FT86, "=", Source!FX86)</f>
        <v xml:space="preserve"> )*0,9=81</v>
      </c>
      <c r="G174" s="23"/>
      <c r="H174" s="59">
        <f>SUM(S170:S177)</f>
        <v>10.25</v>
      </c>
      <c r="I174" s="71"/>
      <c r="J174" s="54">
        <f>Source!AT86</f>
        <v>81</v>
      </c>
      <c r="K174" s="59">
        <f>SUM(T170:T177)</f>
        <v>337.52</v>
      </c>
      <c r="L174" s="60"/>
    </row>
    <row r="175" spans="1:26" ht="14.4">
      <c r="A175" s="38"/>
      <c r="B175" s="76"/>
      <c r="C175" s="76" t="s">
        <v>650</v>
      </c>
      <c r="D175" s="56" t="s">
        <v>649</v>
      </c>
      <c r="E175" s="10">
        <f>Source!CA86</f>
        <v>85</v>
      </c>
      <c r="F175" s="14" t="str">
        <f>CONCATENATE(" )", Source!DM86, Source!FU86, "=", Source!FY86)</f>
        <v xml:space="preserve"> )*0,85=72,25</v>
      </c>
      <c r="G175" s="23"/>
      <c r="H175" s="59">
        <f>SUM(U170:U177)</f>
        <v>9.15</v>
      </c>
      <c r="I175" s="71"/>
      <c r="J175" s="54">
        <f>Source!AU86</f>
        <v>72</v>
      </c>
      <c r="K175" s="59">
        <f>SUM(V170:V177)</f>
        <v>300.02</v>
      </c>
      <c r="L175" s="60"/>
    </row>
    <row r="176" spans="1:26" ht="14.4">
      <c r="A176" s="38"/>
      <c r="B176" s="76"/>
      <c r="C176" s="76" t="s">
        <v>646</v>
      </c>
      <c r="D176" s="56" t="s">
        <v>647</v>
      </c>
      <c r="E176" s="10">
        <f>Source!AQ86</f>
        <v>1.1100000000000001</v>
      </c>
      <c r="F176" s="57"/>
      <c r="G176" s="58" t="str">
        <f>Source!DI86</f>
        <v>)*1,15</v>
      </c>
      <c r="H176" s="59"/>
      <c r="I176" s="58"/>
      <c r="J176" s="58"/>
      <c r="K176" s="59"/>
      <c r="L176" s="61">
        <f>Source!U86</f>
        <v>1.2765</v>
      </c>
    </row>
    <row r="177" spans="1:26" ht="41.4">
      <c r="A177" s="77" t="str">
        <f>Source!E87</f>
        <v>16,1</v>
      </c>
      <c r="B177" s="78" t="str">
        <f>Source!F87</f>
        <v>цена постовщика</v>
      </c>
      <c r="C177" s="78" t="str">
        <f>Source!G87</f>
        <v>доводчик дверной гидровлический (нагрузка 90кг)</v>
      </c>
      <c r="D177" s="62" t="str">
        <f>Source!H87</f>
        <v/>
      </c>
      <c r="E177" s="63">
        <f>Source!I87</f>
        <v>1</v>
      </c>
      <c r="F177" s="64">
        <f>Source!AL87+Source!AM87+Source!AO87</f>
        <v>2458.33</v>
      </c>
      <c r="G177" s="65" t="s">
        <v>3</v>
      </c>
      <c r="H177" s="66">
        <f>ROUND(Source!AC87*Source!I87, 2)+ROUND(Source!AD87*Source!I87, 2)+ROUND(Source!AF87*Source!I87, 2)</f>
        <v>2458.33</v>
      </c>
      <c r="I177" s="67"/>
      <c r="J177" s="67">
        <f>IF(Source!BC87&lt;&gt; 0, Source!BC87, 1)</f>
        <v>1</v>
      </c>
      <c r="K177" s="66">
        <f>Source!O87</f>
        <v>2458.33</v>
      </c>
      <c r="L177" s="68"/>
      <c r="S177">
        <f>ROUND((Source!FX87/100)*((ROUND(Source!AF87*Source!I87, 2)+ROUND(Source!AE87*Source!I87, 2))), 2)</f>
        <v>0</v>
      </c>
      <c r="T177">
        <f>Source!X87</f>
        <v>0</v>
      </c>
      <c r="U177">
        <f>ROUND((Source!FY87/100)*((ROUND(Source!AF87*Source!I87, 2)+ROUND(Source!AE87*Source!I87, 2))), 2)</f>
        <v>0</v>
      </c>
      <c r="V177">
        <f>Source!Y87</f>
        <v>0</v>
      </c>
      <c r="W177">
        <f>IF(Source!BI87&lt;=1,H177, 0)</f>
        <v>2458.33</v>
      </c>
      <c r="X177">
        <f>IF(Source!BI87=2,H177, 0)</f>
        <v>0</v>
      </c>
      <c r="Y177">
        <f>IF(Source!BI87=3,H177, 0)</f>
        <v>0</v>
      </c>
      <c r="Z177">
        <f>IF(Source!BI87=4,H177, 0)</f>
        <v>0</v>
      </c>
    </row>
    <row r="178" spans="1:26" ht="13.8">
      <c r="G178" s="69">
        <f>H171+H172+H173+H174+H175+SUM(H177:H177)</f>
        <v>2494.66</v>
      </c>
      <c r="H178" s="69"/>
      <c r="J178" s="69">
        <f>K171+K172+K173+K174+K175+SUM(K177:K177)</f>
        <v>3542.33</v>
      </c>
      <c r="K178" s="69"/>
      <c r="L178" s="70">
        <f>Source!U86</f>
        <v>1.2765</v>
      </c>
      <c r="O178" s="47">
        <f>G178</f>
        <v>2494.66</v>
      </c>
      <c r="P178" s="47">
        <f>J178</f>
        <v>3542.33</v>
      </c>
      <c r="Q178" s="47">
        <f>L178</f>
        <v>1.2765</v>
      </c>
      <c r="W178">
        <f>IF(Source!BI86&lt;=1,H171+H172+H173+H174+H175, 0)</f>
        <v>36.33</v>
      </c>
      <c r="X178">
        <f>IF(Source!BI86=2,H171+H172+H173+H174+H175, 0)</f>
        <v>0</v>
      </c>
      <c r="Y178">
        <f>IF(Source!BI86=3,H171+H172+H173+H174+H175, 0)</f>
        <v>0</v>
      </c>
      <c r="Z178">
        <f>IF(Source!BI86=4,H171+H172+H173+H174+H175, 0)</f>
        <v>0</v>
      </c>
    </row>
    <row r="179" spans="1:26" ht="80.400000000000006">
      <c r="A179" s="38" t="str">
        <f>Source!E88</f>
        <v>21</v>
      </c>
      <c r="B179" s="76" t="s">
        <v>657</v>
      </c>
      <c r="C179" s="76" t="str">
        <f>Source!G88</f>
        <v>Установка блоков из ПВХ в наружных и внутренних дверных проемах в перегородках и деревянных нерубленных стенах площадью проема до 3 м2</v>
      </c>
      <c r="D179" s="56" t="str">
        <f>Source!H88</f>
        <v>100 м2 проемов</v>
      </c>
      <c r="E179" s="10">
        <f>Source!I88</f>
        <v>0.03</v>
      </c>
      <c r="F179" s="57">
        <f>Source!AL88+Source!AM88+Source!AO88</f>
        <v>160289.33000000002</v>
      </c>
      <c r="G179" s="58"/>
      <c r="H179" s="59"/>
      <c r="I179" s="58" t="str">
        <f>Source!BO88</f>
        <v>10-01-047-4</v>
      </c>
      <c r="J179" s="58"/>
      <c r="K179" s="59"/>
      <c r="L179" s="60"/>
      <c r="S179">
        <f>ROUND((Source!FX88/100)*((ROUND(Source!AF88*Source!I88, 2)+ROUND(Source!AE88*Source!I88, 2))), 2)</f>
        <v>51.38</v>
      </c>
      <c r="T179">
        <f>Source!X88</f>
        <v>1687.7</v>
      </c>
      <c r="U179">
        <f>ROUND((Source!FY88/100)*((ROUND(Source!AF88*Source!I88, 2)+ROUND(Source!AE88*Source!I88, 2))), 2)</f>
        <v>25.91</v>
      </c>
      <c r="V179">
        <f>Source!Y88</f>
        <v>859.77</v>
      </c>
    </row>
    <row r="180" spans="1:26">
      <c r="C180" s="49" t="str">
        <f>"Объем: "&amp;Source!I88&amp;"=3/"&amp;"100"</f>
        <v>Объем: 0,03=3/100</v>
      </c>
    </row>
    <row r="181" spans="1:26" ht="14.4">
      <c r="A181" s="38"/>
      <c r="B181" s="76"/>
      <c r="C181" s="76" t="s">
        <v>644</v>
      </c>
      <c r="D181" s="56"/>
      <c r="E181" s="10"/>
      <c r="F181" s="57">
        <f>Source!AO88</f>
        <v>1386.89</v>
      </c>
      <c r="G181" s="58" t="str">
        <f>Source!DG88</f>
        <v>)*1,15</v>
      </c>
      <c r="H181" s="59">
        <f>ROUND(Source!AF88*Source!I88, 2)</f>
        <v>47.85</v>
      </c>
      <c r="I181" s="58"/>
      <c r="J181" s="58">
        <f>IF(Source!BA88&lt;&gt; 0, Source!BA88, 1)</f>
        <v>32.909999999999997</v>
      </c>
      <c r="K181" s="59">
        <f>Source!S88</f>
        <v>1574.67</v>
      </c>
      <c r="L181" s="60"/>
      <c r="R181">
        <f>H181</f>
        <v>47.85</v>
      </c>
    </row>
    <row r="182" spans="1:26" ht="14.4">
      <c r="A182" s="38"/>
      <c r="B182" s="76"/>
      <c r="C182" s="76" t="s">
        <v>80</v>
      </c>
      <c r="D182" s="56"/>
      <c r="E182" s="10"/>
      <c r="F182" s="57">
        <f>Source!AM88</f>
        <v>526.55999999999995</v>
      </c>
      <c r="G182" s="58" t="str">
        <f>Source!DE88</f>
        <v>)*1,25</v>
      </c>
      <c r="H182" s="59">
        <f>ROUND(Source!AD88*Source!I88, 2)</f>
        <v>19.75</v>
      </c>
      <c r="I182" s="58"/>
      <c r="J182" s="58">
        <f>IF(Source!BB88&lt;&gt; 0, Source!BB88, 1)</f>
        <v>8.49</v>
      </c>
      <c r="K182" s="59">
        <f>Source!Q88</f>
        <v>167.64</v>
      </c>
      <c r="L182" s="60"/>
    </row>
    <row r="183" spans="1:26" ht="14.4">
      <c r="A183" s="38"/>
      <c r="B183" s="76"/>
      <c r="C183" s="76" t="s">
        <v>651</v>
      </c>
      <c r="D183" s="56"/>
      <c r="E183" s="10"/>
      <c r="F183" s="57">
        <f>Source!AN88</f>
        <v>14.18</v>
      </c>
      <c r="G183" s="58" t="str">
        <f>Source!DF88</f>
        <v>)*1,25</v>
      </c>
      <c r="H183" s="73">
        <f>ROUND(Source!AE88*Source!I88, 2)</f>
        <v>0.53</v>
      </c>
      <c r="I183" s="58"/>
      <c r="J183" s="58">
        <f>IF(Source!BS88&lt;&gt; 0, Source!BS88, 1)</f>
        <v>32.909999999999997</v>
      </c>
      <c r="K183" s="73">
        <f>Source!R88</f>
        <v>17.5</v>
      </c>
      <c r="L183" s="60"/>
      <c r="R183">
        <f>H183</f>
        <v>0.53</v>
      </c>
    </row>
    <row r="184" spans="1:26" ht="14.4">
      <c r="A184" s="38"/>
      <c r="B184" s="76"/>
      <c r="C184" s="76" t="s">
        <v>645</v>
      </c>
      <c r="D184" s="56"/>
      <c r="E184" s="10"/>
      <c r="F184" s="57">
        <f>Source!AL88</f>
        <v>158375.88</v>
      </c>
      <c r="G184" s="58" t="str">
        <f>Source!DD88</f>
        <v/>
      </c>
      <c r="H184" s="59">
        <f>ROUND(Source!AC88*Source!I88, 2)</f>
        <v>4751.28</v>
      </c>
      <c r="I184" s="58"/>
      <c r="J184" s="58">
        <f>IF(Source!BC88&lt;&gt; 0, Source!BC88, 1)</f>
        <v>5.56</v>
      </c>
      <c r="K184" s="59">
        <f>Source!P88</f>
        <v>26417.1</v>
      </c>
      <c r="L184" s="60"/>
    </row>
    <row r="185" spans="1:26" ht="14.4">
      <c r="A185" s="38"/>
      <c r="B185" s="76"/>
      <c r="C185" s="76" t="s">
        <v>648</v>
      </c>
      <c r="D185" s="56" t="s">
        <v>649</v>
      </c>
      <c r="E185" s="10">
        <f>Source!BZ88</f>
        <v>118</v>
      </c>
      <c r="F185" s="14" t="str">
        <f>CONCATENATE(" )", Source!DL88, Source!FT88, "=", Source!FX88)</f>
        <v xml:space="preserve"> )*0,9=106,2</v>
      </c>
      <c r="G185" s="23"/>
      <c r="H185" s="59">
        <f>SUM(S179:S189)</f>
        <v>51.38</v>
      </c>
      <c r="I185" s="71"/>
      <c r="J185" s="54">
        <f>Source!AT88</f>
        <v>106</v>
      </c>
      <c r="K185" s="59">
        <f>SUM(T179:T189)</f>
        <v>1687.7</v>
      </c>
      <c r="L185" s="60"/>
    </row>
    <row r="186" spans="1:26" ht="14.4">
      <c r="A186" s="38"/>
      <c r="B186" s="76"/>
      <c r="C186" s="76" t="s">
        <v>650</v>
      </c>
      <c r="D186" s="56" t="s">
        <v>649</v>
      </c>
      <c r="E186" s="10">
        <f>Source!CA88</f>
        <v>63</v>
      </c>
      <c r="F186" s="14" t="str">
        <f>CONCATENATE(" )", Source!DM88, Source!FU88, "=", Source!FY88)</f>
        <v xml:space="preserve"> )*0,85=53,55</v>
      </c>
      <c r="G186" s="23"/>
      <c r="H186" s="59">
        <f>SUM(U179:U189)</f>
        <v>25.91</v>
      </c>
      <c r="I186" s="71"/>
      <c r="J186" s="54">
        <f>Source!AU88</f>
        <v>54</v>
      </c>
      <c r="K186" s="59">
        <f>SUM(V179:V189)</f>
        <v>859.77</v>
      </c>
      <c r="L186" s="60"/>
    </row>
    <row r="187" spans="1:26" ht="14.4">
      <c r="A187" s="38"/>
      <c r="B187" s="76"/>
      <c r="C187" s="76" t="s">
        <v>646</v>
      </c>
      <c r="D187" s="56" t="s">
        <v>647</v>
      </c>
      <c r="E187" s="10">
        <f>Source!AQ88</f>
        <v>160.52000000000001</v>
      </c>
      <c r="F187" s="57"/>
      <c r="G187" s="58" t="str">
        <f>Source!DI88</f>
        <v>)*1,15</v>
      </c>
      <c r="H187" s="59"/>
      <c r="I187" s="58"/>
      <c r="J187" s="58"/>
      <c r="K187" s="59"/>
      <c r="L187" s="61">
        <f>Source!U88</f>
        <v>5.537939999999999</v>
      </c>
    </row>
    <row r="188" spans="1:26" ht="41.4">
      <c r="A188" s="38" t="str">
        <f>Source!E89</f>
        <v>21,1</v>
      </c>
      <c r="B188" s="76" t="str">
        <f>Source!F89</f>
        <v>203-8084</v>
      </c>
      <c r="C188" s="76" t="str">
        <f>Source!G89</f>
        <v>Блоки дверные наружные или тамбурные с заполнением стеклопакетами (ГОСТ 30970-2002)</v>
      </c>
      <c r="D188" s="56" t="str">
        <f>Source!H89</f>
        <v>м2</v>
      </c>
      <c r="E188" s="10">
        <f>Source!I89</f>
        <v>-3</v>
      </c>
      <c r="F188" s="57">
        <f>Source!AL89+Source!AM89+Source!AO89</f>
        <v>1533.73</v>
      </c>
      <c r="G188" s="75" t="s">
        <v>3</v>
      </c>
      <c r="H188" s="59">
        <f>ROUND(Source!AC89*Source!I89, 2)+ROUND(Source!AD89*Source!I89, 2)+ROUND(Source!AF89*Source!I89, 2)</f>
        <v>-4601.1899999999996</v>
      </c>
      <c r="I188" s="58"/>
      <c r="J188" s="58">
        <f>IF(Source!BC89&lt;&gt; 0, Source!BC89, 1)</f>
        <v>5.59</v>
      </c>
      <c r="K188" s="59">
        <f>Source!O89</f>
        <v>-25720.65</v>
      </c>
      <c r="L188" s="60"/>
      <c r="S188">
        <f>ROUND((Source!FX89/100)*((ROUND(Source!AF89*Source!I89, 2)+ROUND(Source!AE89*Source!I89, 2))), 2)</f>
        <v>0</v>
      </c>
      <c r="T188">
        <f>Source!X89</f>
        <v>0</v>
      </c>
      <c r="U188">
        <f>ROUND((Source!FY89/100)*((ROUND(Source!AF89*Source!I89, 2)+ROUND(Source!AE89*Source!I89, 2))), 2)</f>
        <v>0</v>
      </c>
      <c r="V188">
        <f>Source!Y89</f>
        <v>0</v>
      </c>
      <c r="W188">
        <f>IF(Source!BI89&lt;=1,H188, 0)</f>
        <v>-4601.1899999999996</v>
      </c>
      <c r="X188">
        <f>IF(Source!BI89=2,H188, 0)</f>
        <v>0</v>
      </c>
      <c r="Y188">
        <f>IF(Source!BI89=3,H188, 0)</f>
        <v>0</v>
      </c>
      <c r="Z188">
        <f>IF(Source!BI89=4,H188, 0)</f>
        <v>0</v>
      </c>
    </row>
    <row r="189" spans="1:26" ht="41.4">
      <c r="A189" s="77" t="str">
        <f>Source!E90</f>
        <v>21,2</v>
      </c>
      <c r="B189" s="78" t="str">
        <f>Source!F90</f>
        <v>цена постовщика</v>
      </c>
      <c r="C189" s="78" t="str">
        <f>Source!G90</f>
        <v>блоки двернык пвх</v>
      </c>
      <c r="D189" s="62" t="str">
        <f>Source!H90</f>
        <v/>
      </c>
      <c r="E189" s="63">
        <f>Source!I90</f>
        <v>1</v>
      </c>
      <c r="F189" s="64">
        <f>Source!AL90+Source!AM90+Source!AO90</f>
        <v>50000</v>
      </c>
      <c r="G189" s="65" t="s">
        <v>3</v>
      </c>
      <c r="H189" s="66">
        <f>ROUND(Source!AC90*Source!I90, 2)+ROUND(Source!AD90*Source!I90, 2)+ROUND(Source!AF90*Source!I90, 2)</f>
        <v>50000</v>
      </c>
      <c r="I189" s="67"/>
      <c r="J189" s="67">
        <f>IF(Source!BC90&lt;&gt; 0, Source!BC90, 1)</f>
        <v>1</v>
      </c>
      <c r="K189" s="66">
        <f>Source!O90</f>
        <v>50000</v>
      </c>
      <c r="L189" s="68"/>
      <c r="S189">
        <f>ROUND((Source!FX90/100)*((ROUND(Source!AF90*Source!I90, 2)+ROUND(Source!AE90*Source!I90, 2))), 2)</f>
        <v>0</v>
      </c>
      <c r="T189">
        <f>Source!X90</f>
        <v>0</v>
      </c>
      <c r="U189">
        <f>ROUND((Source!FY90/100)*((ROUND(Source!AF90*Source!I90, 2)+ROUND(Source!AE90*Source!I90, 2))), 2)</f>
        <v>0</v>
      </c>
      <c r="V189">
        <f>Source!Y90</f>
        <v>0</v>
      </c>
      <c r="W189">
        <f>IF(Source!BI90&lt;=1,H189, 0)</f>
        <v>50000</v>
      </c>
      <c r="X189">
        <f>IF(Source!BI90=2,H189, 0)</f>
        <v>0</v>
      </c>
      <c r="Y189">
        <f>IF(Source!BI90=3,H189, 0)</f>
        <v>0</v>
      </c>
      <c r="Z189">
        <f>IF(Source!BI90=4,H189, 0)</f>
        <v>0</v>
      </c>
    </row>
    <row r="190" spans="1:26" ht="13.8">
      <c r="G190" s="69">
        <f>H181+H182+H184+H185+H186+SUM(H188:H189)</f>
        <v>50294.979999999996</v>
      </c>
      <c r="H190" s="69"/>
      <c r="J190" s="69">
        <f>K181+K182+K184+K185+K186+SUM(K188:K189)</f>
        <v>54986.229999999996</v>
      </c>
      <c r="K190" s="69"/>
      <c r="L190" s="70">
        <f>Source!U88</f>
        <v>5.537939999999999</v>
      </c>
      <c r="O190" s="47">
        <f>G190</f>
        <v>50294.979999999996</v>
      </c>
      <c r="P190" s="47">
        <f>J190</f>
        <v>54986.229999999996</v>
      </c>
      <c r="Q190" s="47">
        <f>L190</f>
        <v>5.537939999999999</v>
      </c>
      <c r="W190">
        <f>IF(Source!BI88&lt;=1,H181+H182+H184+H185+H186, 0)</f>
        <v>4896.17</v>
      </c>
      <c r="X190">
        <f>IF(Source!BI88=2,H181+H182+H184+H185+H186, 0)</f>
        <v>0</v>
      </c>
      <c r="Y190">
        <f>IF(Source!BI88=3,H181+H182+H184+H185+H186, 0)</f>
        <v>0</v>
      </c>
      <c r="Z190">
        <f>IF(Source!BI88=4,H181+H182+H184+H185+H186, 0)</f>
        <v>0</v>
      </c>
    </row>
    <row r="191" spans="1:26" ht="86.4">
      <c r="A191" s="38" t="str">
        <f>Source!E91</f>
        <v>22</v>
      </c>
      <c r="B191" s="76" t="s">
        <v>658</v>
      </c>
      <c r="C191" s="76" t="str">
        <f>Source!G91</f>
        <v>Штукатурка поверхностей оконных и дверных откосов по бетону и камню плоских</v>
      </c>
      <c r="D191" s="56" t="str">
        <f>Source!H91</f>
        <v>100 м2 оштукатуриваемой поверхности</v>
      </c>
      <c r="E191" s="10">
        <f>Source!I91</f>
        <v>6.2E-2</v>
      </c>
      <c r="F191" s="57">
        <f>Source!AL91+Source!AM91+Source!AO91</f>
        <v>4065.16</v>
      </c>
      <c r="G191" s="58"/>
      <c r="H191" s="59"/>
      <c r="I191" s="58" t="str">
        <f>Source!BO91</f>
        <v>15-02-031-1</v>
      </c>
      <c r="J191" s="58"/>
      <c r="K191" s="59"/>
      <c r="L191" s="60"/>
      <c r="S191">
        <f>ROUND((Source!FX91/100)*((ROUND(Source!AF91*Source!I91, 2)+ROUND(Source!AE91*Source!I91, 2))), 2)</f>
        <v>129.77000000000001</v>
      </c>
      <c r="T191">
        <f>Source!X91</f>
        <v>4293.24</v>
      </c>
      <c r="U191">
        <f>ROUND((Source!FY91/100)*((ROUND(Source!AF91*Source!I91, 2)+ROUND(Source!AE91*Source!I91, 2))), 2)</f>
        <v>64.2</v>
      </c>
      <c r="V191">
        <f>Source!Y91</f>
        <v>2124.02</v>
      </c>
    </row>
    <row r="192" spans="1:26">
      <c r="C192" s="49" t="str">
        <f>"Объем: "&amp;Source!I91&amp;"=6,2/"&amp;"100"</f>
        <v>Объем: 0,062=6,2/100</v>
      </c>
    </row>
    <row r="193" spans="1:26" ht="14.4">
      <c r="A193" s="38"/>
      <c r="B193" s="76"/>
      <c r="C193" s="76" t="s">
        <v>644</v>
      </c>
      <c r="D193" s="56"/>
      <c r="E193" s="10"/>
      <c r="F193" s="57">
        <f>Source!AO91</f>
        <v>1895.72</v>
      </c>
      <c r="G193" s="58" t="str">
        <f>Source!DG91</f>
        <v>)*1,15</v>
      </c>
      <c r="H193" s="59">
        <f>ROUND(Source!AF91*Source!I91, 2)</f>
        <v>135.16</v>
      </c>
      <c r="I193" s="58"/>
      <c r="J193" s="58">
        <f>IF(Source!BA91&lt;&gt; 0, Source!BA91, 1)</f>
        <v>32.909999999999997</v>
      </c>
      <c r="K193" s="59">
        <f>Source!S91</f>
        <v>4448.2700000000004</v>
      </c>
      <c r="L193" s="60"/>
      <c r="R193">
        <f>H193</f>
        <v>135.16</v>
      </c>
    </row>
    <row r="194" spans="1:26" ht="14.4">
      <c r="A194" s="38"/>
      <c r="B194" s="76"/>
      <c r="C194" s="76" t="s">
        <v>80</v>
      </c>
      <c r="D194" s="56"/>
      <c r="E194" s="10"/>
      <c r="F194" s="57">
        <f>Source!AM91</f>
        <v>64.400000000000006</v>
      </c>
      <c r="G194" s="58" t="str">
        <f>Source!DE91</f>
        <v>)*1,25</v>
      </c>
      <c r="H194" s="59">
        <f>ROUND(Source!AD91*Source!I91, 2)</f>
        <v>4.99</v>
      </c>
      <c r="I194" s="58"/>
      <c r="J194" s="58">
        <f>IF(Source!BB91&lt;&gt; 0, Source!BB91, 1)</f>
        <v>14.45</v>
      </c>
      <c r="K194" s="59">
        <f>Source!Q91</f>
        <v>72.12</v>
      </c>
      <c r="L194" s="60"/>
    </row>
    <row r="195" spans="1:26" ht="14.4">
      <c r="A195" s="38"/>
      <c r="B195" s="76"/>
      <c r="C195" s="76" t="s">
        <v>651</v>
      </c>
      <c r="D195" s="56"/>
      <c r="E195" s="10"/>
      <c r="F195" s="57">
        <f>Source!AN91</f>
        <v>27.81</v>
      </c>
      <c r="G195" s="58" t="str">
        <f>Source!DF91</f>
        <v>)*1,25</v>
      </c>
      <c r="H195" s="73">
        <f>ROUND(Source!AE91*Source!I91, 2)</f>
        <v>2.16</v>
      </c>
      <c r="I195" s="58"/>
      <c r="J195" s="58">
        <f>IF(Source!BS91&lt;&gt; 0, Source!BS91, 1)</f>
        <v>32.909999999999997</v>
      </c>
      <c r="K195" s="73">
        <f>Source!R91</f>
        <v>70.930000000000007</v>
      </c>
      <c r="L195" s="60"/>
      <c r="R195">
        <f>H195</f>
        <v>2.16</v>
      </c>
    </row>
    <row r="196" spans="1:26" ht="14.4">
      <c r="A196" s="38"/>
      <c r="B196" s="76"/>
      <c r="C196" s="76" t="s">
        <v>645</v>
      </c>
      <c r="D196" s="56"/>
      <c r="E196" s="10"/>
      <c r="F196" s="57">
        <f>Source!AL91</f>
        <v>2105.04</v>
      </c>
      <c r="G196" s="58" t="str">
        <f>Source!DD91</f>
        <v/>
      </c>
      <c r="H196" s="59">
        <f>ROUND(Source!AC91*Source!I91, 2)</f>
        <v>130.51</v>
      </c>
      <c r="I196" s="58"/>
      <c r="J196" s="58">
        <f>IF(Source!BC91&lt;&gt; 0, Source!BC91, 1)</f>
        <v>7.27</v>
      </c>
      <c r="K196" s="59">
        <f>Source!P91</f>
        <v>948.83</v>
      </c>
      <c r="L196" s="60"/>
    </row>
    <row r="197" spans="1:26" ht="14.4">
      <c r="A197" s="38"/>
      <c r="B197" s="76"/>
      <c r="C197" s="76" t="s">
        <v>648</v>
      </c>
      <c r="D197" s="56" t="s">
        <v>649</v>
      </c>
      <c r="E197" s="10">
        <f>Source!BZ91</f>
        <v>105</v>
      </c>
      <c r="F197" s="14" t="str">
        <f>CONCATENATE(" )", Source!DL91, Source!FT91, "=", Source!FX91)</f>
        <v xml:space="preserve"> )*0,9=94,5</v>
      </c>
      <c r="G197" s="23"/>
      <c r="H197" s="59">
        <f>SUM(S191:S199)</f>
        <v>129.77000000000001</v>
      </c>
      <c r="I197" s="71"/>
      <c r="J197" s="54">
        <f>Source!AT91</f>
        <v>95</v>
      </c>
      <c r="K197" s="59">
        <f>SUM(T191:T199)</f>
        <v>4293.24</v>
      </c>
      <c r="L197" s="60"/>
    </row>
    <row r="198" spans="1:26" ht="14.4">
      <c r="A198" s="38"/>
      <c r="B198" s="76"/>
      <c r="C198" s="76" t="s">
        <v>650</v>
      </c>
      <c r="D198" s="56" t="s">
        <v>649</v>
      </c>
      <c r="E198" s="10">
        <f>Source!CA91</f>
        <v>55</v>
      </c>
      <c r="F198" s="14" t="str">
        <f>CONCATENATE(" )", Source!DM91, Source!FU91, "=", Source!FY91)</f>
        <v xml:space="preserve"> )*0,85=46,75</v>
      </c>
      <c r="G198" s="23"/>
      <c r="H198" s="59">
        <f>SUM(U191:U199)</f>
        <v>64.2</v>
      </c>
      <c r="I198" s="71"/>
      <c r="J198" s="54">
        <f>Source!AU91</f>
        <v>47</v>
      </c>
      <c r="K198" s="59">
        <f>SUM(V191:V199)</f>
        <v>2124.02</v>
      </c>
      <c r="L198" s="60"/>
    </row>
    <row r="199" spans="1:26" ht="14.4">
      <c r="A199" s="77"/>
      <c r="B199" s="78"/>
      <c r="C199" s="78" t="s">
        <v>646</v>
      </c>
      <c r="D199" s="62" t="s">
        <v>647</v>
      </c>
      <c r="E199" s="63">
        <f>Source!AQ91</f>
        <v>204.06</v>
      </c>
      <c r="F199" s="64"/>
      <c r="G199" s="67" t="str">
        <f>Source!DI91</f>
        <v>)*1,15</v>
      </c>
      <c r="H199" s="66"/>
      <c r="I199" s="67"/>
      <c r="J199" s="67"/>
      <c r="K199" s="66"/>
      <c r="L199" s="72">
        <f>Source!U91</f>
        <v>14.549477999999999</v>
      </c>
    </row>
    <row r="200" spans="1:26" ht="13.8">
      <c r="G200" s="69">
        <f>H193+H194+H196+H197+H198</f>
        <v>464.62999999999994</v>
      </c>
      <c r="H200" s="69"/>
      <c r="J200" s="69">
        <f>K193+K194+K196+K197+K198</f>
        <v>11886.48</v>
      </c>
      <c r="K200" s="69"/>
      <c r="L200" s="70">
        <f>Source!U91</f>
        <v>14.549477999999999</v>
      </c>
      <c r="O200" s="47">
        <f>G200</f>
        <v>464.62999999999994</v>
      </c>
      <c r="P200" s="47">
        <f>J200</f>
        <v>11886.48</v>
      </c>
      <c r="Q200" s="47">
        <f>L200</f>
        <v>14.549477999999999</v>
      </c>
      <c r="W200">
        <f>IF(Source!BI91&lt;=1,H193+H194+H196+H197+H198, 0)</f>
        <v>464.62999999999994</v>
      </c>
      <c r="X200">
        <f>IF(Source!BI91=2,H193+H194+H196+H197+H198, 0)</f>
        <v>0</v>
      </c>
      <c r="Y200">
        <f>IF(Source!BI91=3,H193+H194+H196+H197+H198, 0)</f>
        <v>0</v>
      </c>
      <c r="Z200">
        <f>IF(Source!BI91=4,H193+H194+H196+H197+H198, 0)</f>
        <v>0</v>
      </c>
    </row>
    <row r="201" spans="1:26" ht="80.400000000000006">
      <c r="A201" s="38" t="str">
        <f>Source!E92</f>
        <v>23</v>
      </c>
      <c r="B201" s="76" t="s">
        <v>659</v>
      </c>
      <c r="C201" s="76" t="str">
        <f>Source!G92</f>
        <v>Окраска водно-дисперсионными акриловыми составами улучшенная по штукатурке стен</v>
      </c>
      <c r="D201" s="56" t="str">
        <f>Source!H92</f>
        <v>100 м2 окрашиваемой поверхности</v>
      </c>
      <c r="E201" s="10">
        <f>Source!I92</f>
        <v>6.2E-2</v>
      </c>
      <c r="F201" s="57">
        <f>Source!AL92+Source!AM92+Source!AO92</f>
        <v>1507.6200000000001</v>
      </c>
      <c r="G201" s="58"/>
      <c r="H201" s="59"/>
      <c r="I201" s="58" t="str">
        <f>Source!BO92</f>
        <v>15-04-007-1</v>
      </c>
      <c r="J201" s="58"/>
      <c r="K201" s="59"/>
      <c r="L201" s="60"/>
      <c r="S201">
        <f>ROUND((Source!FX92/100)*((ROUND(Source!AF92*Source!I92, 2)+ROUND(Source!AE92*Source!I92, 2))), 2)</f>
        <v>25.67</v>
      </c>
      <c r="T201">
        <f>Source!X92</f>
        <v>849.22</v>
      </c>
      <c r="U201">
        <f>ROUND((Source!FY92/100)*((ROUND(Source!AF92*Source!I92, 2)+ROUND(Source!AE92*Source!I92, 2))), 2)</f>
        <v>12.7</v>
      </c>
      <c r="V201">
        <f>Source!Y92</f>
        <v>420.14</v>
      </c>
    </row>
    <row r="202" spans="1:26">
      <c r="C202" s="49" t="str">
        <f>"Объем: "&amp;Source!I92&amp;"=6,2/"&amp;"100"</f>
        <v>Объем: 0,062=6,2/100</v>
      </c>
    </row>
    <row r="203" spans="1:26" ht="14.4">
      <c r="A203" s="38"/>
      <c r="B203" s="76"/>
      <c r="C203" s="76" t="s">
        <v>644</v>
      </c>
      <c r="D203" s="56"/>
      <c r="E203" s="10"/>
      <c r="F203" s="57">
        <f>Source!AO92</f>
        <v>380.71</v>
      </c>
      <c r="G203" s="58" t="str">
        <f>Source!DG92</f>
        <v>)*1,15</v>
      </c>
      <c r="H203" s="59">
        <f>ROUND(Source!AF92*Source!I92, 2)</f>
        <v>27.14</v>
      </c>
      <c r="I203" s="58"/>
      <c r="J203" s="58">
        <f>IF(Source!BA92&lt;&gt; 0, Source!BA92, 1)</f>
        <v>32.909999999999997</v>
      </c>
      <c r="K203" s="59">
        <f>Source!S92</f>
        <v>893.33</v>
      </c>
      <c r="L203" s="60"/>
      <c r="R203">
        <f>H203</f>
        <v>27.14</v>
      </c>
    </row>
    <row r="204" spans="1:26" ht="14.4">
      <c r="A204" s="38"/>
      <c r="B204" s="76"/>
      <c r="C204" s="76" t="s">
        <v>80</v>
      </c>
      <c r="D204" s="56"/>
      <c r="E204" s="10"/>
      <c r="F204" s="57">
        <f>Source!AM92</f>
        <v>13.63</v>
      </c>
      <c r="G204" s="58" t="str">
        <f>Source!DE92</f>
        <v>)*1,25</v>
      </c>
      <c r="H204" s="59">
        <f>ROUND(Source!AD92*Source!I92, 2)</f>
        <v>1.06</v>
      </c>
      <c r="I204" s="58"/>
      <c r="J204" s="58">
        <f>IF(Source!BB92&lt;&gt; 0, Source!BB92, 1)</f>
        <v>10.72</v>
      </c>
      <c r="K204" s="59">
        <f>Source!Q92</f>
        <v>11.32</v>
      </c>
      <c r="L204" s="60"/>
    </row>
    <row r="205" spans="1:26" ht="14.4">
      <c r="A205" s="38"/>
      <c r="B205" s="76"/>
      <c r="C205" s="76" t="s">
        <v>651</v>
      </c>
      <c r="D205" s="56"/>
      <c r="E205" s="10"/>
      <c r="F205" s="57">
        <f>Source!AN92</f>
        <v>0.23</v>
      </c>
      <c r="G205" s="58" t="str">
        <f>Source!DF92</f>
        <v>)*1,25</v>
      </c>
      <c r="H205" s="73">
        <f>ROUND(Source!AE92*Source!I92, 2)</f>
        <v>0.02</v>
      </c>
      <c r="I205" s="58"/>
      <c r="J205" s="58">
        <f>IF(Source!BS92&lt;&gt; 0, Source!BS92, 1)</f>
        <v>32.909999999999997</v>
      </c>
      <c r="K205" s="73">
        <f>Source!R92</f>
        <v>0.59</v>
      </c>
      <c r="L205" s="60"/>
      <c r="R205">
        <f>H205</f>
        <v>0.02</v>
      </c>
    </row>
    <row r="206" spans="1:26" ht="14.4">
      <c r="A206" s="38"/>
      <c r="B206" s="76"/>
      <c r="C206" s="76" t="s">
        <v>645</v>
      </c>
      <c r="D206" s="56"/>
      <c r="E206" s="10"/>
      <c r="F206" s="57">
        <f>Source!AL92</f>
        <v>1113.28</v>
      </c>
      <c r="G206" s="58" t="str">
        <f>Source!DD92</f>
        <v/>
      </c>
      <c r="H206" s="59">
        <f>ROUND(Source!AC92*Source!I92, 2)</f>
        <v>69.02</v>
      </c>
      <c r="I206" s="58"/>
      <c r="J206" s="58">
        <f>IF(Source!BC92&lt;&gt; 0, Source!BC92, 1)</f>
        <v>5.39</v>
      </c>
      <c r="K206" s="59">
        <f>Source!P92</f>
        <v>372.04</v>
      </c>
      <c r="L206" s="60"/>
    </row>
    <row r="207" spans="1:26" ht="14.4">
      <c r="A207" s="38"/>
      <c r="B207" s="76"/>
      <c r="C207" s="76" t="s">
        <v>648</v>
      </c>
      <c r="D207" s="56" t="s">
        <v>649</v>
      </c>
      <c r="E207" s="10">
        <f>Source!BZ92</f>
        <v>105</v>
      </c>
      <c r="F207" s="14" t="str">
        <f>CONCATENATE(" )", Source!DL92, Source!FT92, "=", Source!FX92)</f>
        <v xml:space="preserve"> )*0,9=94,5</v>
      </c>
      <c r="G207" s="23"/>
      <c r="H207" s="59">
        <f>SUM(S201:S209)</f>
        <v>25.67</v>
      </c>
      <c r="I207" s="71"/>
      <c r="J207" s="54">
        <f>Source!AT92</f>
        <v>95</v>
      </c>
      <c r="K207" s="59">
        <f>SUM(T201:T209)</f>
        <v>849.22</v>
      </c>
      <c r="L207" s="60"/>
    </row>
    <row r="208" spans="1:26" ht="14.4">
      <c r="A208" s="38"/>
      <c r="B208" s="76"/>
      <c r="C208" s="76" t="s">
        <v>650</v>
      </c>
      <c r="D208" s="56" t="s">
        <v>649</v>
      </c>
      <c r="E208" s="10">
        <f>Source!CA92</f>
        <v>55</v>
      </c>
      <c r="F208" s="14" t="str">
        <f>CONCATENATE(" )", Source!DM92, Source!FU92, "=", Source!FY92)</f>
        <v xml:space="preserve"> )*0,85=46,75</v>
      </c>
      <c r="G208" s="23"/>
      <c r="H208" s="59">
        <f>SUM(U201:U209)</f>
        <v>12.7</v>
      </c>
      <c r="I208" s="71"/>
      <c r="J208" s="54">
        <f>Source!AU92</f>
        <v>47</v>
      </c>
      <c r="K208" s="59">
        <f>SUM(V201:V209)</f>
        <v>420.14</v>
      </c>
      <c r="L208" s="60"/>
    </row>
    <row r="209" spans="1:26" ht="14.4">
      <c r="A209" s="77"/>
      <c r="B209" s="78"/>
      <c r="C209" s="78" t="s">
        <v>646</v>
      </c>
      <c r="D209" s="62" t="s">
        <v>647</v>
      </c>
      <c r="E209" s="63">
        <f>Source!AQ92</f>
        <v>43.56</v>
      </c>
      <c r="F209" s="64"/>
      <c r="G209" s="67" t="str">
        <f>Source!DI92</f>
        <v>)*1,15</v>
      </c>
      <c r="H209" s="66"/>
      <c r="I209" s="67"/>
      <c r="J209" s="67"/>
      <c r="K209" s="66"/>
      <c r="L209" s="72">
        <f>Source!U92</f>
        <v>3.1058280000000003</v>
      </c>
    </row>
    <row r="210" spans="1:26" ht="13.8">
      <c r="G210" s="69">
        <f>H203+H204+H206+H207+H208</f>
        <v>135.59</v>
      </c>
      <c r="H210" s="69"/>
      <c r="J210" s="69">
        <f>K203+K204+K206+K207+K208</f>
        <v>2546.0499999999997</v>
      </c>
      <c r="K210" s="69"/>
      <c r="L210" s="70">
        <f>Source!U92</f>
        <v>3.1058280000000003</v>
      </c>
      <c r="O210" s="47">
        <f>G210</f>
        <v>135.59</v>
      </c>
      <c r="P210" s="47">
        <f>J210</f>
        <v>2546.0499999999997</v>
      </c>
      <c r="Q210" s="47">
        <f>L210</f>
        <v>3.1058280000000003</v>
      </c>
      <c r="W210">
        <f>IF(Source!BI92&lt;=1,H203+H204+H206+H207+H208, 0)</f>
        <v>135.59</v>
      </c>
      <c r="X210">
        <f>IF(Source!BI92=2,H203+H204+H206+H207+H208, 0)</f>
        <v>0</v>
      </c>
      <c r="Y210">
        <f>IF(Source!BI92=3,H203+H204+H206+H207+H208, 0)</f>
        <v>0</v>
      </c>
      <c r="Z210">
        <f>IF(Source!BI92=4,H203+H204+H206+H207+H208, 0)</f>
        <v>0</v>
      </c>
    </row>
    <row r="211" spans="1:26" ht="80.400000000000006">
      <c r="A211" s="38" t="str">
        <f>Source!E93</f>
        <v>24</v>
      </c>
      <c r="B211" s="76" t="s">
        <v>660</v>
      </c>
      <c r="C211" s="76" t="str">
        <f>Source!G93</f>
        <v>Устройство стяжек цементных толщиной 20 мм</v>
      </c>
      <c r="D211" s="56" t="str">
        <f>Source!H93</f>
        <v>100 м2 стяжки</v>
      </c>
      <c r="E211" s="10">
        <f>Source!I93</f>
        <v>0.03</v>
      </c>
      <c r="F211" s="57">
        <f>Source!AL93+Source!AM93+Source!AO93</f>
        <v>1485.02</v>
      </c>
      <c r="G211" s="58"/>
      <c r="H211" s="59"/>
      <c r="I211" s="58" t="str">
        <f>Source!BO93</f>
        <v>11-01-011-1</v>
      </c>
      <c r="J211" s="58"/>
      <c r="K211" s="59"/>
      <c r="L211" s="60"/>
      <c r="S211">
        <f>ROUND((Source!FX93/100)*((ROUND(Source!AF93*Source!I93, 2)+ROUND(Source!AE93*Source!I93, 2))), 2)</f>
        <v>12.69</v>
      </c>
      <c r="T211">
        <f>Source!X93</f>
        <v>418.86</v>
      </c>
      <c r="U211">
        <f>ROUND((Source!FY93/100)*((ROUND(Source!AF93*Source!I93, 2)+ROUND(Source!AE93*Source!I93, 2))), 2)</f>
        <v>7.31</v>
      </c>
      <c r="V211">
        <f>Source!Y93</f>
        <v>241.5</v>
      </c>
    </row>
    <row r="212" spans="1:26">
      <c r="C212" s="49" t="str">
        <f>"Объем: "&amp;Source!I93&amp;"=3/"&amp;"100"</f>
        <v>Объем: 0,03=3/100</v>
      </c>
    </row>
    <row r="213" spans="1:26" ht="14.4">
      <c r="A213" s="38"/>
      <c r="B213" s="76"/>
      <c r="C213" s="76" t="s">
        <v>644</v>
      </c>
      <c r="D213" s="56"/>
      <c r="E213" s="10"/>
      <c r="F213" s="57">
        <f>Source!AO93</f>
        <v>313.70999999999998</v>
      </c>
      <c r="G213" s="58" t="str">
        <f>Source!DG93</f>
        <v>)*1,15</v>
      </c>
      <c r="H213" s="59">
        <f>ROUND(Source!AF93*Source!I93, 2)</f>
        <v>10.82</v>
      </c>
      <c r="I213" s="58"/>
      <c r="J213" s="58">
        <f>IF(Source!BA93&lt;&gt; 0, Source!BA93, 1)</f>
        <v>32.909999999999997</v>
      </c>
      <c r="K213" s="59">
        <f>Source!S93</f>
        <v>356.18</v>
      </c>
      <c r="L213" s="60"/>
      <c r="R213">
        <f>H213</f>
        <v>10.82</v>
      </c>
    </row>
    <row r="214" spans="1:26" ht="14.4">
      <c r="A214" s="38"/>
      <c r="B214" s="76"/>
      <c r="C214" s="76" t="s">
        <v>80</v>
      </c>
      <c r="D214" s="56"/>
      <c r="E214" s="10"/>
      <c r="F214" s="57">
        <f>Source!AM93</f>
        <v>44.24</v>
      </c>
      <c r="G214" s="58" t="str">
        <f>Source!DE93</f>
        <v>)*1,25</v>
      </c>
      <c r="H214" s="59">
        <f>ROUND(Source!AD93*Source!I93, 2)</f>
        <v>1.66</v>
      </c>
      <c r="I214" s="58"/>
      <c r="J214" s="58">
        <f>IF(Source!BB93&lt;&gt; 0, Source!BB93, 1)</f>
        <v>13.81</v>
      </c>
      <c r="K214" s="59">
        <f>Source!Q93</f>
        <v>22.91</v>
      </c>
      <c r="L214" s="60"/>
    </row>
    <row r="215" spans="1:26" ht="14.4">
      <c r="A215" s="38"/>
      <c r="B215" s="76"/>
      <c r="C215" s="76" t="s">
        <v>651</v>
      </c>
      <c r="D215" s="56"/>
      <c r="E215" s="10"/>
      <c r="F215" s="57">
        <f>Source!AN93</f>
        <v>17.149999999999999</v>
      </c>
      <c r="G215" s="58" t="str">
        <f>Source!DF93</f>
        <v>)*1,25</v>
      </c>
      <c r="H215" s="73">
        <f>ROUND(Source!AE93*Source!I93, 2)</f>
        <v>0.64</v>
      </c>
      <c r="I215" s="58"/>
      <c r="J215" s="58">
        <f>IF(Source!BS93&lt;&gt; 0, Source!BS93, 1)</f>
        <v>32.909999999999997</v>
      </c>
      <c r="K215" s="73">
        <f>Source!R93</f>
        <v>21.17</v>
      </c>
      <c r="L215" s="60"/>
      <c r="R215">
        <f>H215</f>
        <v>0.64</v>
      </c>
    </row>
    <row r="216" spans="1:26" ht="14.4">
      <c r="A216" s="38"/>
      <c r="B216" s="76"/>
      <c r="C216" s="76" t="s">
        <v>645</v>
      </c>
      <c r="D216" s="56"/>
      <c r="E216" s="10"/>
      <c r="F216" s="57">
        <f>Source!AL93</f>
        <v>1127.07</v>
      </c>
      <c r="G216" s="58" t="str">
        <f>Source!DD93</f>
        <v/>
      </c>
      <c r="H216" s="59">
        <f>ROUND(Source!AC93*Source!I93, 2)</f>
        <v>33.81</v>
      </c>
      <c r="I216" s="58"/>
      <c r="J216" s="58">
        <f>IF(Source!BC93&lt;&gt; 0, Source!BC93, 1)</f>
        <v>6.21</v>
      </c>
      <c r="K216" s="59">
        <f>Source!P93</f>
        <v>209.97</v>
      </c>
      <c r="L216" s="60"/>
    </row>
    <row r="217" spans="1:26" ht="14.4">
      <c r="A217" s="38"/>
      <c r="B217" s="76"/>
      <c r="C217" s="76" t="s">
        <v>648</v>
      </c>
      <c r="D217" s="56" t="s">
        <v>649</v>
      </c>
      <c r="E217" s="10">
        <f>Source!BZ93</f>
        <v>123</v>
      </c>
      <c r="F217" s="14" t="str">
        <f>CONCATENATE(" )", Source!DL93, Source!FT93, "=", Source!FX93)</f>
        <v xml:space="preserve"> )*0,9=110,7</v>
      </c>
      <c r="G217" s="23"/>
      <c r="H217" s="59">
        <f>SUM(S211:S219)</f>
        <v>12.69</v>
      </c>
      <c r="I217" s="71"/>
      <c r="J217" s="54">
        <f>Source!AT93</f>
        <v>111</v>
      </c>
      <c r="K217" s="59">
        <f>SUM(T211:T219)</f>
        <v>418.86</v>
      </c>
      <c r="L217" s="60"/>
    </row>
    <row r="218" spans="1:26" ht="14.4">
      <c r="A218" s="38"/>
      <c r="B218" s="76"/>
      <c r="C218" s="76" t="s">
        <v>650</v>
      </c>
      <c r="D218" s="56" t="s">
        <v>649</v>
      </c>
      <c r="E218" s="10">
        <f>Source!CA93</f>
        <v>75</v>
      </c>
      <c r="F218" s="14" t="str">
        <f>CONCATENATE(" )", Source!DM93, Source!FU93, "=", Source!FY93)</f>
        <v xml:space="preserve"> )*0,85=63,75</v>
      </c>
      <c r="G218" s="23"/>
      <c r="H218" s="59">
        <f>SUM(U211:U219)</f>
        <v>7.31</v>
      </c>
      <c r="I218" s="71"/>
      <c r="J218" s="54">
        <f>Source!AU93</f>
        <v>64</v>
      </c>
      <c r="K218" s="59">
        <f>SUM(V211:V219)</f>
        <v>241.5</v>
      </c>
      <c r="L218" s="60"/>
    </row>
    <row r="219" spans="1:26" ht="14.4">
      <c r="A219" s="77"/>
      <c r="B219" s="78"/>
      <c r="C219" s="78" t="s">
        <v>646</v>
      </c>
      <c r="D219" s="62" t="s">
        <v>647</v>
      </c>
      <c r="E219" s="63">
        <f>Source!AQ93</f>
        <v>39.51</v>
      </c>
      <c r="F219" s="64"/>
      <c r="G219" s="67" t="str">
        <f>Source!DI93</f>
        <v>)*1,15</v>
      </c>
      <c r="H219" s="66"/>
      <c r="I219" s="67"/>
      <c r="J219" s="67"/>
      <c r="K219" s="66"/>
      <c r="L219" s="72">
        <f>Source!U93</f>
        <v>1.3630949999999997</v>
      </c>
    </row>
    <row r="220" spans="1:26" ht="13.8">
      <c r="G220" s="69">
        <f>H213+H214+H216+H217+H218</f>
        <v>66.290000000000006</v>
      </c>
      <c r="H220" s="69"/>
      <c r="J220" s="69">
        <f>K213+K214+K216+K217+K218</f>
        <v>1249.42</v>
      </c>
      <c r="K220" s="69"/>
      <c r="L220" s="70">
        <f>Source!U93</f>
        <v>1.3630949999999997</v>
      </c>
      <c r="O220" s="47">
        <f>G220</f>
        <v>66.290000000000006</v>
      </c>
      <c r="P220" s="47">
        <f>J220</f>
        <v>1249.42</v>
      </c>
      <c r="Q220" s="47">
        <f>L220</f>
        <v>1.3630949999999997</v>
      </c>
      <c r="W220">
        <f>IF(Source!BI93&lt;=1,H213+H214+H216+H217+H218, 0)</f>
        <v>66.290000000000006</v>
      </c>
      <c r="X220">
        <f>IF(Source!BI93=2,H213+H214+H216+H217+H218, 0)</f>
        <v>0</v>
      </c>
      <c r="Y220">
        <f>IF(Source!BI93=3,H213+H214+H216+H217+H218, 0)</f>
        <v>0</v>
      </c>
      <c r="Z220">
        <f>IF(Source!BI93=4,H213+H214+H216+H217+H218, 0)</f>
        <v>0</v>
      </c>
    </row>
    <row r="221" spans="1:26" ht="80.400000000000006">
      <c r="A221" s="38" t="str">
        <f>Source!E94</f>
        <v>25</v>
      </c>
      <c r="B221" s="76" t="s">
        <v>661</v>
      </c>
      <c r="C221" s="76" t="str">
        <f>Source!G94</f>
        <v>Устройство стяжек на каждые 5 мм изменения толщины стяжки добавлять или исключать к расценке 11-01-011-01</v>
      </c>
      <c r="D221" s="56" t="str">
        <f>Source!H94</f>
        <v>100 м2 стяжки</v>
      </c>
      <c r="E221" s="10">
        <f>Source!I94</f>
        <v>0.03</v>
      </c>
      <c r="F221" s="57">
        <f>Source!AL94+Source!AM94+Source!AO94</f>
        <v>291.32000000000005</v>
      </c>
      <c r="G221" s="58"/>
      <c r="H221" s="59"/>
      <c r="I221" s="58" t="str">
        <f>Source!BO94</f>
        <v>11-01-011-2</v>
      </c>
      <c r="J221" s="58"/>
      <c r="K221" s="59"/>
      <c r="L221" s="60"/>
      <c r="S221">
        <f>ROUND((Source!FX94/100)*((ROUND(Source!AF94*Source!I94, 2)+ROUND(Source!AE94*Source!I94, 2))), 2)</f>
        <v>0.28000000000000003</v>
      </c>
      <c r="T221">
        <f>Source!X94</f>
        <v>8.89</v>
      </c>
      <c r="U221">
        <f>ROUND((Source!FY94/100)*((ROUND(Source!AF94*Source!I94, 2)+ROUND(Source!AE94*Source!I94, 2))), 2)</f>
        <v>0.16</v>
      </c>
      <c r="V221">
        <f>Source!Y94</f>
        <v>5.13</v>
      </c>
    </row>
    <row r="222" spans="1:26">
      <c r="C222" s="49" t="str">
        <f>"Объем: "&amp;Source!I94&amp;"=3/"&amp;"100"</f>
        <v>Объем: 0,03=3/100</v>
      </c>
    </row>
    <row r="223" spans="1:26" ht="14.4">
      <c r="A223" s="38"/>
      <c r="B223" s="76"/>
      <c r="C223" s="76" t="s">
        <v>644</v>
      </c>
      <c r="D223" s="56"/>
      <c r="E223" s="10"/>
      <c r="F223" s="57">
        <f>Source!AO94</f>
        <v>3.97</v>
      </c>
      <c r="G223" s="58" t="str">
        <f>Source!DG94</f>
        <v>)*1,15</v>
      </c>
      <c r="H223" s="59">
        <f>ROUND(Source!AF94*Source!I94, 2)</f>
        <v>0.14000000000000001</v>
      </c>
      <c r="I223" s="58"/>
      <c r="J223" s="58">
        <f>IF(Source!BA94&lt;&gt; 0, Source!BA94, 1)</f>
        <v>32.909999999999997</v>
      </c>
      <c r="K223" s="59">
        <f>Source!S94</f>
        <v>4.51</v>
      </c>
      <c r="L223" s="60"/>
      <c r="R223">
        <f>H223</f>
        <v>0.14000000000000001</v>
      </c>
    </row>
    <row r="224" spans="1:26" ht="14.4">
      <c r="A224" s="38"/>
      <c r="B224" s="76"/>
      <c r="C224" s="76" t="s">
        <v>80</v>
      </c>
      <c r="D224" s="56"/>
      <c r="E224" s="10"/>
      <c r="F224" s="57">
        <f>Source!AM94</f>
        <v>7.72</v>
      </c>
      <c r="G224" s="58" t="str">
        <f>Source!DE94</f>
        <v>)*1,25</v>
      </c>
      <c r="H224" s="59">
        <f>ROUND(Source!AD94*Source!I94, 2)</f>
        <v>0.28999999999999998</v>
      </c>
      <c r="I224" s="58"/>
      <c r="J224" s="58">
        <f>IF(Source!BB94&lt;&gt; 0, Source!BB94, 1)</f>
        <v>13.52</v>
      </c>
      <c r="K224" s="59">
        <f>Source!Q94</f>
        <v>3.91</v>
      </c>
      <c r="L224" s="60"/>
    </row>
    <row r="225" spans="1:26" ht="14.4">
      <c r="A225" s="38"/>
      <c r="B225" s="76"/>
      <c r="C225" s="76" t="s">
        <v>651</v>
      </c>
      <c r="D225" s="56"/>
      <c r="E225" s="10"/>
      <c r="F225" s="57">
        <f>Source!AN94</f>
        <v>2.84</v>
      </c>
      <c r="G225" s="58" t="str">
        <f>Source!DF94</f>
        <v>)*1,25</v>
      </c>
      <c r="H225" s="73">
        <f>ROUND(Source!AE94*Source!I94, 2)</f>
        <v>0.11</v>
      </c>
      <c r="I225" s="58"/>
      <c r="J225" s="58">
        <f>IF(Source!BS94&lt;&gt; 0, Source!BS94, 1)</f>
        <v>32.909999999999997</v>
      </c>
      <c r="K225" s="73">
        <f>Source!R94</f>
        <v>3.5</v>
      </c>
      <c r="L225" s="60"/>
      <c r="R225">
        <f>H225</f>
        <v>0.11</v>
      </c>
    </row>
    <row r="226" spans="1:26" ht="14.4">
      <c r="A226" s="38"/>
      <c r="B226" s="76"/>
      <c r="C226" s="76" t="s">
        <v>645</v>
      </c>
      <c r="D226" s="56"/>
      <c r="E226" s="10"/>
      <c r="F226" s="57">
        <f>Source!AL94</f>
        <v>279.63</v>
      </c>
      <c r="G226" s="58" t="str">
        <f>Source!DD94</f>
        <v/>
      </c>
      <c r="H226" s="59">
        <f>ROUND(Source!AC94*Source!I94, 2)</f>
        <v>8.39</v>
      </c>
      <c r="I226" s="58"/>
      <c r="J226" s="58">
        <f>IF(Source!BC94&lt;&gt; 0, Source!BC94, 1)</f>
        <v>6.19</v>
      </c>
      <c r="K226" s="59">
        <f>Source!P94</f>
        <v>51.93</v>
      </c>
      <c r="L226" s="60"/>
    </row>
    <row r="227" spans="1:26" ht="14.4">
      <c r="A227" s="38"/>
      <c r="B227" s="76"/>
      <c r="C227" s="76" t="s">
        <v>648</v>
      </c>
      <c r="D227" s="56" t="s">
        <v>649</v>
      </c>
      <c r="E227" s="10">
        <f>Source!BZ94</f>
        <v>123</v>
      </c>
      <c r="F227" s="14" t="str">
        <f>CONCATENATE(" )", Source!DL94, Source!FT94, "=", Source!FX94)</f>
        <v xml:space="preserve"> )*0,9=110,7</v>
      </c>
      <c r="G227" s="23"/>
      <c r="H227" s="59">
        <f>SUM(S221:S229)</f>
        <v>0.28000000000000003</v>
      </c>
      <c r="I227" s="71"/>
      <c r="J227" s="54">
        <f>Source!AT94</f>
        <v>111</v>
      </c>
      <c r="K227" s="59">
        <f>SUM(T221:T229)</f>
        <v>8.89</v>
      </c>
      <c r="L227" s="60"/>
    </row>
    <row r="228" spans="1:26" ht="14.4">
      <c r="A228" s="38"/>
      <c r="B228" s="76"/>
      <c r="C228" s="76" t="s">
        <v>650</v>
      </c>
      <c r="D228" s="56" t="s">
        <v>649</v>
      </c>
      <c r="E228" s="10">
        <f>Source!CA94</f>
        <v>75</v>
      </c>
      <c r="F228" s="14" t="str">
        <f>CONCATENATE(" )", Source!DM94, Source!FU94, "=", Source!FY94)</f>
        <v xml:space="preserve"> )*0,85=63,75</v>
      </c>
      <c r="G228" s="23"/>
      <c r="H228" s="59">
        <f>SUM(U221:U229)</f>
        <v>0.16</v>
      </c>
      <c r="I228" s="71"/>
      <c r="J228" s="54">
        <f>Source!AU94</f>
        <v>64</v>
      </c>
      <c r="K228" s="59">
        <f>SUM(V221:V229)</f>
        <v>5.13</v>
      </c>
      <c r="L228" s="60"/>
    </row>
    <row r="229" spans="1:26" ht="14.4">
      <c r="A229" s="77"/>
      <c r="B229" s="78"/>
      <c r="C229" s="78" t="s">
        <v>646</v>
      </c>
      <c r="D229" s="62" t="s">
        <v>647</v>
      </c>
      <c r="E229" s="63">
        <f>Source!AQ94</f>
        <v>0.5</v>
      </c>
      <c r="F229" s="64"/>
      <c r="G229" s="67" t="str">
        <f>Source!DI94</f>
        <v>)*1,15</v>
      </c>
      <c r="H229" s="66"/>
      <c r="I229" s="67"/>
      <c r="J229" s="67"/>
      <c r="K229" s="66"/>
      <c r="L229" s="72">
        <f>Source!U94</f>
        <v>1.7249999999999998E-2</v>
      </c>
    </row>
    <row r="230" spans="1:26" ht="13.8">
      <c r="G230" s="69">
        <f>H223+H224+H226+H227+H228</f>
        <v>9.26</v>
      </c>
      <c r="H230" s="69"/>
      <c r="J230" s="69">
        <f>K223+K224+K226+K227+K228</f>
        <v>74.37</v>
      </c>
      <c r="K230" s="69"/>
      <c r="L230" s="70">
        <f>Source!U94</f>
        <v>1.7249999999999998E-2</v>
      </c>
      <c r="O230" s="47">
        <f>G230</f>
        <v>9.26</v>
      </c>
      <c r="P230" s="47">
        <f>J230</f>
        <v>74.37</v>
      </c>
      <c r="Q230" s="47">
        <f>L230</f>
        <v>1.7249999999999998E-2</v>
      </c>
      <c r="W230">
        <f>IF(Source!BI94&lt;=1,H223+H224+H226+H227+H228, 0)</f>
        <v>9.26</v>
      </c>
      <c r="X230">
        <f>IF(Source!BI94=2,H223+H224+H226+H227+H228, 0)</f>
        <v>0</v>
      </c>
      <c r="Y230">
        <f>IF(Source!BI94=3,H223+H224+H226+H227+H228, 0)</f>
        <v>0</v>
      </c>
      <c r="Z230">
        <f>IF(Source!BI94=4,H223+H224+H226+H227+H228, 0)</f>
        <v>0</v>
      </c>
    </row>
    <row r="231" spans="1:26" ht="80.400000000000006">
      <c r="A231" s="38" t="str">
        <f>Source!E95</f>
        <v>26</v>
      </c>
      <c r="B231" s="76" t="s">
        <v>662</v>
      </c>
      <c r="C231" s="76" t="str">
        <f>Source!G95</f>
        <v>Устройство покрытий из плит керамогранитных размером 40х40 см</v>
      </c>
      <c r="D231" s="56" t="str">
        <f>Source!H95</f>
        <v>100 м2 покрытия</v>
      </c>
      <c r="E231" s="10">
        <f>Source!I95</f>
        <v>0.03</v>
      </c>
      <c r="F231" s="57">
        <f>Source!AL95+Source!AM95+Source!AO95</f>
        <v>22311.219999999998</v>
      </c>
      <c r="G231" s="58"/>
      <c r="H231" s="59"/>
      <c r="I231" s="58" t="str">
        <f>Source!BO95</f>
        <v>11-01-047-1</v>
      </c>
      <c r="J231" s="58"/>
      <c r="K231" s="59"/>
      <c r="L231" s="60"/>
      <c r="S231">
        <f>ROUND((Source!FX95/100)*((ROUND(Source!AF95*Source!I95, 2)+ROUND(Source!AE95*Source!I95, 2))), 2)</f>
        <v>104.33</v>
      </c>
      <c r="T231">
        <f>Source!X95</f>
        <v>3443.08</v>
      </c>
      <c r="U231">
        <f>ROUND((Source!FY95/100)*((ROUND(Source!AF95*Source!I95, 2)+ROUND(Source!AE95*Source!I95, 2))), 2)</f>
        <v>60.08</v>
      </c>
      <c r="V231">
        <f>Source!Y95</f>
        <v>1985.2</v>
      </c>
    </row>
    <row r="232" spans="1:26">
      <c r="C232" s="49" t="str">
        <f>"Объем: "&amp;Source!I95&amp;"=3/"&amp;"100"</f>
        <v>Объем: 0,03=3/100</v>
      </c>
    </row>
    <row r="233" spans="1:26" ht="14.4">
      <c r="A233" s="38"/>
      <c r="B233" s="76"/>
      <c r="C233" s="76" t="s">
        <v>644</v>
      </c>
      <c r="D233" s="56"/>
      <c r="E233" s="10"/>
      <c r="F233" s="57">
        <f>Source!AO95</f>
        <v>2713.07</v>
      </c>
      <c r="G233" s="58" t="str">
        <f>Source!DG95</f>
        <v>)*1,15</v>
      </c>
      <c r="H233" s="59">
        <f>ROUND(Source!AF95*Source!I95, 2)</f>
        <v>93.6</v>
      </c>
      <c r="I233" s="58"/>
      <c r="J233" s="58">
        <f>IF(Source!BA95&lt;&gt; 0, Source!BA95, 1)</f>
        <v>32.909999999999997</v>
      </c>
      <c r="K233" s="59">
        <f>Source!S95</f>
        <v>3080.41</v>
      </c>
      <c r="L233" s="60"/>
      <c r="R233">
        <f>H233</f>
        <v>93.6</v>
      </c>
    </row>
    <row r="234" spans="1:26" ht="14.4">
      <c r="A234" s="38"/>
      <c r="B234" s="76"/>
      <c r="C234" s="76" t="s">
        <v>80</v>
      </c>
      <c r="D234" s="56"/>
      <c r="E234" s="10"/>
      <c r="F234" s="57">
        <f>Source!AM95</f>
        <v>24.87</v>
      </c>
      <c r="G234" s="58" t="str">
        <f>Source!DE95</f>
        <v>)*1,25</v>
      </c>
      <c r="H234" s="59">
        <f>ROUND(Source!AD95*Source!I95, 2)</f>
        <v>0.93</v>
      </c>
      <c r="I234" s="58"/>
      <c r="J234" s="58">
        <f>IF(Source!BB95&lt;&gt; 0, Source!BB95, 1)</f>
        <v>25.43</v>
      </c>
      <c r="K234" s="59">
        <f>Source!Q95</f>
        <v>23.72</v>
      </c>
      <c r="L234" s="60"/>
    </row>
    <row r="235" spans="1:26" ht="14.4">
      <c r="A235" s="38"/>
      <c r="B235" s="76"/>
      <c r="C235" s="76" t="s">
        <v>651</v>
      </c>
      <c r="D235" s="56"/>
      <c r="E235" s="10"/>
      <c r="F235" s="57">
        <f>Source!AN95</f>
        <v>17.39</v>
      </c>
      <c r="G235" s="58" t="str">
        <f>Source!DF95</f>
        <v>)*1,25</v>
      </c>
      <c r="H235" s="73">
        <f>ROUND(Source!AE95*Source!I95, 2)</f>
        <v>0.65</v>
      </c>
      <c r="I235" s="58"/>
      <c r="J235" s="58">
        <f>IF(Source!BS95&lt;&gt; 0, Source!BS95, 1)</f>
        <v>32.909999999999997</v>
      </c>
      <c r="K235" s="73">
        <f>Source!R95</f>
        <v>21.46</v>
      </c>
      <c r="L235" s="60"/>
      <c r="R235">
        <f>H235</f>
        <v>0.65</v>
      </c>
    </row>
    <row r="236" spans="1:26" ht="14.4">
      <c r="A236" s="38"/>
      <c r="B236" s="76"/>
      <c r="C236" s="76" t="s">
        <v>645</v>
      </c>
      <c r="D236" s="56"/>
      <c r="E236" s="10"/>
      <c r="F236" s="57">
        <f>Source!AL95</f>
        <v>19573.28</v>
      </c>
      <c r="G236" s="58" t="str">
        <f>Source!DD95</f>
        <v/>
      </c>
      <c r="H236" s="59">
        <f>ROUND(Source!AC95*Source!I95, 2)</f>
        <v>587.20000000000005</v>
      </c>
      <c r="I236" s="58"/>
      <c r="J236" s="58">
        <f>IF(Source!BC95&lt;&gt; 0, Source!BC95, 1)</f>
        <v>3.94</v>
      </c>
      <c r="K236" s="59">
        <f>Source!P95</f>
        <v>2313.56</v>
      </c>
      <c r="L236" s="60"/>
    </row>
    <row r="237" spans="1:26" ht="14.4">
      <c r="A237" s="38"/>
      <c r="B237" s="76"/>
      <c r="C237" s="76" t="s">
        <v>648</v>
      </c>
      <c r="D237" s="56" t="s">
        <v>649</v>
      </c>
      <c r="E237" s="10">
        <f>Source!BZ95</f>
        <v>123</v>
      </c>
      <c r="F237" s="14" t="str">
        <f>CONCATENATE(" )", Source!DL95, Source!FT95, "=", Source!FX95)</f>
        <v xml:space="preserve"> )*0,9=110,7</v>
      </c>
      <c r="G237" s="23"/>
      <c r="H237" s="59">
        <f>SUM(S231:S239)</f>
        <v>104.33</v>
      </c>
      <c r="I237" s="71"/>
      <c r="J237" s="54">
        <f>Source!AT95</f>
        <v>111</v>
      </c>
      <c r="K237" s="59">
        <f>SUM(T231:T239)</f>
        <v>3443.08</v>
      </c>
      <c r="L237" s="60"/>
    </row>
    <row r="238" spans="1:26" ht="14.4">
      <c r="A238" s="38"/>
      <c r="B238" s="76"/>
      <c r="C238" s="76" t="s">
        <v>650</v>
      </c>
      <c r="D238" s="56" t="s">
        <v>649</v>
      </c>
      <c r="E238" s="10">
        <f>Source!CA95</f>
        <v>75</v>
      </c>
      <c r="F238" s="14" t="str">
        <f>CONCATENATE(" )", Source!DM95, Source!FU95, "=", Source!FY95)</f>
        <v xml:space="preserve"> )*0,85=63,75</v>
      </c>
      <c r="G238" s="23"/>
      <c r="H238" s="59">
        <f>SUM(U231:U239)</f>
        <v>60.08</v>
      </c>
      <c r="I238" s="71"/>
      <c r="J238" s="54">
        <f>Source!AU95</f>
        <v>64</v>
      </c>
      <c r="K238" s="59">
        <f>SUM(V231:V239)</f>
        <v>1985.2</v>
      </c>
      <c r="L238" s="60"/>
    </row>
    <row r="239" spans="1:26" ht="14.4">
      <c r="A239" s="77"/>
      <c r="B239" s="78"/>
      <c r="C239" s="78" t="s">
        <v>646</v>
      </c>
      <c r="D239" s="62" t="s">
        <v>647</v>
      </c>
      <c r="E239" s="63">
        <f>Source!AQ95</f>
        <v>310.42</v>
      </c>
      <c r="F239" s="64"/>
      <c r="G239" s="67" t="str">
        <f>Source!DI95</f>
        <v>)*1,15</v>
      </c>
      <c r="H239" s="66"/>
      <c r="I239" s="67"/>
      <c r="J239" s="67"/>
      <c r="K239" s="66"/>
      <c r="L239" s="72">
        <f>Source!U95</f>
        <v>10.709489999999999</v>
      </c>
    </row>
    <row r="240" spans="1:26" ht="13.8">
      <c r="G240" s="69">
        <f>H233+H234+H236+H237+H238</f>
        <v>846.1400000000001</v>
      </c>
      <c r="H240" s="69"/>
      <c r="J240" s="69">
        <f>K233+K234+K236+K237+K238</f>
        <v>10845.970000000001</v>
      </c>
      <c r="K240" s="69"/>
      <c r="L240" s="70">
        <f>Source!U95</f>
        <v>10.709489999999999</v>
      </c>
      <c r="O240" s="47">
        <f>G240</f>
        <v>846.1400000000001</v>
      </c>
      <c r="P240" s="47">
        <f>J240</f>
        <v>10845.970000000001</v>
      </c>
      <c r="Q240" s="47">
        <f>L240</f>
        <v>10.709489999999999</v>
      </c>
      <c r="W240">
        <f>IF(Source!BI95&lt;=1,H233+H234+H236+H237+H238, 0)</f>
        <v>846.1400000000001</v>
      </c>
      <c r="X240">
        <f>IF(Source!BI95=2,H233+H234+H236+H237+H238, 0)</f>
        <v>0</v>
      </c>
      <c r="Y240">
        <f>IF(Source!BI95=3,H233+H234+H236+H237+H238, 0)</f>
        <v>0</v>
      </c>
      <c r="Z240">
        <f>IF(Source!BI95=4,H233+H234+H236+H237+H238, 0)</f>
        <v>0</v>
      </c>
    </row>
    <row r="241" spans="1:32" ht="41.4">
      <c r="A241" s="38" t="str">
        <f>Source!E96</f>
        <v>27</v>
      </c>
      <c r="B241" s="76" t="str">
        <f>Source!F96</f>
        <v>т01-01-01-041</v>
      </c>
      <c r="C241" s="76" t="str">
        <f>Source!G96</f>
        <v>Погрузка при автомобильных перевозках мусора строительного с погрузкой вручную</v>
      </c>
      <c r="D241" s="56" t="str">
        <f>Source!H96</f>
        <v>1 Т ГРУЗА</v>
      </c>
      <c r="E241" s="10">
        <f>Source!I96</f>
        <v>0.3</v>
      </c>
      <c r="F241" s="57">
        <f>Source!AL96+Source!AM96+Source!AO96</f>
        <v>42.98</v>
      </c>
      <c r="G241" s="58"/>
      <c r="H241" s="59"/>
      <c r="I241" s="58" t="str">
        <f>Source!BO96</f>
        <v/>
      </c>
      <c r="J241" s="58"/>
      <c r="K241" s="59"/>
      <c r="L241" s="60"/>
      <c r="S241">
        <f>ROUND((Source!FX96/100)*((ROUND(Source!AF96*Source!I96, 2)+ROUND(Source!AE96*Source!I96, 2))), 2)</f>
        <v>0</v>
      </c>
      <c r="T241">
        <f>Source!X96</f>
        <v>0</v>
      </c>
      <c r="U241">
        <f>ROUND((Source!FY96/100)*((ROUND(Source!AF96*Source!I96, 2)+ROUND(Source!AE96*Source!I96, 2))), 2)</f>
        <v>0</v>
      </c>
      <c r="V241">
        <f>Source!Y96</f>
        <v>0</v>
      </c>
    </row>
    <row r="242" spans="1:32" ht="14.4">
      <c r="A242" s="77"/>
      <c r="B242" s="78"/>
      <c r="C242" s="78" t="s">
        <v>80</v>
      </c>
      <c r="D242" s="62"/>
      <c r="E242" s="63"/>
      <c r="F242" s="64">
        <f>Source!AM96</f>
        <v>42.98</v>
      </c>
      <c r="G242" s="67" t="str">
        <f>Source!DE96</f>
        <v/>
      </c>
      <c r="H242" s="66">
        <f>ROUND(Source!AD96*Source!I96, 2)</f>
        <v>12.89</v>
      </c>
      <c r="I242" s="67"/>
      <c r="J242" s="67">
        <f>IF(Source!BB96&lt;&gt; 0, Source!BB96, 1)</f>
        <v>14.31</v>
      </c>
      <c r="K242" s="66">
        <f>Source!Q96</f>
        <v>184.51</v>
      </c>
      <c r="L242" s="68"/>
    </row>
    <row r="243" spans="1:32" ht="13.8">
      <c r="G243" s="69">
        <f>H242</f>
        <v>12.89</v>
      </c>
      <c r="H243" s="69"/>
      <c r="J243" s="69">
        <f>K242</f>
        <v>184.51</v>
      </c>
      <c r="K243" s="69"/>
      <c r="L243" s="70">
        <f>Source!U96</f>
        <v>0</v>
      </c>
      <c r="O243" s="47">
        <f>G243</f>
        <v>12.89</v>
      </c>
      <c r="P243" s="47">
        <f>J243</f>
        <v>184.51</v>
      </c>
      <c r="Q243" s="47">
        <f>L243</f>
        <v>0</v>
      </c>
      <c r="W243">
        <f>IF(Source!BI96&lt;=1,H242, 0)</f>
        <v>12.89</v>
      </c>
      <c r="X243">
        <f>IF(Source!BI96=2,H242, 0)</f>
        <v>0</v>
      </c>
      <c r="Y243">
        <f>IF(Source!BI96=3,H242, 0)</f>
        <v>0</v>
      </c>
      <c r="Z243">
        <f>IF(Source!BI96=4,H242, 0)</f>
        <v>0</v>
      </c>
    </row>
    <row r="244" spans="1:32" ht="41.4">
      <c r="A244" s="38" t="str">
        <f>Source!E97</f>
        <v>28</v>
      </c>
      <c r="B244" s="76" t="str">
        <f>Source!F97</f>
        <v>т03-01-01-040</v>
      </c>
      <c r="C244" s="76" t="str">
        <f>Source!G97</f>
        <v>Перевозка грузов I класса автомобилями бортовыми грузоподъемностью до 15 т на расстояние до 40 км</v>
      </c>
      <c r="D244" s="56" t="str">
        <f>Source!H97</f>
        <v>1 Т ГРУЗА</v>
      </c>
      <c r="E244" s="10">
        <f>Source!I97</f>
        <v>0.3</v>
      </c>
      <c r="F244" s="57">
        <f>Source!AL97+Source!AM97+Source!AO97</f>
        <v>20.91</v>
      </c>
      <c r="G244" s="58"/>
      <c r="H244" s="59"/>
      <c r="I244" s="58" t="str">
        <f>Source!BO97</f>
        <v/>
      </c>
      <c r="J244" s="58"/>
      <c r="K244" s="59"/>
      <c r="L244" s="60"/>
      <c r="S244">
        <f>ROUND((Source!FX97/100)*((ROUND(Source!AF97*Source!I97, 2)+ROUND(Source!AE97*Source!I97, 2))), 2)</f>
        <v>0</v>
      </c>
      <c r="T244">
        <f>Source!X97</f>
        <v>0</v>
      </c>
      <c r="U244">
        <f>ROUND((Source!FY97/100)*((ROUND(Source!AF97*Source!I97, 2)+ROUND(Source!AE97*Source!I97, 2))), 2)</f>
        <v>0</v>
      </c>
      <c r="V244">
        <f>Source!Y97</f>
        <v>0</v>
      </c>
    </row>
    <row r="245" spans="1:32" ht="14.4">
      <c r="A245" s="77"/>
      <c r="B245" s="78"/>
      <c r="C245" s="78" t="s">
        <v>80</v>
      </c>
      <c r="D245" s="62"/>
      <c r="E245" s="63"/>
      <c r="F245" s="64">
        <f>Source!AM97</f>
        <v>20.91</v>
      </c>
      <c r="G245" s="67" t="str">
        <f>Source!DE97</f>
        <v/>
      </c>
      <c r="H245" s="66">
        <f>ROUND(Source!AD97*Source!I97, 2)</f>
        <v>6.27</v>
      </c>
      <c r="I245" s="67"/>
      <c r="J245" s="67">
        <f>IF(Source!BB97&lt;&gt; 0, Source!BB97, 1)</f>
        <v>9.76</v>
      </c>
      <c r="K245" s="66">
        <f>Source!Q97</f>
        <v>61.22</v>
      </c>
      <c r="L245" s="68"/>
    </row>
    <row r="246" spans="1:32" ht="13.8">
      <c r="G246" s="69">
        <f>H245</f>
        <v>6.27</v>
      </c>
      <c r="H246" s="69"/>
      <c r="J246" s="69">
        <f>K245</f>
        <v>61.22</v>
      </c>
      <c r="K246" s="69"/>
      <c r="L246" s="70">
        <f>Source!U97</f>
        <v>0</v>
      </c>
      <c r="O246" s="47">
        <f>G246</f>
        <v>6.27</v>
      </c>
      <c r="P246" s="47">
        <f>J246</f>
        <v>61.22</v>
      </c>
      <c r="Q246" s="47">
        <f>L246</f>
        <v>0</v>
      </c>
      <c r="W246">
        <f>IF(Source!BI97&lt;=1,H245, 0)</f>
        <v>6.27</v>
      </c>
      <c r="X246">
        <f>IF(Source!BI97=2,H245, 0)</f>
        <v>0</v>
      </c>
      <c r="Y246">
        <f>IF(Source!BI97=3,H245, 0)</f>
        <v>0</v>
      </c>
      <c r="Z246">
        <f>IF(Source!BI97=4,H245, 0)</f>
        <v>0</v>
      </c>
    </row>
    <row r="248" spans="1:32" ht="13.8">
      <c r="A248" s="55" t="str">
        <f>CONCATENATE("Итого по разделу: ",IF(Source!G99&lt;&gt;"Новый раздел", Source!G99, ""))</f>
        <v>Итого по разделу: Монтаж</v>
      </c>
      <c r="B248" s="55"/>
      <c r="C248" s="55"/>
      <c r="D248" s="55"/>
      <c r="E248" s="55"/>
      <c r="F248" s="55"/>
      <c r="G248" s="74">
        <f>SUM(O92:O247)</f>
        <v>62824.919999999984</v>
      </c>
      <c r="H248" s="74"/>
      <c r="I248" s="52"/>
      <c r="J248" s="74">
        <f>SUM(P92:P247)</f>
        <v>123917.43999999999</v>
      </c>
      <c r="K248" s="74"/>
      <c r="L248" s="70">
        <f>SUM(Q92:Q247)</f>
        <v>50.933545999999993</v>
      </c>
    </row>
    <row r="252" spans="1:32" ht="13.8">
      <c r="A252" s="55" t="str">
        <f>CONCATENATE("Итого по локальной смете: ",IF(Source!G163&lt;&gt;"Новая локальная смета", Source!G163, ""))</f>
        <v xml:space="preserve">Итого по локальной смете: </v>
      </c>
      <c r="B252" s="55"/>
      <c r="C252" s="55"/>
      <c r="D252" s="55"/>
      <c r="E252" s="55"/>
      <c r="F252" s="55"/>
      <c r="G252" s="74">
        <f>SUM(O42:O251)</f>
        <v>69702.689999999988</v>
      </c>
      <c r="H252" s="74"/>
      <c r="I252" s="52"/>
      <c r="J252" s="74">
        <f>SUM(P42:P251)</f>
        <v>140567.92000000001</v>
      </c>
      <c r="K252" s="74"/>
      <c r="L252" s="70">
        <f>SUM(Q42:Q251)</f>
        <v>67.616805999999997</v>
      </c>
    </row>
    <row r="256" spans="1:32" ht="13.8">
      <c r="A256" s="55" t="str">
        <f>CONCATENATE("Итого по смете: ",IF(Source!G193&lt;&gt;"Новый объект", Source!G193, ""))</f>
        <v>Итого по смете: Ремонт выхода  запас СРО  ИП 2021</v>
      </c>
      <c r="B256" s="55"/>
      <c r="C256" s="55"/>
      <c r="D256" s="55"/>
      <c r="E256" s="55"/>
      <c r="F256" s="55"/>
      <c r="G256" s="74">
        <f>SUM(O1:O255)</f>
        <v>69702.689999999988</v>
      </c>
      <c r="H256" s="74"/>
      <c r="I256" s="52"/>
      <c r="J256" s="74">
        <f>SUM(P1:P255)</f>
        <v>140567.92000000001</v>
      </c>
      <c r="K256" s="74"/>
      <c r="L256" s="70">
        <f>SUM(Q1:Q255)</f>
        <v>67.616805999999997</v>
      </c>
      <c r="AF256" s="80" t="str">
        <f>CONCATENATE("Итого по смете: ",IF(Source!G193&lt;&gt;"Новый объект", Source!G193, ""))</f>
        <v>Итого по смете: Ремонт выхода  запас СРО  ИП 2021</v>
      </c>
    </row>
    <row r="258" spans="1:12" ht="13.8">
      <c r="C258" s="24" t="str">
        <f>Source!H222</f>
        <v>с НДС 20%</v>
      </c>
      <c r="D258" s="24"/>
      <c r="E258" s="24"/>
      <c r="F258" s="24"/>
      <c r="G258" s="24"/>
      <c r="H258" s="24"/>
      <c r="I258" s="24"/>
      <c r="J258" s="35">
        <f>IF(Source!F222=0, "", Source!F222)</f>
        <v>28113.58</v>
      </c>
      <c r="K258" s="35"/>
    </row>
    <row r="259" spans="1:12" ht="13.8">
      <c r="C259" s="24" t="str">
        <f>Source!H223</f>
        <v>Всего с НДС 20%</v>
      </c>
      <c r="D259" s="24"/>
      <c r="E259" s="24"/>
      <c r="F259" s="24"/>
      <c r="G259" s="24"/>
      <c r="H259" s="24"/>
      <c r="I259" s="24"/>
      <c r="J259" s="35">
        <f>IF(Source!F223=0, "", Source!F223)</f>
        <v>168681.5</v>
      </c>
      <c r="K259" s="35"/>
    </row>
    <row r="262" spans="1:12" ht="13.8">
      <c r="A262" s="50" t="s">
        <v>663</v>
      </c>
      <c r="B262" s="50"/>
      <c r="C262" s="10" t="s">
        <v>664</v>
      </c>
      <c r="D262" s="48" t="str">
        <f>IF(Source!CP12&lt;&gt;"", Source!CP12," ")</f>
        <v xml:space="preserve"> </v>
      </c>
      <c r="E262" s="48"/>
      <c r="F262" s="48"/>
      <c r="G262" s="48"/>
      <c r="H262" s="48"/>
      <c r="I262" s="11" t="str">
        <f>IF(Source!CO12&lt;&gt;"", Source!CO12," ")</f>
        <v xml:space="preserve"> </v>
      </c>
      <c r="J262" s="10"/>
      <c r="K262" s="11"/>
      <c r="L262" s="11"/>
    </row>
    <row r="263" spans="1:12" ht="13.8">
      <c r="A263" s="11"/>
      <c r="B263" s="11"/>
      <c r="C263" s="10"/>
      <c r="D263" s="51" t="s">
        <v>665</v>
      </c>
      <c r="E263" s="51"/>
      <c r="F263" s="51"/>
      <c r="G263" s="51"/>
      <c r="H263" s="51"/>
      <c r="I263" s="11"/>
      <c r="J263" s="10"/>
      <c r="K263" s="11"/>
      <c r="L263" s="11"/>
    </row>
    <row r="264" spans="1:12" ht="13.8">
      <c r="A264" s="11"/>
      <c r="B264" s="11"/>
      <c r="C264" s="10"/>
      <c r="D264" s="11"/>
      <c r="E264" s="11"/>
      <c r="F264" s="11"/>
      <c r="G264" s="11"/>
      <c r="H264" s="11"/>
      <c r="I264" s="11"/>
      <c r="J264" s="10"/>
      <c r="K264" s="11"/>
      <c r="L264" s="11"/>
    </row>
    <row r="265" spans="1:12" ht="13.8">
      <c r="A265" s="50" t="s">
        <v>663</v>
      </c>
      <c r="B265" s="50"/>
      <c r="C265" s="10" t="s">
        <v>666</v>
      </c>
      <c r="D265" s="48" t="str">
        <f>IF(Source!AC12&lt;&gt;"", Source!AC12," ")</f>
        <v xml:space="preserve"> </v>
      </c>
      <c r="E265" s="48"/>
      <c r="F265" s="48"/>
      <c r="G265" s="48"/>
      <c r="H265" s="48"/>
      <c r="I265" s="11" t="str">
        <f>IF(Source!AB12&lt;&gt;"", Source!AB12," ")</f>
        <v xml:space="preserve"> </v>
      </c>
      <c r="J265" s="10"/>
      <c r="K265" s="11"/>
      <c r="L265" s="11"/>
    </row>
    <row r="266" spans="1:12" ht="13.8">
      <c r="A266" s="11"/>
      <c r="B266" s="11"/>
      <c r="C266" s="11"/>
      <c r="D266" s="51" t="s">
        <v>665</v>
      </c>
      <c r="E266" s="51"/>
      <c r="F266" s="51"/>
      <c r="G266" s="51"/>
      <c r="H266" s="51"/>
      <c r="I266" s="11"/>
      <c r="J266" s="11"/>
      <c r="K266" s="11"/>
      <c r="L266" s="11"/>
    </row>
    <row r="267" spans="1:12" ht="13.8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</row>
    <row r="268" spans="1:12" ht="13.8">
      <c r="A268" s="11"/>
      <c r="B268" s="11"/>
      <c r="C268" s="10" t="s">
        <v>667</v>
      </c>
      <c r="D268" s="48" t="str">
        <f>IF(Source!AE12&lt;&gt;"", Source!AE12," ")</f>
        <v xml:space="preserve"> </v>
      </c>
      <c r="E268" s="48"/>
      <c r="F268" s="48"/>
      <c r="G268" s="48"/>
      <c r="H268" s="48"/>
      <c r="I268" s="11" t="str">
        <f>IF(Source!AD12&lt;&gt;"", Source!AD12," ")</f>
        <v xml:space="preserve"> </v>
      </c>
      <c r="J268" s="10"/>
      <c r="K268" s="11"/>
      <c r="L268" s="11"/>
    </row>
    <row r="269" spans="1:12" ht="13.8">
      <c r="A269" s="11"/>
      <c r="B269" s="11"/>
      <c r="C269" s="11"/>
      <c r="D269" s="51" t="s">
        <v>665</v>
      </c>
      <c r="E269" s="51"/>
      <c r="F269" s="51"/>
      <c r="G269" s="51"/>
      <c r="H269" s="51"/>
      <c r="I269" s="11"/>
      <c r="J269" s="11"/>
      <c r="K269" s="11"/>
      <c r="L269" s="11"/>
    </row>
  </sheetData>
  <mergeCells count="147">
    <mergeCell ref="J220:K220"/>
    <mergeCell ref="G220:H220"/>
    <mergeCell ref="G256:H256"/>
    <mergeCell ref="J256:K256"/>
    <mergeCell ref="F238:G238"/>
    <mergeCell ref="F237:G237"/>
    <mergeCell ref="J230:K230"/>
    <mergeCell ref="G230:H230"/>
    <mergeCell ref="F228:G228"/>
    <mergeCell ref="F227:G227"/>
    <mergeCell ref="J246:K246"/>
    <mergeCell ref="G246:H246"/>
    <mergeCell ref="J243:K243"/>
    <mergeCell ref="G243:H243"/>
    <mergeCell ref="J240:K240"/>
    <mergeCell ref="G240:H240"/>
    <mergeCell ref="J169:K169"/>
    <mergeCell ref="G169:H169"/>
    <mergeCell ref="F165:G165"/>
    <mergeCell ref="A256:F256"/>
    <mergeCell ref="G252:H252"/>
    <mergeCell ref="J252:K252"/>
    <mergeCell ref="A252:F252"/>
    <mergeCell ref="G248:H248"/>
    <mergeCell ref="J248:K248"/>
    <mergeCell ref="A248:F248"/>
    <mergeCell ref="F186:G186"/>
    <mergeCell ref="F185:G185"/>
    <mergeCell ref="J178:K178"/>
    <mergeCell ref="G178:H178"/>
    <mergeCell ref="F175:G175"/>
    <mergeCell ref="F174:G174"/>
    <mergeCell ref="F207:G207"/>
    <mergeCell ref="J200:K200"/>
    <mergeCell ref="G200:H200"/>
    <mergeCell ref="F198:G198"/>
    <mergeCell ref="F197:G197"/>
    <mergeCell ref="J190:K190"/>
    <mergeCell ref="G190:H190"/>
    <mergeCell ref="F125:G125"/>
    <mergeCell ref="J120:K120"/>
    <mergeCell ref="G120:H120"/>
    <mergeCell ref="F118:G118"/>
    <mergeCell ref="F117:G117"/>
    <mergeCell ref="F218:G218"/>
    <mergeCell ref="F217:G217"/>
    <mergeCell ref="J210:K210"/>
    <mergeCell ref="G210:H210"/>
    <mergeCell ref="F208:G208"/>
    <mergeCell ref="G139:H139"/>
    <mergeCell ref="F137:G137"/>
    <mergeCell ref="F136:G136"/>
    <mergeCell ref="J129:K129"/>
    <mergeCell ref="G129:H129"/>
    <mergeCell ref="F126:G126"/>
    <mergeCell ref="J51:K51"/>
    <mergeCell ref="G51:H51"/>
    <mergeCell ref="A44:L44"/>
    <mergeCell ref="A42:L42"/>
    <mergeCell ref="F164:G164"/>
    <mergeCell ref="J159:K159"/>
    <mergeCell ref="G159:H159"/>
    <mergeCell ref="F156:G156"/>
    <mergeCell ref="F155:G155"/>
    <mergeCell ref="J149:K149"/>
    <mergeCell ref="J76:K76"/>
    <mergeCell ref="G76:H76"/>
    <mergeCell ref="J68:K68"/>
    <mergeCell ref="G68:H68"/>
    <mergeCell ref="J58:K58"/>
    <mergeCell ref="G58:H58"/>
    <mergeCell ref="A92:L92"/>
    <mergeCell ref="G88:H88"/>
    <mergeCell ref="J88:K88"/>
    <mergeCell ref="A88:F88"/>
    <mergeCell ref="J86:K86"/>
    <mergeCell ref="G86:H86"/>
    <mergeCell ref="D266:H266"/>
    <mergeCell ref="D269:H269"/>
    <mergeCell ref="J110:K110"/>
    <mergeCell ref="G110:H110"/>
    <mergeCell ref="F107:G107"/>
    <mergeCell ref="F106:G106"/>
    <mergeCell ref="G149:H149"/>
    <mergeCell ref="F147:G147"/>
    <mergeCell ref="F146:G146"/>
    <mergeCell ref="J139:K139"/>
    <mergeCell ref="A38:L38"/>
    <mergeCell ref="C258:I258"/>
    <mergeCell ref="J258:K258"/>
    <mergeCell ref="C259:I259"/>
    <mergeCell ref="J259:K259"/>
    <mergeCell ref="D263:H263"/>
    <mergeCell ref="J100:K100"/>
    <mergeCell ref="G100:H100"/>
    <mergeCell ref="F98:G98"/>
    <mergeCell ref="F97:G97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B3:E3"/>
    <mergeCell ref="H3:L3"/>
    <mergeCell ref="B4:E4"/>
    <mergeCell ref="H4:L4"/>
    <mergeCell ref="B6:E6"/>
    <mergeCell ref="H6:L6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tabSelected="1" zoomScaleNormal="100" workbookViewId="0"/>
  </sheetViews>
  <sheetFormatPr defaultRowHeight="13.2"/>
  <cols>
    <col min="1" max="1" width="6.77734375" customWidth="1"/>
    <col min="2" max="2" width="75.77734375" customWidth="1"/>
    <col min="3" max="5" width="15.77734375" customWidth="1"/>
    <col min="30" max="31" width="0" hidden="1" customWidth="1"/>
  </cols>
  <sheetData>
    <row r="1" spans="1:5" ht="13.8">
      <c r="A1" s="11"/>
      <c r="B1" s="11"/>
      <c r="C1" s="11"/>
      <c r="D1" s="11"/>
      <c r="E1" s="11"/>
    </row>
    <row r="2" spans="1:5" ht="15.6">
      <c r="A2" s="81" t="str">
        <f>CONCATENATE("Дефектный акт ", IF(Source!AN15&lt;&gt;"", Source!AN15," "))</f>
        <v xml:space="preserve">Дефектный акт  </v>
      </c>
      <c r="B2" s="81"/>
      <c r="C2" s="81"/>
      <c r="D2" s="81"/>
      <c r="E2" s="11"/>
    </row>
    <row r="3" spans="1:5" ht="13.8">
      <c r="A3" s="82" t="str">
        <f>CONCATENATE("На капитальный ремонт ", Source!G12)</f>
        <v>На капитальный ремонт Ремонт выхода  запас СРО  ИП 2021</v>
      </c>
      <c r="B3" s="82"/>
      <c r="C3" s="82"/>
      <c r="D3" s="82"/>
      <c r="E3" s="11"/>
    </row>
    <row r="4" spans="1:5" ht="13.8">
      <c r="A4" s="11"/>
      <c r="B4" s="11"/>
      <c r="C4" s="11"/>
      <c r="D4" s="11"/>
      <c r="E4" s="11"/>
    </row>
    <row r="5" spans="1:5" ht="13.8">
      <c r="A5" s="11"/>
      <c r="B5" s="83" t="s">
        <v>668</v>
      </c>
      <c r="C5" s="11"/>
      <c r="D5" s="11"/>
      <c r="E5" s="11"/>
    </row>
    <row r="6" spans="1:5" ht="13.8">
      <c r="A6" s="11"/>
      <c r="B6" s="83" t="s">
        <v>669</v>
      </c>
      <c r="C6" s="11"/>
      <c r="D6" s="11"/>
      <c r="E6" s="11"/>
    </row>
    <row r="7" spans="1:5" ht="13.8">
      <c r="A7" s="11"/>
      <c r="B7" s="83" t="s">
        <v>670</v>
      </c>
      <c r="C7" s="11"/>
      <c r="D7" s="11"/>
      <c r="E7" s="11"/>
    </row>
    <row r="8" spans="1:5" ht="27.6">
      <c r="A8" s="44" t="s">
        <v>631</v>
      </c>
      <c r="B8" s="44" t="s">
        <v>633</v>
      </c>
      <c r="C8" s="44" t="s">
        <v>671</v>
      </c>
      <c r="D8" s="44" t="s">
        <v>672</v>
      </c>
      <c r="E8" s="84" t="s">
        <v>673</v>
      </c>
    </row>
    <row r="9" spans="1:5" ht="13.8">
      <c r="A9" s="85">
        <v>1</v>
      </c>
      <c r="B9" s="85">
        <v>2</v>
      </c>
      <c r="C9" s="85">
        <v>3</v>
      </c>
      <c r="D9" s="85">
        <v>4</v>
      </c>
      <c r="E9" s="86">
        <v>5</v>
      </c>
    </row>
    <row r="10" spans="1:5" ht="16.8">
      <c r="A10" s="87" t="str">
        <f>CONCATENATE("Локальная смета: ", Source!G20)</f>
        <v>Локальная смета: Новая локальная смета</v>
      </c>
      <c r="B10" s="87"/>
      <c r="C10" s="87"/>
      <c r="D10" s="87"/>
      <c r="E10" s="87"/>
    </row>
    <row r="11" spans="1:5" ht="16.8">
      <c r="A11" s="87" t="str">
        <f>CONCATENATE("Раздел: ", Source!G24)</f>
        <v>Раздел: Демонтаж</v>
      </c>
      <c r="B11" s="87"/>
      <c r="C11" s="87"/>
      <c r="D11" s="87"/>
      <c r="E11" s="87"/>
    </row>
    <row r="12" spans="1:5" ht="27.6">
      <c r="A12" s="92" t="str">
        <f>Source!E28</f>
        <v>2</v>
      </c>
      <c r="B12" s="93" t="str">
        <f>Source!G28</f>
        <v>Резка дисковыми стенорезными машинами бетонных и железобетонных конструкций стен, перегородок и перекрытий глубиной 230 мм</v>
      </c>
      <c r="C12" s="94" t="str">
        <f>Source!H28</f>
        <v>1 м реза</v>
      </c>
      <c r="D12" s="95">
        <f>Source!I28</f>
        <v>2</v>
      </c>
      <c r="E12" s="93"/>
    </row>
    <row r="13" spans="1:5" ht="13.8">
      <c r="A13" s="92" t="str">
        <f>Source!E29</f>
        <v>2,1</v>
      </c>
      <c r="B13" s="93" t="str">
        <f>Source!G29</f>
        <v>Диск отрезной алмазный сегментный BCER-34-350.21.35/25,4</v>
      </c>
      <c r="C13" s="94" t="str">
        <f>Source!H29</f>
        <v>шт.</v>
      </c>
      <c r="D13" s="95">
        <f>Source!I29</f>
        <v>1</v>
      </c>
      <c r="E13" s="93"/>
    </row>
    <row r="14" spans="1:5" ht="41.4">
      <c r="A14" s="92" t="str">
        <f>Source!E30</f>
        <v>3</v>
      </c>
      <c r="B14" s="93" t="str">
        <f>Source!G30</f>
        <v>Очистка вручную поверхности фасадов от перхлорвиниловых и масляных красок с земли и лесов</v>
      </c>
      <c r="C14" s="94" t="str">
        <f>Source!H30</f>
        <v>100 м2 расчищенной поверхности</v>
      </c>
      <c r="D14" s="95">
        <f>Source!I30</f>
        <v>7.0000000000000007E-2</v>
      </c>
      <c r="E14" s="93"/>
    </row>
    <row r="15" spans="1:5" ht="27.6">
      <c r="A15" s="92" t="str">
        <f>Source!E31</f>
        <v>4</v>
      </c>
      <c r="B15" s="93" t="str">
        <f>Source!G31</f>
        <v>Разборка покрытий полов из керамических плиток</v>
      </c>
      <c r="C15" s="94" t="str">
        <f>Source!H31</f>
        <v>100 м2 покрытия</v>
      </c>
      <c r="D15" s="95">
        <f>Source!I31</f>
        <v>0.03</v>
      </c>
      <c r="E15" s="93"/>
    </row>
    <row r="16" spans="1:5" ht="13.8">
      <c r="A16" s="92" t="str">
        <f>Source!E32</f>
        <v>4,1</v>
      </c>
      <c r="B16" s="93" t="str">
        <f>Source!G32</f>
        <v>Строительный мусор</v>
      </c>
      <c r="C16" s="94" t="str">
        <f>Source!H32</f>
        <v>т</v>
      </c>
      <c r="D16" s="95">
        <f>Source!I32</f>
        <v>0.156</v>
      </c>
      <c r="E16" s="93"/>
    </row>
    <row r="17" spans="1:5" ht="41.4">
      <c r="A17" s="92" t="str">
        <f>Source!E33</f>
        <v>5</v>
      </c>
      <c r="B17" s="93" t="str">
        <f>Source!G33</f>
        <v>Снятие дверных полотен</v>
      </c>
      <c r="C17" s="94" t="str">
        <f>Source!H33</f>
        <v>100 м2 дверных полотен</v>
      </c>
      <c r="D17" s="95">
        <f>Source!I33</f>
        <v>4.7E-2</v>
      </c>
      <c r="E17" s="93"/>
    </row>
    <row r="18" spans="1:5" ht="13.8">
      <c r="A18" s="92" t="str">
        <f>Source!E34</f>
        <v>5,1</v>
      </c>
      <c r="B18" s="93" t="str">
        <f>Source!G34</f>
        <v>Строительный мусор</v>
      </c>
      <c r="C18" s="94" t="str">
        <f>Source!H34</f>
        <v>т</v>
      </c>
      <c r="D18" s="95">
        <f>Source!I34</f>
        <v>5.5459999999999995E-2</v>
      </c>
      <c r="E18" s="93"/>
    </row>
    <row r="19" spans="1:5" ht="27.6">
      <c r="A19" s="92" t="str">
        <f>Source!E35</f>
        <v>6</v>
      </c>
      <c r="B19" s="93" t="str">
        <f>Source!G35</f>
        <v>Демонтаж дверных коробок в каменных стенах с отбивкой штукатурки в откосах</v>
      </c>
      <c r="C19" s="94" t="str">
        <f>Source!H35</f>
        <v>100 коробок</v>
      </c>
      <c r="D19" s="95">
        <f>Source!I35</f>
        <v>0.02</v>
      </c>
      <c r="E19" s="93"/>
    </row>
    <row r="20" spans="1:5" ht="13.8">
      <c r="A20" s="92" t="str">
        <f>Source!E36</f>
        <v>6,1</v>
      </c>
      <c r="B20" s="93" t="str">
        <f>Source!G36</f>
        <v>Строительный мусор</v>
      </c>
      <c r="C20" s="94" t="str">
        <f>Source!H36</f>
        <v>т</v>
      </c>
      <c r="D20" s="95">
        <f>Source!I36</f>
        <v>0.21</v>
      </c>
      <c r="E20" s="93"/>
    </row>
    <row r="21" spans="1:5" ht="16.8">
      <c r="A21" s="87" t="str">
        <f>CONCATENATE("Раздел: ", Source!G68)</f>
        <v>Раздел: Монтаж</v>
      </c>
      <c r="B21" s="87"/>
      <c r="C21" s="87"/>
      <c r="D21" s="87"/>
      <c r="E21" s="87"/>
    </row>
    <row r="22" spans="1:5" ht="27.6">
      <c r="A22" s="92" t="str">
        <f>Source!E72</f>
        <v>1</v>
      </c>
      <c r="B22" s="93" t="str">
        <f>Source!G72</f>
        <v>Установка монтажных изделий массой до 20 кг</v>
      </c>
      <c r="C22" s="94" t="str">
        <f>Source!H72</f>
        <v>1 т стальных элементов</v>
      </c>
      <c r="D22" s="95">
        <f>Source!I72</f>
        <v>1.4999999999999999E-2</v>
      </c>
      <c r="E22" s="93"/>
    </row>
    <row r="23" spans="1:5" ht="27.6">
      <c r="A23" s="92" t="str">
        <f>Source!E73</f>
        <v>2</v>
      </c>
      <c r="B23" s="93" t="str">
        <f>Source!G73</f>
        <v>Монтаж связей и распорок из одиночных и парных уголков, гнутосварных профилей для пролетов до 24 м при высоте здания до 25 м</v>
      </c>
      <c r="C23" s="94" t="str">
        <f>Source!H73</f>
        <v>1 т конструкций</v>
      </c>
      <c r="D23" s="95">
        <f>Source!I73</f>
        <v>1.4999999999999999E-2</v>
      </c>
      <c r="E23" s="93"/>
    </row>
    <row r="24" spans="1:5" ht="41.4">
      <c r="A24" s="92" t="str">
        <f>Source!E74</f>
        <v>2,1</v>
      </c>
      <c r="B24" s="93" t="str">
        <f>Source!G74</f>
        <v>Отдельные конструктивные элементы зданий и сооружений с преобладанием горячекатаных профилей, средняя масса сборочной единицы до 0,1 т</v>
      </c>
      <c r="C24" s="94" t="str">
        <f>Source!H74</f>
        <v>т</v>
      </c>
      <c r="D24" s="95">
        <f>Source!I74</f>
        <v>1.4999999999999999E-2</v>
      </c>
      <c r="E24" s="93"/>
    </row>
    <row r="25" spans="1:5" ht="27.6">
      <c r="A25" s="92" t="str">
        <f>Source!E75</f>
        <v>6</v>
      </c>
      <c r="B25" s="93" t="str">
        <f>Source!G75</f>
        <v>Сверление установками алмазного бурения в железобетонных конструкциях горизонтальных отверстий глубиной 200 мм диаметром 20 мм</v>
      </c>
      <c r="C25" s="94" t="str">
        <f>Source!H75</f>
        <v>100 отверстий</v>
      </c>
      <c r="D25" s="95">
        <f>Source!I75</f>
        <v>0.06</v>
      </c>
      <c r="E25" s="93"/>
    </row>
    <row r="26" spans="1:5" ht="13.8">
      <c r="A26" s="92" t="str">
        <f>Source!E76</f>
        <v>7</v>
      </c>
      <c r="B26" s="93" t="str">
        <f>Source!G76</f>
        <v>Постановка болтов строительных с гайками и шайбами</v>
      </c>
      <c r="C26" s="94" t="str">
        <f>Source!H76</f>
        <v>100 шт. болтов</v>
      </c>
      <c r="D26" s="95">
        <f>Source!I76</f>
        <v>0.06</v>
      </c>
      <c r="E26" s="93"/>
    </row>
    <row r="27" spans="1:5" ht="13.8">
      <c r="A27" s="92" t="str">
        <f>Source!E77</f>
        <v>7,1</v>
      </c>
      <c r="B27" s="93" t="str">
        <f>Source!G77</f>
        <v>Болт анкерный с гайкой, размер 12,0x100 мм</v>
      </c>
      <c r="C27" s="94" t="str">
        <f>Source!H77</f>
        <v>100 шт.</v>
      </c>
      <c r="D27" s="95">
        <f>Source!I77</f>
        <v>0.06</v>
      </c>
      <c r="E27" s="93"/>
    </row>
    <row r="28" spans="1:5" ht="41.4">
      <c r="A28" s="92" t="str">
        <f>Source!E78</f>
        <v>8</v>
      </c>
      <c r="B28" s="93" t="str">
        <f>Source!G78</f>
        <v>Огрунтовка металлических поверхностей за один раз грунтовкой ГФ-021</v>
      </c>
      <c r="C28" s="94" t="str">
        <f>Source!H78</f>
        <v>100 м2 окрашиваемой поверхности</v>
      </c>
      <c r="D28" s="95">
        <f>Source!I78</f>
        <v>1.4999999999999999E-2</v>
      </c>
      <c r="E28" s="93"/>
    </row>
    <row r="29" spans="1:5" ht="41.4">
      <c r="A29" s="92" t="str">
        <f>Source!E79</f>
        <v>9</v>
      </c>
      <c r="B29" s="93" t="str">
        <f>Source!G79</f>
        <v>Окраска металлических огрунтованных поверхностей эмалью ПФ-115</v>
      </c>
      <c r="C29" s="94" t="str">
        <f>Source!H79</f>
        <v>100 м2 окрашиваемой поверхности</v>
      </c>
      <c r="D29" s="95">
        <f>Source!I79</f>
        <v>1.4999999999999999E-2</v>
      </c>
      <c r="E29" s="93"/>
    </row>
    <row r="30" spans="1:5" ht="27.6">
      <c r="A30" s="92" t="str">
        <f>Source!E80</f>
        <v>10</v>
      </c>
      <c r="B30" s="93" t="str">
        <f>Source!G80</f>
        <v>Монтаж кровельного покрытия из профилированного листа при высоте здания до 25 м</v>
      </c>
      <c r="C30" s="94" t="str">
        <f>Source!H80</f>
        <v>100 м2 покрытия</v>
      </c>
      <c r="D30" s="95">
        <f>Source!I80</f>
        <v>0.02</v>
      </c>
      <c r="E30" s="93"/>
    </row>
    <row r="31" spans="1:5" ht="13.8">
      <c r="A31" s="92" t="str">
        <f>Source!E81</f>
        <v>10,1</v>
      </c>
      <c r="B31" s="93" t="str">
        <f>Source!G81</f>
        <v>Профнастил оцинкованный С-21 0,4х1050x3000</v>
      </c>
      <c r="C31" s="94" t="str">
        <f>Source!H81</f>
        <v>1 м2</v>
      </c>
      <c r="D31" s="95">
        <f>Source!I81</f>
        <v>3</v>
      </c>
      <c r="E31" s="93"/>
    </row>
    <row r="32" spans="1:5" ht="13.8">
      <c r="A32" s="92" t="str">
        <f>Source!E82</f>
        <v>11</v>
      </c>
      <c r="B32" s="93" t="str">
        <f>Source!G82</f>
        <v>Установка противопожарных дверей двупольных глухих</v>
      </c>
      <c r="C32" s="94" t="str">
        <f>Source!H82</f>
        <v>1 м2 проема</v>
      </c>
      <c r="D32" s="95">
        <f>Source!I82</f>
        <v>3</v>
      </c>
      <c r="E32" s="93"/>
    </row>
    <row r="33" spans="1:5" ht="27.6">
      <c r="A33" s="92" t="str">
        <f>Source!E84</f>
        <v>11,2</v>
      </c>
      <c r="B33" s="93" t="str">
        <f>Source!G84</f>
        <v>Дверь противопожарная металлическая двупольная ДПМ-02/60, размером 1500х2100 мм</v>
      </c>
      <c r="C33" s="94" t="str">
        <f>Source!H84</f>
        <v>шт.</v>
      </c>
      <c r="D33" s="95">
        <f>Source!I84</f>
        <v>1</v>
      </c>
      <c r="E33" s="93"/>
    </row>
    <row r="34" spans="1:5" ht="13.8">
      <c r="A34" s="92" t="str">
        <f>Source!E85</f>
        <v>11,3</v>
      </c>
      <c r="B34" s="93" t="str">
        <f>Source!G85</f>
        <v>Скобяные изделия для блоков входных дверей в здание двупольных</v>
      </c>
      <c r="C34" s="94" t="str">
        <f>Source!H85</f>
        <v>компл.</v>
      </c>
      <c r="D34" s="95">
        <f>Source!I85</f>
        <v>1</v>
      </c>
      <c r="E34" s="93"/>
    </row>
    <row r="35" spans="1:5" ht="13.8">
      <c r="A35" s="92" t="str">
        <f>Source!E86</f>
        <v>16</v>
      </c>
      <c r="B35" s="93" t="str">
        <f>Source!G86</f>
        <v>Установка дверного доводчика к металлическим дверям</v>
      </c>
      <c r="C35" s="94" t="str">
        <f>Source!H86</f>
        <v>1  ШТ.</v>
      </c>
      <c r="D35" s="95">
        <f>Source!I86</f>
        <v>1</v>
      </c>
      <c r="E35" s="93"/>
    </row>
    <row r="36" spans="1:5" ht="13.8">
      <c r="A36" s="92" t="str">
        <f>Source!E87</f>
        <v>16,1</v>
      </c>
      <c r="B36" s="93" t="str">
        <f>Source!G87</f>
        <v>доводчик дверной гидровлический (нагрузка 90кг)</v>
      </c>
      <c r="C36" s="94" t="str">
        <f>Source!H87</f>
        <v/>
      </c>
      <c r="D36" s="95">
        <f>Source!I87</f>
        <v>1</v>
      </c>
      <c r="E36" s="93"/>
    </row>
    <row r="37" spans="1:5" ht="27.6">
      <c r="A37" s="92" t="str">
        <f>Source!E88</f>
        <v>21</v>
      </c>
      <c r="B37" s="93" t="str">
        <f>Source!G88</f>
        <v>Установка блоков из ПВХ в наружных и внутренних дверных проемах в перегородках и деревянных нерубленных стенах площадью проема до 3 м2</v>
      </c>
      <c r="C37" s="94" t="str">
        <f>Source!H88</f>
        <v>100 м2 проемов</v>
      </c>
      <c r="D37" s="95">
        <f>Source!I88</f>
        <v>0.03</v>
      </c>
      <c r="E37" s="93"/>
    </row>
    <row r="38" spans="1:5" ht="27.6">
      <c r="A38" s="92" t="str">
        <f>Source!E89</f>
        <v>21,1</v>
      </c>
      <c r="B38" s="93" t="str">
        <f>Source!G89</f>
        <v>Блоки дверные наружные или тамбурные с заполнением стеклопакетами (ГОСТ 30970-2002)</v>
      </c>
      <c r="C38" s="94" t="str">
        <f>Source!H89</f>
        <v>м2</v>
      </c>
      <c r="D38" s="95">
        <f>Source!I89</f>
        <v>-3</v>
      </c>
      <c r="E38" s="93"/>
    </row>
    <row r="39" spans="1:5" ht="13.8">
      <c r="A39" s="92" t="str">
        <f>Source!E90</f>
        <v>21,2</v>
      </c>
      <c r="B39" s="93" t="str">
        <f>Source!G90</f>
        <v>блоки двернык пвх</v>
      </c>
      <c r="C39" s="94" t="str">
        <f>Source!H90</f>
        <v/>
      </c>
      <c r="D39" s="95">
        <f>Source!I90</f>
        <v>1</v>
      </c>
      <c r="E39" s="93"/>
    </row>
    <row r="40" spans="1:5" ht="55.2">
      <c r="A40" s="92" t="str">
        <f>Source!E91</f>
        <v>22</v>
      </c>
      <c r="B40" s="93" t="str">
        <f>Source!G91</f>
        <v>Штукатурка поверхностей оконных и дверных откосов по бетону и камню плоских</v>
      </c>
      <c r="C40" s="94" t="str">
        <f>Source!H91</f>
        <v>100 м2 оштукатуриваемой поверхности</v>
      </c>
      <c r="D40" s="95">
        <f>Source!I91</f>
        <v>6.2E-2</v>
      </c>
      <c r="E40" s="93"/>
    </row>
    <row r="41" spans="1:5" ht="41.4">
      <c r="A41" s="92" t="str">
        <f>Source!E92</f>
        <v>23</v>
      </c>
      <c r="B41" s="93" t="str">
        <f>Source!G92</f>
        <v>Окраска водно-дисперсионными акриловыми составами улучшенная по штукатурке стен</v>
      </c>
      <c r="C41" s="94" t="str">
        <f>Source!H92</f>
        <v>100 м2 окрашиваемой поверхности</v>
      </c>
      <c r="D41" s="95">
        <f>Source!I92</f>
        <v>6.2E-2</v>
      </c>
      <c r="E41" s="93"/>
    </row>
    <row r="42" spans="1:5" ht="13.8">
      <c r="A42" s="92" t="str">
        <f>Source!E93</f>
        <v>24</v>
      </c>
      <c r="B42" s="93" t="str">
        <f>Source!G93</f>
        <v>Устройство стяжек цементных толщиной 20 мм</v>
      </c>
      <c r="C42" s="94" t="str">
        <f>Source!H93</f>
        <v>100 м2 стяжки</v>
      </c>
      <c r="D42" s="95">
        <f>Source!I93</f>
        <v>0.03</v>
      </c>
      <c r="E42" s="93"/>
    </row>
    <row r="43" spans="1:5" ht="27.6">
      <c r="A43" s="92" t="str">
        <f>Source!E94</f>
        <v>25</v>
      </c>
      <c r="B43" s="93" t="str">
        <f>Source!G94</f>
        <v>Устройство стяжек на каждые 5 мм изменения толщины стяжки добавлять или исключать к расценке 11-01-011-01</v>
      </c>
      <c r="C43" s="94" t="str">
        <f>Source!H94</f>
        <v>100 м2 стяжки</v>
      </c>
      <c r="D43" s="95">
        <f>Source!I94</f>
        <v>0.03</v>
      </c>
      <c r="E43" s="93"/>
    </row>
    <row r="44" spans="1:5" ht="27.6">
      <c r="A44" s="92" t="str">
        <f>Source!E95</f>
        <v>26</v>
      </c>
      <c r="B44" s="93" t="str">
        <f>Source!G95</f>
        <v>Устройство покрытий из плит керамогранитных размером 40х40 см</v>
      </c>
      <c r="C44" s="94" t="str">
        <f>Source!H95</f>
        <v>100 м2 покрытия</v>
      </c>
      <c r="D44" s="95">
        <f>Source!I95</f>
        <v>0.03</v>
      </c>
      <c r="E44" s="93"/>
    </row>
    <row r="45" spans="1:5" ht="27.6">
      <c r="A45" s="92" t="str">
        <f>Source!E96</f>
        <v>27</v>
      </c>
      <c r="B45" s="93" t="str">
        <f>Source!G96</f>
        <v>Погрузка при автомобильных перевозках мусора строительного с погрузкой вручную</v>
      </c>
      <c r="C45" s="94" t="str">
        <f>Source!H96</f>
        <v>1 Т ГРУЗА</v>
      </c>
      <c r="D45" s="95">
        <f>Source!I96</f>
        <v>0.3</v>
      </c>
      <c r="E45" s="93"/>
    </row>
    <row r="46" spans="1:5" ht="27.6">
      <c r="A46" s="88" t="str">
        <f>Source!E97</f>
        <v>28</v>
      </c>
      <c r="B46" s="89" t="str">
        <f>Source!G97</f>
        <v>Перевозка грузов I класса автомобилями бортовыми грузоподъемностью до 15 т на расстояние до 40 км</v>
      </c>
      <c r="C46" s="90" t="str">
        <f>Source!H97</f>
        <v>1 Т ГРУЗА</v>
      </c>
      <c r="D46" s="91">
        <f>Source!I97</f>
        <v>0.3</v>
      </c>
      <c r="E46" s="89"/>
    </row>
    <row r="49" spans="1:5" ht="13.8">
      <c r="A49" s="52" t="s">
        <v>674</v>
      </c>
      <c r="B49" s="52"/>
      <c r="C49" s="52" t="s">
        <v>675</v>
      </c>
      <c r="D49" s="52"/>
      <c r="E49" s="52"/>
    </row>
  </sheetData>
  <mergeCells count="5">
    <mergeCell ref="A2:D2"/>
    <mergeCell ref="A3:D3"/>
    <mergeCell ref="A10:E10"/>
    <mergeCell ref="A11:E11"/>
    <mergeCell ref="A21:E21"/>
  </mergeCells>
  <pageMargins left="0.4" right="0.2" top="0.2" bottom="0.4" header="0.2" footer="0.2"/>
  <pageSetup paperSize="9" scale="75" fitToHeight="0" orientation="portrait" horizontalDpi="360" verticalDpi="36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K260"/>
  <sheetViews>
    <sheetView workbookViewId="0">
      <selection activeCell="A256" sqref="A256:AN256"/>
    </sheetView>
  </sheetViews>
  <sheetFormatPr defaultColWidth="9.109375" defaultRowHeight="13.2"/>
  <cols>
    <col min="1" max="256" width="9.10937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1</v>
      </c>
      <c r="Q1">
        <v>0</v>
      </c>
    </row>
    <row r="12" spans="1:133">
      <c r="A12" s="1">
        <v>1</v>
      </c>
      <c r="B12" s="1">
        <v>254</v>
      </c>
      <c r="C12" s="1">
        <v>0</v>
      </c>
      <c r="D12" s="1">
        <f>ROW(A193)</f>
        <v>193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B193</f>
        <v>254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Ремонт выхода  запас СРО  ИП 2021</v>
      </c>
      <c r="H18" s="2"/>
      <c r="I18" s="2"/>
      <c r="J18" s="2"/>
      <c r="K18" s="2"/>
      <c r="L18" s="2"/>
      <c r="M18" s="2"/>
      <c r="N18" s="2"/>
      <c r="O18" s="2">
        <f t="shared" ref="O18:AT18" si="1">O193</f>
        <v>112084.03</v>
      </c>
      <c r="P18" s="2">
        <f t="shared" si="1"/>
        <v>87761.72</v>
      </c>
      <c r="Q18" s="2">
        <f t="shared" si="1"/>
        <v>3694.52</v>
      </c>
      <c r="R18" s="2">
        <f t="shared" si="1"/>
        <v>741.02</v>
      </c>
      <c r="S18" s="2">
        <f t="shared" si="1"/>
        <v>20627.79</v>
      </c>
      <c r="T18" s="2">
        <f t="shared" si="1"/>
        <v>0</v>
      </c>
      <c r="U18" s="2">
        <f t="shared" si="1"/>
        <v>67.616805999999997</v>
      </c>
      <c r="V18" s="2">
        <f t="shared" si="1"/>
        <v>1.8860999999999999</v>
      </c>
      <c r="W18" s="2">
        <f t="shared" si="1"/>
        <v>5.17</v>
      </c>
      <c r="X18" s="2">
        <f t="shared" si="1"/>
        <v>17445.439999999999</v>
      </c>
      <c r="Y18" s="2">
        <f t="shared" si="1"/>
        <v>11038.45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140567.92000000001</v>
      </c>
      <c r="AS18" s="2">
        <f t="shared" si="1"/>
        <v>140567.92000000001</v>
      </c>
      <c r="AT18" s="2">
        <f t="shared" si="1"/>
        <v>0</v>
      </c>
      <c r="AU18" s="2">
        <f t="shared" ref="AU18:BZ18" si="2">AU193</f>
        <v>0</v>
      </c>
      <c r="AV18" s="2">
        <f t="shared" si="2"/>
        <v>87761.72</v>
      </c>
      <c r="AW18" s="2">
        <f t="shared" si="2"/>
        <v>87761.72</v>
      </c>
      <c r="AX18" s="2">
        <f t="shared" si="2"/>
        <v>0</v>
      </c>
      <c r="AY18" s="2">
        <f t="shared" si="2"/>
        <v>87761.72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245.73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CA193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DG193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EM193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FS193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ROW(A163)</f>
        <v>163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B163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O163</f>
        <v>112084.03</v>
      </c>
      <c r="P22" s="2">
        <f t="shared" si="8"/>
        <v>87761.72</v>
      </c>
      <c r="Q22" s="2">
        <f t="shared" si="8"/>
        <v>3694.52</v>
      </c>
      <c r="R22" s="2">
        <f t="shared" si="8"/>
        <v>741.02</v>
      </c>
      <c r="S22" s="2">
        <f t="shared" si="8"/>
        <v>20627.79</v>
      </c>
      <c r="T22" s="2">
        <f t="shared" si="8"/>
        <v>0</v>
      </c>
      <c r="U22" s="2">
        <f t="shared" si="8"/>
        <v>67.616805999999997</v>
      </c>
      <c r="V22" s="2">
        <f t="shared" si="8"/>
        <v>1.8860999999999999</v>
      </c>
      <c r="W22" s="2">
        <f t="shared" si="8"/>
        <v>5.17</v>
      </c>
      <c r="X22" s="2">
        <f t="shared" si="8"/>
        <v>17445.439999999999</v>
      </c>
      <c r="Y22" s="2">
        <f t="shared" si="8"/>
        <v>11038.45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140567.92000000001</v>
      </c>
      <c r="AS22" s="2">
        <f t="shared" si="8"/>
        <v>140567.92000000001</v>
      </c>
      <c r="AT22" s="2">
        <f t="shared" si="8"/>
        <v>0</v>
      </c>
      <c r="AU22" s="2">
        <f t="shared" ref="AU22:BZ22" si="9">AU163</f>
        <v>0</v>
      </c>
      <c r="AV22" s="2">
        <f t="shared" si="9"/>
        <v>87761.72</v>
      </c>
      <c r="AW22" s="2">
        <f t="shared" si="9"/>
        <v>87761.72</v>
      </c>
      <c r="AX22" s="2">
        <f t="shared" si="9"/>
        <v>0</v>
      </c>
      <c r="AY22" s="2">
        <f t="shared" si="9"/>
        <v>87761.72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245.73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CA163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DG163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EM163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FS163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ROW(A38)</f>
        <v>38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B38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Демонтаж</v>
      </c>
      <c r="H26" s="2"/>
      <c r="I26" s="2"/>
      <c r="J26" s="2"/>
      <c r="K26" s="2"/>
      <c r="L26" s="2"/>
      <c r="M26" s="2"/>
      <c r="N26" s="2"/>
      <c r="O26" s="2">
        <f t="shared" ref="O26:AT26" si="15">O38</f>
        <v>13222.93</v>
      </c>
      <c r="P26" s="2">
        <f t="shared" si="15"/>
        <v>6104.27</v>
      </c>
      <c r="Q26" s="2">
        <f t="shared" si="15"/>
        <v>1903.24</v>
      </c>
      <c r="R26" s="2">
        <f t="shared" si="15"/>
        <v>45.48</v>
      </c>
      <c r="S26" s="2">
        <f t="shared" si="15"/>
        <v>5215.42</v>
      </c>
      <c r="T26" s="2">
        <f t="shared" si="15"/>
        <v>0</v>
      </c>
      <c r="U26" s="2">
        <f t="shared" si="15"/>
        <v>16.683259999999997</v>
      </c>
      <c r="V26" s="2">
        <f t="shared" si="15"/>
        <v>0.12260000000000001</v>
      </c>
      <c r="W26" s="2">
        <f t="shared" si="15"/>
        <v>0.08</v>
      </c>
      <c r="X26" s="2">
        <f t="shared" si="15"/>
        <v>1948.13</v>
      </c>
      <c r="Y26" s="2">
        <f t="shared" si="15"/>
        <v>1479.42</v>
      </c>
      <c r="Z26" s="2">
        <f t="shared" si="15"/>
        <v>0</v>
      </c>
      <c r="AA26" s="2">
        <f t="shared" si="15"/>
        <v>0</v>
      </c>
      <c r="AB26" s="2">
        <f t="shared" si="15"/>
        <v>13222.93</v>
      </c>
      <c r="AC26" s="2">
        <f t="shared" si="15"/>
        <v>6104.27</v>
      </c>
      <c r="AD26" s="2">
        <f t="shared" si="15"/>
        <v>1903.24</v>
      </c>
      <c r="AE26" s="2">
        <f t="shared" si="15"/>
        <v>45.48</v>
      </c>
      <c r="AF26" s="2">
        <f t="shared" si="15"/>
        <v>5215.42</v>
      </c>
      <c r="AG26" s="2">
        <f t="shared" si="15"/>
        <v>0</v>
      </c>
      <c r="AH26" s="2">
        <f t="shared" si="15"/>
        <v>16.683259999999997</v>
      </c>
      <c r="AI26" s="2">
        <f t="shared" si="15"/>
        <v>0.12260000000000001</v>
      </c>
      <c r="AJ26" s="2">
        <f t="shared" si="15"/>
        <v>0.08</v>
      </c>
      <c r="AK26" s="2">
        <f t="shared" si="15"/>
        <v>1948.13</v>
      </c>
      <c r="AL26" s="2">
        <f t="shared" si="15"/>
        <v>1479.42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16650.48</v>
      </c>
      <c r="AS26" s="2">
        <f t="shared" si="15"/>
        <v>16650.48</v>
      </c>
      <c r="AT26" s="2">
        <f t="shared" si="15"/>
        <v>0</v>
      </c>
      <c r="AU26" s="2">
        <f t="shared" ref="AU26:BZ26" si="16">AU38</f>
        <v>0</v>
      </c>
      <c r="AV26" s="2">
        <f t="shared" si="16"/>
        <v>6104.27</v>
      </c>
      <c r="AW26" s="2">
        <f t="shared" si="16"/>
        <v>6104.27</v>
      </c>
      <c r="AX26" s="2">
        <f t="shared" si="16"/>
        <v>0</v>
      </c>
      <c r="AY26" s="2">
        <f t="shared" si="16"/>
        <v>6104.27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CA38</f>
        <v>16650.48</v>
      </c>
      <c r="CB26" s="2">
        <f t="shared" si="17"/>
        <v>16650.48</v>
      </c>
      <c r="CC26" s="2">
        <f t="shared" si="17"/>
        <v>0</v>
      </c>
      <c r="CD26" s="2">
        <f t="shared" si="17"/>
        <v>0</v>
      </c>
      <c r="CE26" s="2">
        <f t="shared" si="17"/>
        <v>6104.27</v>
      </c>
      <c r="CF26" s="2">
        <f t="shared" si="17"/>
        <v>6104.27</v>
      </c>
      <c r="CG26" s="2">
        <f t="shared" si="17"/>
        <v>0</v>
      </c>
      <c r="CH26" s="2">
        <f t="shared" si="17"/>
        <v>6104.27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DG38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EM38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FS38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ROW(SmtRes!A5)</f>
        <v>5</v>
      </c>
      <c r="D28">
        <f>ROW(EtalonRes!A5)</f>
        <v>5</v>
      </c>
      <c r="E28" t="s">
        <v>15</v>
      </c>
      <c r="F28" t="s">
        <v>16</v>
      </c>
      <c r="G28" t="s">
        <v>17</v>
      </c>
      <c r="H28" t="s">
        <v>18</v>
      </c>
      <c r="I28">
        <v>2</v>
      </c>
      <c r="J28">
        <v>0</v>
      </c>
      <c r="K28">
        <v>2</v>
      </c>
      <c r="O28">
        <f t="shared" ref="O28:O36" si="21">ROUND(CP28,2)</f>
        <v>4777.82</v>
      </c>
      <c r="P28">
        <f t="shared" ref="P28:P36" si="22">ROUND(CQ28*I28,2)</f>
        <v>75.599999999999994</v>
      </c>
      <c r="Q28">
        <f t="shared" ref="Q28:Q36" si="23">ROUND(CR28*I28,2)</f>
        <v>1841.02</v>
      </c>
      <c r="R28">
        <f t="shared" ref="R28:R36" si="24">ROUND(CS28*I28,2)</f>
        <v>0</v>
      </c>
      <c r="S28">
        <f t="shared" ref="S28:S36" si="25">ROUND(CT28*I28,2)</f>
        <v>2861.2</v>
      </c>
      <c r="T28">
        <f t="shared" ref="T28:T36" si="26">ROUND(CU28*I28,2)</f>
        <v>0</v>
      </c>
      <c r="U28">
        <f t="shared" ref="U28:U36" si="27">CV28*I28</f>
        <v>7.84</v>
      </c>
      <c r="V28">
        <f t="shared" ref="V28:V36" si="28">CW28*I28</f>
        <v>0</v>
      </c>
      <c r="W28">
        <f t="shared" ref="W28:W36" si="29">ROUND(CX28*I28,2)</f>
        <v>0</v>
      </c>
      <c r="X28">
        <f t="shared" ref="X28:X36" si="30">ROUND(CY28,2)</f>
        <v>0</v>
      </c>
      <c r="Y28">
        <f t="shared" ref="Y28:Y36" si="31">ROUND(CZ28,2)</f>
        <v>0</v>
      </c>
      <c r="AA28">
        <v>35683522</v>
      </c>
      <c r="AB28">
        <f t="shared" ref="AB28:AB36" si="32">ROUND((AC28+AD28+AF28),6)</f>
        <v>334.06</v>
      </c>
      <c r="AC28">
        <f t="shared" ref="AC28:AF29" si="33">ROUND((ES28),6)</f>
        <v>10.8</v>
      </c>
      <c r="AD28">
        <f t="shared" si="33"/>
        <v>279.79000000000002</v>
      </c>
      <c r="AE28">
        <f t="shared" si="33"/>
        <v>0</v>
      </c>
      <c r="AF28">
        <f t="shared" si="33"/>
        <v>43.47</v>
      </c>
      <c r="AG28">
        <f t="shared" ref="AG28:AG36" si="34">ROUND((AP28),6)</f>
        <v>0</v>
      </c>
      <c r="AH28">
        <f t="shared" ref="AH28:AH36" si="35">(EW28)</f>
        <v>3.92</v>
      </c>
      <c r="AI28">
        <f t="shared" ref="AI28:AI36" si="36">(EX28)</f>
        <v>0</v>
      </c>
      <c r="AJ28">
        <f t="shared" ref="AJ28:AJ36" si="37">(AS28)</f>
        <v>0</v>
      </c>
      <c r="AK28">
        <v>334.06</v>
      </c>
      <c r="AL28">
        <v>10.8</v>
      </c>
      <c r="AM28">
        <v>279.79000000000002</v>
      </c>
      <c r="AN28">
        <v>0</v>
      </c>
      <c r="AO28">
        <v>43.47</v>
      </c>
      <c r="AP28">
        <v>0</v>
      </c>
      <c r="AQ28">
        <v>3.92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Z28">
        <v>1</v>
      </c>
      <c r="BA28">
        <v>32.909999999999997</v>
      </c>
      <c r="BB28">
        <v>3.29</v>
      </c>
      <c r="BC28">
        <v>3.5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46003</v>
      </c>
      <c r="BN28">
        <v>0</v>
      </c>
      <c r="BO28" t="s">
        <v>16</v>
      </c>
      <c r="BP28">
        <v>1</v>
      </c>
      <c r="BQ28">
        <v>0</v>
      </c>
      <c r="BR28">
        <v>0</v>
      </c>
      <c r="BS28">
        <v>32.909999999999997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0</v>
      </c>
      <c r="CA28">
        <v>0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36" si="38">(P28+Q28+S28)</f>
        <v>4777.82</v>
      </c>
      <c r="CQ28">
        <f t="shared" ref="CQ28:CQ36" si="39">AC28*BC28</f>
        <v>37.800000000000004</v>
      </c>
      <c r="CR28">
        <f t="shared" ref="CR28:CR36" si="40">AD28*BB28</f>
        <v>920.5091000000001</v>
      </c>
      <c r="CS28">
        <f t="shared" ref="CS28:CS36" si="41">AE28*BS28</f>
        <v>0</v>
      </c>
      <c r="CT28">
        <f t="shared" ref="CT28:CT36" si="42">AF28*BA28</f>
        <v>1430.5976999999998</v>
      </c>
      <c r="CU28">
        <f t="shared" ref="CU28:CU36" si="43">AG28</f>
        <v>0</v>
      </c>
      <c r="CV28">
        <f t="shared" ref="CV28:CV36" si="44">AH28</f>
        <v>3.92</v>
      </c>
      <c r="CW28">
        <f t="shared" ref="CW28:CW36" si="45">AI28</f>
        <v>0</v>
      </c>
      <c r="CX28">
        <f t="shared" ref="CX28:CX36" si="46">AJ28</f>
        <v>0</v>
      </c>
      <c r="CY28">
        <f>0</f>
        <v>0</v>
      </c>
      <c r="CZ28">
        <f>0</f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1003</v>
      </c>
      <c r="DV28" t="s">
        <v>18</v>
      </c>
      <c r="DW28" t="s">
        <v>18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0</v>
      </c>
      <c r="EF28">
        <v>0</v>
      </c>
      <c r="EG28" t="s">
        <v>3</v>
      </c>
      <c r="EH28">
        <v>0</v>
      </c>
      <c r="EI28" t="s">
        <v>3</v>
      </c>
      <c r="EJ28">
        <v>0</v>
      </c>
      <c r="EK28">
        <v>46003</v>
      </c>
      <c r="EL28" t="s">
        <v>3</v>
      </c>
      <c r="EM28" t="s">
        <v>3</v>
      </c>
      <c r="EO28" t="s">
        <v>3</v>
      </c>
      <c r="EQ28">
        <v>0</v>
      </c>
      <c r="ER28">
        <v>334.06</v>
      </c>
      <c r="ES28">
        <v>10.8</v>
      </c>
      <c r="ET28">
        <v>279.79000000000002</v>
      </c>
      <c r="EU28">
        <v>0</v>
      </c>
      <c r="EV28">
        <v>43.47</v>
      </c>
      <c r="EW28">
        <v>3.92</v>
      </c>
      <c r="EX28">
        <v>0</v>
      </c>
      <c r="EY28">
        <v>0</v>
      </c>
      <c r="FQ28">
        <v>0</v>
      </c>
      <c r="FR28">
        <f t="shared" ref="FR28:FR36" si="47">ROUND(IF(AND(BH28=3,BI28=3),P28,0),2)</f>
        <v>0</v>
      </c>
      <c r="FS28">
        <v>0</v>
      </c>
      <c r="FX28">
        <v>0</v>
      </c>
      <c r="FY28">
        <v>0</v>
      </c>
      <c r="GA28" t="s">
        <v>3</v>
      </c>
      <c r="GD28">
        <v>1</v>
      </c>
      <c r="GF28">
        <v>524007903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ref="GL28:GL36" si="48">ROUND(IF(AND(BH28=3,BI28=3,FS28&lt;&gt;0),P28,0),2)</f>
        <v>0</v>
      </c>
      <c r="GM28">
        <f t="shared" ref="GM28:GM36" si="49">ROUND(O28+X28+Y28,2)+GX28</f>
        <v>4777.82</v>
      </c>
      <c r="GN28">
        <f t="shared" ref="GN28:GN36" si="50">IF(OR(BI28=0,BI28=1),ROUND(O28+X28+Y28,2),0)</f>
        <v>4777.82</v>
      </c>
      <c r="GO28">
        <f t="shared" ref="GO28:GO36" si="51">IF(BI28=2,ROUND(O28+X28+Y28,2),0)</f>
        <v>0</v>
      </c>
      <c r="GP28">
        <f t="shared" ref="GP28:GP36" si="52"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36" si="53">ROUND((GT28),6)</f>
        <v>0</v>
      </c>
      <c r="GW28">
        <v>1</v>
      </c>
      <c r="GX28">
        <f t="shared" ref="GX28:GX36" si="54">ROUND(HC28*I28,2)</f>
        <v>0</v>
      </c>
      <c r="HA28">
        <v>0</v>
      </c>
      <c r="HB28">
        <v>0</v>
      </c>
      <c r="HC28">
        <f t="shared" ref="HC28:HC36" si="55">GV28*GW28</f>
        <v>0</v>
      </c>
      <c r="HE28" t="s">
        <v>3</v>
      </c>
      <c r="HF28" t="s">
        <v>3</v>
      </c>
      <c r="HM28" t="s">
        <v>3</v>
      </c>
      <c r="IK28">
        <v>0</v>
      </c>
    </row>
    <row r="29" spans="1:245">
      <c r="A29">
        <v>18</v>
      </c>
      <c r="B29">
        <v>1</v>
      </c>
      <c r="C29">
        <v>4</v>
      </c>
      <c r="E29" t="s">
        <v>20</v>
      </c>
      <c r="F29" t="s">
        <v>21</v>
      </c>
      <c r="G29" t="s">
        <v>22</v>
      </c>
      <c r="H29" t="s">
        <v>23</v>
      </c>
      <c r="I29">
        <f>I28*J29</f>
        <v>1</v>
      </c>
      <c r="J29">
        <v>0.5</v>
      </c>
      <c r="K29">
        <v>0.5</v>
      </c>
      <c r="O29">
        <f t="shared" si="21"/>
        <v>6028.67</v>
      </c>
      <c r="P29">
        <f t="shared" si="22"/>
        <v>6028.67</v>
      </c>
      <c r="Q29">
        <f t="shared" si="23"/>
        <v>0</v>
      </c>
      <c r="R29">
        <f t="shared" si="24"/>
        <v>0</v>
      </c>
      <c r="S29">
        <f t="shared" si="25"/>
        <v>0</v>
      </c>
      <c r="T29">
        <f t="shared" si="26"/>
        <v>0</v>
      </c>
      <c r="U29">
        <f t="shared" si="27"/>
        <v>0</v>
      </c>
      <c r="V29">
        <f t="shared" si="28"/>
        <v>0</v>
      </c>
      <c r="W29">
        <f t="shared" si="29"/>
        <v>0.08</v>
      </c>
      <c r="X29">
        <f t="shared" si="30"/>
        <v>0</v>
      </c>
      <c r="Y29">
        <f t="shared" si="31"/>
        <v>0</v>
      </c>
      <c r="AA29">
        <v>35683522</v>
      </c>
      <c r="AB29">
        <f t="shared" si="32"/>
        <v>6028.67</v>
      </c>
      <c r="AC29">
        <f t="shared" si="33"/>
        <v>6028.67</v>
      </c>
      <c r="AD29">
        <f t="shared" si="33"/>
        <v>0</v>
      </c>
      <c r="AE29">
        <f t="shared" si="33"/>
        <v>0</v>
      </c>
      <c r="AF29">
        <f t="shared" si="33"/>
        <v>0</v>
      </c>
      <c r="AG29">
        <f t="shared" si="34"/>
        <v>0</v>
      </c>
      <c r="AH29">
        <f t="shared" si="35"/>
        <v>0</v>
      </c>
      <c r="AI29">
        <f t="shared" si="36"/>
        <v>0</v>
      </c>
      <c r="AJ29">
        <f t="shared" si="37"/>
        <v>0.08</v>
      </c>
      <c r="AK29">
        <v>6028.67</v>
      </c>
      <c r="AL29">
        <v>6028.67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0.08</v>
      </c>
      <c r="AT29">
        <v>0</v>
      </c>
      <c r="AU29">
        <v>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24</v>
      </c>
      <c r="BM29">
        <v>46003</v>
      </c>
      <c r="BN29">
        <v>0</v>
      </c>
      <c r="BO29" t="s">
        <v>3</v>
      </c>
      <c r="BP29">
        <v>0</v>
      </c>
      <c r="BQ29">
        <v>0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0</v>
      </c>
      <c r="CA29">
        <v>0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8"/>
        <v>6028.67</v>
      </c>
      <c r="CQ29">
        <f t="shared" si="39"/>
        <v>6028.67</v>
      </c>
      <c r="CR29">
        <f t="shared" si="40"/>
        <v>0</v>
      </c>
      <c r="CS29">
        <f t="shared" si="41"/>
        <v>0</v>
      </c>
      <c r="CT29">
        <f t="shared" si="42"/>
        <v>0</v>
      </c>
      <c r="CU29">
        <f t="shared" si="43"/>
        <v>0</v>
      </c>
      <c r="CV29">
        <f t="shared" si="44"/>
        <v>0</v>
      </c>
      <c r="CW29">
        <f t="shared" si="45"/>
        <v>0</v>
      </c>
      <c r="CX29">
        <f t="shared" si="46"/>
        <v>0.08</v>
      </c>
      <c r="CY29">
        <f>0</f>
        <v>0</v>
      </c>
      <c r="CZ29">
        <f>0</f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1010</v>
      </c>
      <c r="DV29" t="s">
        <v>23</v>
      </c>
      <c r="DW29" t="s">
        <v>23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0</v>
      </c>
      <c r="EF29">
        <v>0</v>
      </c>
      <c r="EG29" t="s">
        <v>3</v>
      </c>
      <c r="EH29">
        <v>0</v>
      </c>
      <c r="EI29" t="s">
        <v>3</v>
      </c>
      <c r="EJ29">
        <v>0</v>
      </c>
      <c r="EK29">
        <v>46003</v>
      </c>
      <c r="EL29" t="s">
        <v>3</v>
      </c>
      <c r="EM29" t="s">
        <v>3</v>
      </c>
      <c r="EO29" t="s">
        <v>3</v>
      </c>
      <c r="EQ29">
        <v>0</v>
      </c>
      <c r="ER29">
        <v>6028.67</v>
      </c>
      <c r="ES29">
        <v>6028.67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f t="shared" si="47"/>
        <v>0</v>
      </c>
      <c r="FS29">
        <v>0</v>
      </c>
      <c r="FX29">
        <v>0</v>
      </c>
      <c r="FY29">
        <v>0</v>
      </c>
      <c r="GA29" t="s">
        <v>3</v>
      </c>
      <c r="GD29">
        <v>1</v>
      </c>
      <c r="GF29">
        <v>-1433813403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48"/>
        <v>0</v>
      </c>
      <c r="GM29">
        <f t="shared" si="49"/>
        <v>6028.67</v>
      </c>
      <c r="GN29">
        <f t="shared" si="50"/>
        <v>6028.67</v>
      </c>
      <c r="GO29">
        <f t="shared" si="51"/>
        <v>0</v>
      </c>
      <c r="GP29">
        <f t="shared" si="52"/>
        <v>0</v>
      </c>
      <c r="GR29">
        <v>0</v>
      </c>
      <c r="GS29">
        <v>3</v>
      </c>
      <c r="GT29">
        <v>0</v>
      </c>
      <c r="GU29" t="s">
        <v>3</v>
      </c>
      <c r="GV29">
        <f t="shared" si="53"/>
        <v>0</v>
      </c>
      <c r="GW29">
        <v>1</v>
      </c>
      <c r="GX29">
        <f t="shared" si="54"/>
        <v>0</v>
      </c>
      <c r="HA29">
        <v>0</v>
      </c>
      <c r="HB29">
        <v>0</v>
      </c>
      <c r="HC29">
        <f t="shared" si="55"/>
        <v>0</v>
      </c>
      <c r="HE29" t="s">
        <v>3</v>
      </c>
      <c r="HF29" t="s">
        <v>3</v>
      </c>
      <c r="HM29" t="s">
        <v>3</v>
      </c>
      <c r="IK29">
        <v>0</v>
      </c>
    </row>
    <row r="30" spans="1:245">
      <c r="A30">
        <v>17</v>
      </c>
      <c r="B30">
        <v>1</v>
      </c>
      <c r="C30">
        <f>ROW(SmtRes!A6)</f>
        <v>6</v>
      </c>
      <c r="D30">
        <f>ROW(EtalonRes!A6)</f>
        <v>6</v>
      </c>
      <c r="E30" t="s">
        <v>25</v>
      </c>
      <c r="F30" t="s">
        <v>26</v>
      </c>
      <c r="G30" t="s">
        <v>27</v>
      </c>
      <c r="H30" t="s">
        <v>28</v>
      </c>
      <c r="I30">
        <f>ROUND(7/100,9)</f>
        <v>7.0000000000000007E-2</v>
      </c>
      <c r="J30">
        <v>0</v>
      </c>
      <c r="K30">
        <f>ROUND(7/100,9)</f>
        <v>7.0000000000000007E-2</v>
      </c>
      <c r="O30">
        <f t="shared" si="21"/>
        <v>373.75</v>
      </c>
      <c r="P30">
        <f t="shared" si="22"/>
        <v>0</v>
      </c>
      <c r="Q30">
        <f t="shared" si="23"/>
        <v>0</v>
      </c>
      <c r="R30">
        <f t="shared" si="24"/>
        <v>0</v>
      </c>
      <c r="S30">
        <f t="shared" si="25"/>
        <v>373.75</v>
      </c>
      <c r="T30">
        <f t="shared" si="26"/>
        <v>0</v>
      </c>
      <c r="U30">
        <f t="shared" si="27"/>
        <v>1.4560000000000002</v>
      </c>
      <c r="V30">
        <f t="shared" si="28"/>
        <v>0</v>
      </c>
      <c r="W30">
        <f t="shared" si="29"/>
        <v>0</v>
      </c>
      <c r="X30">
        <f t="shared" si="30"/>
        <v>299</v>
      </c>
      <c r="Y30">
        <f t="shared" si="31"/>
        <v>186.88</v>
      </c>
      <c r="AA30">
        <v>35683522</v>
      </c>
      <c r="AB30">
        <f t="shared" si="32"/>
        <v>162.24</v>
      </c>
      <c r="AC30">
        <f t="shared" ref="AC30:AC36" si="56">ROUND((ES30),6)</f>
        <v>0</v>
      </c>
      <c r="AD30">
        <f t="shared" ref="AD30:AD36" si="57">ROUND((((ET30)-(EU30))+AE30),6)</f>
        <v>0</v>
      </c>
      <c r="AE30">
        <f t="shared" ref="AE30:AF36" si="58">ROUND((EU30),6)</f>
        <v>0</v>
      </c>
      <c r="AF30">
        <f t="shared" si="58"/>
        <v>162.24</v>
      </c>
      <c r="AG30">
        <f t="shared" si="34"/>
        <v>0</v>
      </c>
      <c r="AH30">
        <f t="shared" si="35"/>
        <v>20.8</v>
      </c>
      <c r="AI30">
        <f t="shared" si="36"/>
        <v>0</v>
      </c>
      <c r="AJ30">
        <f t="shared" si="37"/>
        <v>0</v>
      </c>
      <c r="AK30">
        <v>162.24</v>
      </c>
      <c r="AL30">
        <v>0</v>
      </c>
      <c r="AM30">
        <v>0</v>
      </c>
      <c r="AN30">
        <v>0</v>
      </c>
      <c r="AO30">
        <v>162.24</v>
      </c>
      <c r="AP30">
        <v>0</v>
      </c>
      <c r="AQ30">
        <v>20.8</v>
      </c>
      <c r="AR30">
        <v>0</v>
      </c>
      <c r="AS30">
        <v>0</v>
      </c>
      <c r="AT30">
        <v>80</v>
      </c>
      <c r="AU30">
        <v>50</v>
      </c>
      <c r="AV30">
        <v>1</v>
      </c>
      <c r="AW30">
        <v>1</v>
      </c>
      <c r="AZ30">
        <v>1</v>
      </c>
      <c r="BA30">
        <v>32.909999999999997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29</v>
      </c>
      <c r="BM30">
        <v>62001</v>
      </c>
      <c r="BN30">
        <v>0</v>
      </c>
      <c r="BO30" t="s">
        <v>26</v>
      </c>
      <c r="BP30">
        <v>1</v>
      </c>
      <c r="BQ30">
        <v>6</v>
      </c>
      <c r="BR30">
        <v>0</v>
      </c>
      <c r="BS30">
        <v>32.909999999999997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80</v>
      </c>
      <c r="CA30">
        <v>50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8"/>
        <v>373.75</v>
      </c>
      <c r="CQ30">
        <f t="shared" si="39"/>
        <v>0</v>
      </c>
      <c r="CR30">
        <f t="shared" si="40"/>
        <v>0</v>
      </c>
      <c r="CS30">
        <f t="shared" si="41"/>
        <v>0</v>
      </c>
      <c r="CT30">
        <f t="shared" si="42"/>
        <v>5339.3184000000001</v>
      </c>
      <c r="CU30">
        <f t="shared" si="43"/>
        <v>0</v>
      </c>
      <c r="CV30">
        <f t="shared" si="44"/>
        <v>20.8</v>
      </c>
      <c r="CW30">
        <f t="shared" si="45"/>
        <v>0</v>
      </c>
      <c r="CX30">
        <f t="shared" si="46"/>
        <v>0</v>
      </c>
      <c r="CY30">
        <f t="shared" ref="CY30:CY36" si="59">(((S30+R30)*AT30)/100)</f>
        <v>299</v>
      </c>
      <c r="CZ30">
        <f t="shared" ref="CZ30:CZ36" si="60">(((S30+R30)*AU30)/100)</f>
        <v>186.875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28</v>
      </c>
      <c r="DW30" t="s">
        <v>28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36260510</v>
      </c>
      <c r="EF30">
        <v>6</v>
      </c>
      <c r="EG30" t="s">
        <v>30</v>
      </c>
      <c r="EH30">
        <v>0</v>
      </c>
      <c r="EI30" t="s">
        <v>3</v>
      </c>
      <c r="EJ30">
        <v>1</v>
      </c>
      <c r="EK30">
        <v>62001</v>
      </c>
      <c r="EL30" t="s">
        <v>31</v>
      </c>
      <c r="EM30" t="s">
        <v>32</v>
      </c>
      <c r="EO30" t="s">
        <v>3</v>
      </c>
      <c r="EQ30">
        <v>0</v>
      </c>
      <c r="ER30">
        <v>162.24</v>
      </c>
      <c r="ES30">
        <v>0</v>
      </c>
      <c r="ET30">
        <v>0</v>
      </c>
      <c r="EU30">
        <v>0</v>
      </c>
      <c r="EV30">
        <v>162.24</v>
      </c>
      <c r="EW30">
        <v>20.8</v>
      </c>
      <c r="EX30">
        <v>0</v>
      </c>
      <c r="EY30">
        <v>0</v>
      </c>
      <c r="FQ30">
        <v>0</v>
      </c>
      <c r="FR30">
        <f t="shared" si="47"/>
        <v>0</v>
      </c>
      <c r="FS30">
        <v>0</v>
      </c>
      <c r="FX30">
        <v>80</v>
      </c>
      <c r="FY30">
        <v>50</v>
      </c>
      <c r="GA30" t="s">
        <v>3</v>
      </c>
      <c r="GD30">
        <v>1</v>
      </c>
      <c r="GF30">
        <v>-1177259416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8"/>
        <v>0</v>
      </c>
      <c r="GM30">
        <f t="shared" si="49"/>
        <v>859.63</v>
      </c>
      <c r="GN30">
        <f t="shared" si="50"/>
        <v>859.63</v>
      </c>
      <c r="GO30">
        <f t="shared" si="51"/>
        <v>0</v>
      </c>
      <c r="GP30">
        <f t="shared" si="52"/>
        <v>0</v>
      </c>
      <c r="GR30">
        <v>0</v>
      </c>
      <c r="GS30">
        <v>3</v>
      </c>
      <c r="GT30">
        <v>0</v>
      </c>
      <c r="GU30" t="s">
        <v>3</v>
      </c>
      <c r="GV30">
        <f t="shared" si="53"/>
        <v>0</v>
      </c>
      <c r="GW30">
        <v>1</v>
      </c>
      <c r="GX30">
        <f t="shared" si="54"/>
        <v>0</v>
      </c>
      <c r="HA30">
        <v>0</v>
      </c>
      <c r="HB30">
        <v>0</v>
      </c>
      <c r="HC30">
        <f t="shared" si="55"/>
        <v>0</v>
      </c>
      <c r="HE30" t="s">
        <v>3</v>
      </c>
      <c r="HF30" t="s">
        <v>3</v>
      </c>
      <c r="HM30" t="s">
        <v>3</v>
      </c>
      <c r="IK30">
        <v>0</v>
      </c>
    </row>
    <row r="31" spans="1:245">
      <c r="A31">
        <v>17</v>
      </c>
      <c r="B31">
        <v>1</v>
      </c>
      <c r="C31">
        <f>ROW(SmtRes!A10)</f>
        <v>10</v>
      </c>
      <c r="D31">
        <f>ROW(EtalonRes!A10)</f>
        <v>10</v>
      </c>
      <c r="E31" t="s">
        <v>33</v>
      </c>
      <c r="F31" t="s">
        <v>34</v>
      </c>
      <c r="G31" t="s">
        <v>35</v>
      </c>
      <c r="H31" t="s">
        <v>36</v>
      </c>
      <c r="I31">
        <f>ROUND(3/100,9)</f>
        <v>0.03</v>
      </c>
      <c r="J31">
        <v>0</v>
      </c>
      <c r="K31">
        <f>ROUND(3/100,9)</f>
        <v>0.03</v>
      </c>
      <c r="O31">
        <f t="shared" si="21"/>
        <v>607.92999999999995</v>
      </c>
      <c r="P31">
        <f t="shared" si="22"/>
        <v>0</v>
      </c>
      <c r="Q31">
        <f t="shared" si="23"/>
        <v>19.510000000000002</v>
      </c>
      <c r="R31">
        <f t="shared" si="24"/>
        <v>19.190000000000001</v>
      </c>
      <c r="S31">
        <f t="shared" si="25"/>
        <v>588.41999999999996</v>
      </c>
      <c r="T31">
        <f t="shared" si="26"/>
        <v>0</v>
      </c>
      <c r="U31">
        <f t="shared" si="27"/>
        <v>2.0960999999999999</v>
      </c>
      <c r="V31">
        <f t="shared" si="28"/>
        <v>4.3199999999999995E-2</v>
      </c>
      <c r="W31">
        <f t="shared" si="29"/>
        <v>0</v>
      </c>
      <c r="X31">
        <f t="shared" si="30"/>
        <v>486.09</v>
      </c>
      <c r="Y31">
        <f t="shared" si="31"/>
        <v>413.17</v>
      </c>
      <c r="AA31">
        <v>35683522</v>
      </c>
      <c r="AB31">
        <f t="shared" si="32"/>
        <v>641</v>
      </c>
      <c r="AC31">
        <f t="shared" si="56"/>
        <v>0</v>
      </c>
      <c r="AD31">
        <f t="shared" si="57"/>
        <v>45.01</v>
      </c>
      <c r="AE31">
        <f t="shared" si="58"/>
        <v>19.440000000000001</v>
      </c>
      <c r="AF31">
        <f t="shared" si="58"/>
        <v>595.99</v>
      </c>
      <c r="AG31">
        <f t="shared" si="34"/>
        <v>0</v>
      </c>
      <c r="AH31">
        <f t="shared" si="35"/>
        <v>69.87</v>
      </c>
      <c r="AI31">
        <f t="shared" si="36"/>
        <v>1.44</v>
      </c>
      <c r="AJ31">
        <f t="shared" si="37"/>
        <v>0</v>
      </c>
      <c r="AK31">
        <v>641</v>
      </c>
      <c r="AL31">
        <v>0</v>
      </c>
      <c r="AM31">
        <v>45.01</v>
      </c>
      <c r="AN31">
        <v>19.440000000000001</v>
      </c>
      <c r="AO31">
        <v>595.99</v>
      </c>
      <c r="AP31">
        <v>0</v>
      </c>
      <c r="AQ31">
        <v>69.87</v>
      </c>
      <c r="AR31">
        <v>1.44</v>
      </c>
      <c r="AS31">
        <v>0</v>
      </c>
      <c r="AT31">
        <v>80</v>
      </c>
      <c r="AU31">
        <v>68</v>
      </c>
      <c r="AV31">
        <v>1</v>
      </c>
      <c r="AW31">
        <v>1</v>
      </c>
      <c r="AZ31">
        <v>1</v>
      </c>
      <c r="BA31">
        <v>32.909999999999997</v>
      </c>
      <c r="BB31">
        <v>14.45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37</v>
      </c>
      <c r="BM31">
        <v>57001</v>
      </c>
      <c r="BN31">
        <v>0</v>
      </c>
      <c r="BO31" t="s">
        <v>34</v>
      </c>
      <c r="BP31">
        <v>1</v>
      </c>
      <c r="BQ31">
        <v>6</v>
      </c>
      <c r="BR31">
        <v>0</v>
      </c>
      <c r="BS31">
        <v>32.909999999999997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68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8"/>
        <v>607.92999999999995</v>
      </c>
      <c r="CQ31">
        <f t="shared" si="39"/>
        <v>0</v>
      </c>
      <c r="CR31">
        <f t="shared" si="40"/>
        <v>650.39449999999999</v>
      </c>
      <c r="CS31">
        <f t="shared" si="41"/>
        <v>639.7704</v>
      </c>
      <c r="CT31">
        <f t="shared" si="42"/>
        <v>19614.030899999998</v>
      </c>
      <c r="CU31">
        <f t="shared" si="43"/>
        <v>0</v>
      </c>
      <c r="CV31">
        <f t="shared" si="44"/>
        <v>69.87</v>
      </c>
      <c r="CW31">
        <f t="shared" si="45"/>
        <v>1.44</v>
      </c>
      <c r="CX31">
        <f t="shared" si="46"/>
        <v>0</v>
      </c>
      <c r="CY31">
        <f t="shared" si="59"/>
        <v>486.08800000000002</v>
      </c>
      <c r="CZ31">
        <f t="shared" si="60"/>
        <v>413.1748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36</v>
      </c>
      <c r="DW31" t="s">
        <v>36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36260505</v>
      </c>
      <c r="EF31">
        <v>6</v>
      </c>
      <c r="EG31" t="s">
        <v>30</v>
      </c>
      <c r="EH31">
        <v>0</v>
      </c>
      <c r="EI31" t="s">
        <v>3</v>
      </c>
      <c r="EJ31">
        <v>1</v>
      </c>
      <c r="EK31">
        <v>57001</v>
      </c>
      <c r="EL31" t="s">
        <v>38</v>
      </c>
      <c r="EM31" t="s">
        <v>39</v>
      </c>
      <c r="EO31" t="s">
        <v>3</v>
      </c>
      <c r="EQ31">
        <v>0</v>
      </c>
      <c r="ER31">
        <v>641</v>
      </c>
      <c r="ES31">
        <v>0</v>
      </c>
      <c r="ET31">
        <v>45.01</v>
      </c>
      <c r="EU31">
        <v>19.440000000000001</v>
      </c>
      <c r="EV31">
        <v>595.99</v>
      </c>
      <c r="EW31">
        <v>69.87</v>
      </c>
      <c r="EX31">
        <v>1.44</v>
      </c>
      <c r="EY31">
        <v>0</v>
      </c>
      <c r="FQ31">
        <v>0</v>
      </c>
      <c r="FR31">
        <f t="shared" si="47"/>
        <v>0</v>
      </c>
      <c r="FS31">
        <v>0</v>
      </c>
      <c r="FX31">
        <v>80</v>
      </c>
      <c r="FY31">
        <v>68</v>
      </c>
      <c r="GA31" t="s">
        <v>3</v>
      </c>
      <c r="GD31">
        <v>1</v>
      </c>
      <c r="GF31">
        <v>1408343215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8"/>
        <v>0</v>
      </c>
      <c r="GM31">
        <f t="shared" si="49"/>
        <v>1507.19</v>
      </c>
      <c r="GN31">
        <f t="shared" si="50"/>
        <v>1507.19</v>
      </c>
      <c r="GO31">
        <f t="shared" si="51"/>
        <v>0</v>
      </c>
      <c r="GP31">
        <f t="shared" si="52"/>
        <v>0</v>
      </c>
      <c r="GR31">
        <v>0</v>
      </c>
      <c r="GS31">
        <v>3</v>
      </c>
      <c r="GT31">
        <v>0</v>
      </c>
      <c r="GU31" t="s">
        <v>3</v>
      </c>
      <c r="GV31">
        <f t="shared" si="53"/>
        <v>0</v>
      </c>
      <c r="GW31">
        <v>1</v>
      </c>
      <c r="GX31">
        <f t="shared" si="54"/>
        <v>0</v>
      </c>
      <c r="HA31">
        <v>0</v>
      </c>
      <c r="HB31">
        <v>0</v>
      </c>
      <c r="HC31">
        <f t="shared" si="55"/>
        <v>0</v>
      </c>
      <c r="HE31" t="s">
        <v>3</v>
      </c>
      <c r="HF31" t="s">
        <v>3</v>
      </c>
      <c r="HM31" t="s">
        <v>3</v>
      </c>
      <c r="IK31">
        <v>0</v>
      </c>
    </row>
    <row r="32" spans="1:245">
      <c r="A32">
        <v>18</v>
      </c>
      <c r="B32">
        <v>1</v>
      </c>
      <c r="C32">
        <v>10</v>
      </c>
      <c r="E32" t="s">
        <v>40</v>
      </c>
      <c r="F32" t="s">
        <v>41</v>
      </c>
      <c r="G32" t="s">
        <v>42</v>
      </c>
      <c r="H32" t="s">
        <v>43</v>
      </c>
      <c r="I32">
        <f>I31*J32</f>
        <v>0.156</v>
      </c>
      <c r="J32">
        <v>5.2</v>
      </c>
      <c r="K32">
        <v>5.2</v>
      </c>
      <c r="O32">
        <f t="shared" si="21"/>
        <v>0</v>
      </c>
      <c r="P32">
        <f t="shared" si="22"/>
        <v>0</v>
      </c>
      <c r="Q32">
        <f t="shared" si="23"/>
        <v>0</v>
      </c>
      <c r="R32">
        <f t="shared" si="24"/>
        <v>0</v>
      </c>
      <c r="S32">
        <f t="shared" si="25"/>
        <v>0</v>
      </c>
      <c r="T32">
        <f t="shared" si="26"/>
        <v>0</v>
      </c>
      <c r="U32">
        <f t="shared" si="27"/>
        <v>0</v>
      </c>
      <c r="V32">
        <f t="shared" si="28"/>
        <v>0</v>
      </c>
      <c r="W32">
        <f t="shared" si="29"/>
        <v>0</v>
      </c>
      <c r="X32">
        <f t="shared" si="30"/>
        <v>0</v>
      </c>
      <c r="Y32">
        <f t="shared" si="31"/>
        <v>0</v>
      </c>
      <c r="AA32">
        <v>35683522</v>
      </c>
      <c r="AB32">
        <f t="shared" si="32"/>
        <v>0</v>
      </c>
      <c r="AC32">
        <f t="shared" si="56"/>
        <v>0</v>
      </c>
      <c r="AD32">
        <f t="shared" si="57"/>
        <v>0</v>
      </c>
      <c r="AE32">
        <f t="shared" si="58"/>
        <v>0</v>
      </c>
      <c r="AF32">
        <f t="shared" si="58"/>
        <v>0</v>
      </c>
      <c r="AG32">
        <f t="shared" si="34"/>
        <v>0</v>
      </c>
      <c r="AH32">
        <f t="shared" si="35"/>
        <v>0</v>
      </c>
      <c r="AI32">
        <f t="shared" si="36"/>
        <v>0</v>
      </c>
      <c r="AJ32">
        <f t="shared" si="37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80</v>
      </c>
      <c r="AU32">
        <v>68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1</v>
      </c>
      <c r="BJ32" t="s">
        <v>44</v>
      </c>
      <c r="BM32">
        <v>57001</v>
      </c>
      <c r="BN32">
        <v>0</v>
      </c>
      <c r="BO32" t="s">
        <v>3</v>
      </c>
      <c r="BP32">
        <v>0</v>
      </c>
      <c r="BQ32">
        <v>6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80</v>
      </c>
      <c r="CA32">
        <v>68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8"/>
        <v>0</v>
      </c>
      <c r="CQ32">
        <f t="shared" si="39"/>
        <v>0</v>
      </c>
      <c r="CR32">
        <f t="shared" si="40"/>
        <v>0</v>
      </c>
      <c r="CS32">
        <f t="shared" si="41"/>
        <v>0</v>
      </c>
      <c r="CT32">
        <f t="shared" si="42"/>
        <v>0</v>
      </c>
      <c r="CU32">
        <f t="shared" si="43"/>
        <v>0</v>
      </c>
      <c r="CV32">
        <f t="shared" si="44"/>
        <v>0</v>
      </c>
      <c r="CW32">
        <f t="shared" si="45"/>
        <v>0</v>
      </c>
      <c r="CX32">
        <f t="shared" si="46"/>
        <v>0</v>
      </c>
      <c r="CY32">
        <f t="shared" si="59"/>
        <v>0</v>
      </c>
      <c r="CZ32">
        <f t="shared" si="60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1009</v>
      </c>
      <c r="DV32" t="s">
        <v>43</v>
      </c>
      <c r="DW32" t="s">
        <v>43</v>
      </c>
      <c r="DX32">
        <v>1000</v>
      </c>
      <c r="DZ32" t="s">
        <v>3</v>
      </c>
      <c r="EA32" t="s">
        <v>3</v>
      </c>
      <c r="EB32" t="s">
        <v>3</v>
      </c>
      <c r="EC32" t="s">
        <v>3</v>
      </c>
      <c r="EE32">
        <v>36260505</v>
      </c>
      <c r="EF32">
        <v>6</v>
      </c>
      <c r="EG32" t="s">
        <v>30</v>
      </c>
      <c r="EH32">
        <v>0</v>
      </c>
      <c r="EI32" t="s">
        <v>3</v>
      </c>
      <c r="EJ32">
        <v>1</v>
      </c>
      <c r="EK32">
        <v>57001</v>
      </c>
      <c r="EL32" t="s">
        <v>38</v>
      </c>
      <c r="EM32" t="s">
        <v>39</v>
      </c>
      <c r="EO32" t="s">
        <v>3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FQ32">
        <v>0</v>
      </c>
      <c r="FR32">
        <f t="shared" si="47"/>
        <v>0</v>
      </c>
      <c r="FS32">
        <v>0</v>
      </c>
      <c r="FX32">
        <v>80</v>
      </c>
      <c r="FY32">
        <v>68</v>
      </c>
      <c r="GA32" t="s">
        <v>3</v>
      </c>
      <c r="GD32">
        <v>1</v>
      </c>
      <c r="GF32">
        <v>-304821490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48"/>
        <v>0</v>
      </c>
      <c r="GM32">
        <f t="shared" si="49"/>
        <v>0</v>
      </c>
      <c r="GN32">
        <f t="shared" si="50"/>
        <v>0</v>
      </c>
      <c r="GO32">
        <f t="shared" si="51"/>
        <v>0</v>
      </c>
      <c r="GP32">
        <f t="shared" si="52"/>
        <v>0</v>
      </c>
      <c r="GR32">
        <v>0</v>
      </c>
      <c r="GS32">
        <v>3</v>
      </c>
      <c r="GT32">
        <v>0</v>
      </c>
      <c r="GU32" t="s">
        <v>3</v>
      </c>
      <c r="GV32">
        <f t="shared" si="53"/>
        <v>0</v>
      </c>
      <c r="GW32">
        <v>1</v>
      </c>
      <c r="GX32">
        <f t="shared" si="54"/>
        <v>0</v>
      </c>
      <c r="HA32">
        <v>0</v>
      </c>
      <c r="HB32">
        <v>0</v>
      </c>
      <c r="HC32">
        <f t="shared" si="55"/>
        <v>0</v>
      </c>
      <c r="HE32" t="s">
        <v>3</v>
      </c>
      <c r="HF32" t="s">
        <v>3</v>
      </c>
      <c r="HM32" t="s">
        <v>3</v>
      </c>
      <c r="IK32">
        <v>0</v>
      </c>
    </row>
    <row r="33" spans="1:245">
      <c r="A33">
        <v>17</v>
      </c>
      <c r="B33">
        <v>1</v>
      </c>
      <c r="C33">
        <f>ROW(SmtRes!A12)</f>
        <v>12</v>
      </c>
      <c r="D33">
        <f>ROW(EtalonRes!A12)</f>
        <v>12</v>
      </c>
      <c r="E33" t="s">
        <v>45</v>
      </c>
      <c r="F33" t="s">
        <v>46</v>
      </c>
      <c r="G33" t="s">
        <v>47</v>
      </c>
      <c r="H33" t="s">
        <v>48</v>
      </c>
      <c r="I33">
        <f>ROUND(4.7/100,9)</f>
        <v>4.7E-2</v>
      </c>
      <c r="J33">
        <v>0</v>
      </c>
      <c r="K33">
        <f>ROUND(4.7/100,9)</f>
        <v>4.7E-2</v>
      </c>
      <c r="O33">
        <f t="shared" si="21"/>
        <v>445.56</v>
      </c>
      <c r="P33">
        <f t="shared" si="22"/>
        <v>0</v>
      </c>
      <c r="Q33">
        <f t="shared" si="23"/>
        <v>0</v>
      </c>
      <c r="R33">
        <f t="shared" si="24"/>
        <v>0</v>
      </c>
      <c r="S33">
        <f t="shared" si="25"/>
        <v>445.56</v>
      </c>
      <c r="T33">
        <f t="shared" si="26"/>
        <v>0</v>
      </c>
      <c r="U33">
        <f t="shared" si="27"/>
        <v>1.70516</v>
      </c>
      <c r="V33">
        <f t="shared" si="28"/>
        <v>0</v>
      </c>
      <c r="W33">
        <f t="shared" si="29"/>
        <v>0</v>
      </c>
      <c r="X33">
        <f t="shared" si="30"/>
        <v>365.36</v>
      </c>
      <c r="Y33">
        <f t="shared" si="31"/>
        <v>276.25</v>
      </c>
      <c r="AA33">
        <v>35683522</v>
      </c>
      <c r="AB33">
        <f t="shared" si="32"/>
        <v>288.06</v>
      </c>
      <c r="AC33">
        <f t="shared" si="56"/>
        <v>0</v>
      </c>
      <c r="AD33">
        <f t="shared" si="57"/>
        <v>0</v>
      </c>
      <c r="AE33">
        <f t="shared" si="58"/>
        <v>0</v>
      </c>
      <c r="AF33">
        <f t="shared" si="58"/>
        <v>288.06</v>
      </c>
      <c r="AG33">
        <f t="shared" si="34"/>
        <v>0</v>
      </c>
      <c r="AH33">
        <f t="shared" si="35"/>
        <v>36.28</v>
      </c>
      <c r="AI33">
        <f t="shared" si="36"/>
        <v>0</v>
      </c>
      <c r="AJ33">
        <f t="shared" si="37"/>
        <v>0</v>
      </c>
      <c r="AK33">
        <v>288.06</v>
      </c>
      <c r="AL33">
        <v>0</v>
      </c>
      <c r="AM33">
        <v>0</v>
      </c>
      <c r="AN33">
        <v>0</v>
      </c>
      <c r="AO33">
        <v>288.06</v>
      </c>
      <c r="AP33">
        <v>0</v>
      </c>
      <c r="AQ33">
        <v>36.28</v>
      </c>
      <c r="AR33">
        <v>0</v>
      </c>
      <c r="AS33">
        <v>0</v>
      </c>
      <c r="AT33">
        <v>82</v>
      </c>
      <c r="AU33">
        <v>62</v>
      </c>
      <c r="AV33">
        <v>1</v>
      </c>
      <c r="AW33">
        <v>1</v>
      </c>
      <c r="AZ33">
        <v>1</v>
      </c>
      <c r="BA33">
        <v>32.909999999999997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49</v>
      </c>
      <c r="BM33">
        <v>56001</v>
      </c>
      <c r="BN33">
        <v>0</v>
      </c>
      <c r="BO33" t="s">
        <v>46</v>
      </c>
      <c r="BP33">
        <v>1</v>
      </c>
      <c r="BQ33">
        <v>6</v>
      </c>
      <c r="BR33">
        <v>0</v>
      </c>
      <c r="BS33">
        <v>32.909999999999997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82</v>
      </c>
      <c r="CA33">
        <v>62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8"/>
        <v>445.56</v>
      </c>
      <c r="CQ33">
        <f t="shared" si="39"/>
        <v>0</v>
      </c>
      <c r="CR33">
        <f t="shared" si="40"/>
        <v>0</v>
      </c>
      <c r="CS33">
        <f t="shared" si="41"/>
        <v>0</v>
      </c>
      <c r="CT33">
        <f t="shared" si="42"/>
        <v>9480.0545999999995</v>
      </c>
      <c r="CU33">
        <f t="shared" si="43"/>
        <v>0</v>
      </c>
      <c r="CV33">
        <f t="shared" si="44"/>
        <v>36.28</v>
      </c>
      <c r="CW33">
        <f t="shared" si="45"/>
        <v>0</v>
      </c>
      <c r="CX33">
        <f t="shared" si="46"/>
        <v>0</v>
      </c>
      <c r="CY33">
        <f t="shared" si="59"/>
        <v>365.35919999999999</v>
      </c>
      <c r="CZ33">
        <f t="shared" si="60"/>
        <v>276.24720000000002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48</v>
      </c>
      <c r="DW33" t="s">
        <v>48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36260504</v>
      </c>
      <c r="EF33">
        <v>6</v>
      </c>
      <c r="EG33" t="s">
        <v>30</v>
      </c>
      <c r="EH33">
        <v>0</v>
      </c>
      <c r="EI33" t="s">
        <v>3</v>
      </c>
      <c r="EJ33">
        <v>1</v>
      </c>
      <c r="EK33">
        <v>56001</v>
      </c>
      <c r="EL33" t="s">
        <v>50</v>
      </c>
      <c r="EM33" t="s">
        <v>51</v>
      </c>
      <c r="EO33" t="s">
        <v>3</v>
      </c>
      <c r="EQ33">
        <v>0</v>
      </c>
      <c r="ER33">
        <v>288.06</v>
      </c>
      <c r="ES33">
        <v>0</v>
      </c>
      <c r="ET33">
        <v>0</v>
      </c>
      <c r="EU33">
        <v>0</v>
      </c>
      <c r="EV33">
        <v>288.06</v>
      </c>
      <c r="EW33">
        <v>36.28</v>
      </c>
      <c r="EX33">
        <v>0</v>
      </c>
      <c r="EY33">
        <v>0</v>
      </c>
      <c r="FQ33">
        <v>0</v>
      </c>
      <c r="FR33">
        <f t="shared" si="47"/>
        <v>0</v>
      </c>
      <c r="FS33">
        <v>0</v>
      </c>
      <c r="FX33">
        <v>82</v>
      </c>
      <c r="FY33">
        <v>62</v>
      </c>
      <c r="GA33" t="s">
        <v>3</v>
      </c>
      <c r="GD33">
        <v>1</v>
      </c>
      <c r="GF33">
        <v>30344308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8"/>
        <v>0</v>
      </c>
      <c r="GM33">
        <f t="shared" si="49"/>
        <v>1087.17</v>
      </c>
      <c r="GN33">
        <f t="shared" si="50"/>
        <v>1087.17</v>
      </c>
      <c r="GO33">
        <f t="shared" si="51"/>
        <v>0</v>
      </c>
      <c r="GP33">
        <f t="shared" si="52"/>
        <v>0</v>
      </c>
      <c r="GR33">
        <v>0</v>
      </c>
      <c r="GS33">
        <v>0</v>
      </c>
      <c r="GT33">
        <v>0</v>
      </c>
      <c r="GU33" t="s">
        <v>3</v>
      </c>
      <c r="GV33">
        <f t="shared" si="53"/>
        <v>0</v>
      </c>
      <c r="GW33">
        <v>1</v>
      </c>
      <c r="GX33">
        <f t="shared" si="54"/>
        <v>0</v>
      </c>
      <c r="HA33">
        <v>0</v>
      </c>
      <c r="HB33">
        <v>0</v>
      </c>
      <c r="HC33">
        <f t="shared" si="55"/>
        <v>0</v>
      </c>
      <c r="HE33" t="s">
        <v>3</v>
      </c>
      <c r="HF33" t="s">
        <v>3</v>
      </c>
      <c r="HM33" t="s">
        <v>3</v>
      </c>
      <c r="IK33">
        <v>0</v>
      </c>
    </row>
    <row r="34" spans="1:245">
      <c r="A34">
        <v>18</v>
      </c>
      <c r="B34">
        <v>1</v>
      </c>
      <c r="C34">
        <v>12</v>
      </c>
      <c r="E34" t="s">
        <v>52</v>
      </c>
      <c r="F34" t="s">
        <v>41</v>
      </c>
      <c r="G34" t="s">
        <v>42</v>
      </c>
      <c r="H34" t="s">
        <v>43</v>
      </c>
      <c r="I34">
        <f>I33*J34</f>
        <v>5.5459999999999995E-2</v>
      </c>
      <c r="J34">
        <v>1.18</v>
      </c>
      <c r="K34">
        <v>1.18</v>
      </c>
      <c r="O34">
        <f t="shared" si="21"/>
        <v>0</v>
      </c>
      <c r="P34">
        <f t="shared" si="22"/>
        <v>0</v>
      </c>
      <c r="Q34">
        <f t="shared" si="23"/>
        <v>0</v>
      </c>
      <c r="R34">
        <f t="shared" si="24"/>
        <v>0</v>
      </c>
      <c r="S34">
        <f t="shared" si="25"/>
        <v>0</v>
      </c>
      <c r="T34">
        <f t="shared" si="26"/>
        <v>0</v>
      </c>
      <c r="U34">
        <f t="shared" si="27"/>
        <v>0</v>
      </c>
      <c r="V34">
        <f t="shared" si="28"/>
        <v>0</v>
      </c>
      <c r="W34">
        <f t="shared" si="29"/>
        <v>0</v>
      </c>
      <c r="X34">
        <f t="shared" si="30"/>
        <v>0</v>
      </c>
      <c r="Y34">
        <f t="shared" si="31"/>
        <v>0</v>
      </c>
      <c r="AA34">
        <v>35683522</v>
      </c>
      <c r="AB34">
        <f t="shared" si="32"/>
        <v>0</v>
      </c>
      <c r="AC34">
        <f t="shared" si="56"/>
        <v>0</v>
      </c>
      <c r="AD34">
        <f t="shared" si="57"/>
        <v>0</v>
      </c>
      <c r="AE34">
        <f t="shared" si="58"/>
        <v>0</v>
      </c>
      <c r="AF34">
        <f t="shared" si="58"/>
        <v>0</v>
      </c>
      <c r="AG34">
        <f t="shared" si="34"/>
        <v>0</v>
      </c>
      <c r="AH34">
        <f t="shared" si="35"/>
        <v>0</v>
      </c>
      <c r="AI34">
        <f t="shared" si="36"/>
        <v>0</v>
      </c>
      <c r="AJ34">
        <f t="shared" si="37"/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82</v>
      </c>
      <c r="AU34">
        <v>62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44</v>
      </c>
      <c r="BM34">
        <v>56001</v>
      </c>
      <c r="BN34">
        <v>0</v>
      </c>
      <c r="BO34" t="s">
        <v>3</v>
      </c>
      <c r="BP34">
        <v>0</v>
      </c>
      <c r="BQ34">
        <v>6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82</v>
      </c>
      <c r="CA34">
        <v>62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8"/>
        <v>0</v>
      </c>
      <c r="CQ34">
        <f t="shared" si="39"/>
        <v>0</v>
      </c>
      <c r="CR34">
        <f t="shared" si="40"/>
        <v>0</v>
      </c>
      <c r="CS34">
        <f t="shared" si="41"/>
        <v>0</v>
      </c>
      <c r="CT34">
        <f t="shared" si="42"/>
        <v>0</v>
      </c>
      <c r="CU34">
        <f t="shared" si="43"/>
        <v>0</v>
      </c>
      <c r="CV34">
        <f t="shared" si="44"/>
        <v>0</v>
      </c>
      <c r="CW34">
        <f t="shared" si="45"/>
        <v>0</v>
      </c>
      <c r="CX34">
        <f t="shared" si="46"/>
        <v>0</v>
      </c>
      <c r="CY34">
        <f t="shared" si="59"/>
        <v>0</v>
      </c>
      <c r="CZ34">
        <f t="shared" si="60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1009</v>
      </c>
      <c r="DV34" t="s">
        <v>43</v>
      </c>
      <c r="DW34" t="s">
        <v>43</v>
      </c>
      <c r="DX34">
        <v>1000</v>
      </c>
      <c r="DZ34" t="s">
        <v>3</v>
      </c>
      <c r="EA34" t="s">
        <v>3</v>
      </c>
      <c r="EB34" t="s">
        <v>3</v>
      </c>
      <c r="EC34" t="s">
        <v>3</v>
      </c>
      <c r="EE34">
        <v>36260504</v>
      </c>
      <c r="EF34">
        <v>6</v>
      </c>
      <c r="EG34" t="s">
        <v>30</v>
      </c>
      <c r="EH34">
        <v>0</v>
      </c>
      <c r="EI34" t="s">
        <v>3</v>
      </c>
      <c r="EJ34">
        <v>1</v>
      </c>
      <c r="EK34">
        <v>56001</v>
      </c>
      <c r="EL34" t="s">
        <v>50</v>
      </c>
      <c r="EM34" t="s">
        <v>51</v>
      </c>
      <c r="EO34" t="s">
        <v>3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f t="shared" si="47"/>
        <v>0</v>
      </c>
      <c r="FS34">
        <v>0</v>
      </c>
      <c r="FX34">
        <v>82</v>
      </c>
      <c r="FY34">
        <v>62</v>
      </c>
      <c r="GA34" t="s">
        <v>3</v>
      </c>
      <c r="GD34">
        <v>1</v>
      </c>
      <c r="GF34">
        <v>-304821490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48"/>
        <v>0</v>
      </c>
      <c r="GM34">
        <f t="shared" si="49"/>
        <v>0</v>
      </c>
      <c r="GN34">
        <f t="shared" si="50"/>
        <v>0</v>
      </c>
      <c r="GO34">
        <f t="shared" si="51"/>
        <v>0</v>
      </c>
      <c r="GP34">
        <f t="shared" si="52"/>
        <v>0</v>
      </c>
      <c r="GR34">
        <v>0</v>
      </c>
      <c r="GS34">
        <v>0</v>
      </c>
      <c r="GT34">
        <v>0</v>
      </c>
      <c r="GU34" t="s">
        <v>3</v>
      </c>
      <c r="GV34">
        <f t="shared" si="53"/>
        <v>0</v>
      </c>
      <c r="GW34">
        <v>1</v>
      </c>
      <c r="GX34">
        <f t="shared" si="54"/>
        <v>0</v>
      </c>
      <c r="HA34">
        <v>0</v>
      </c>
      <c r="HB34">
        <v>0</v>
      </c>
      <c r="HC34">
        <f t="shared" si="55"/>
        <v>0</v>
      </c>
      <c r="HE34" t="s">
        <v>3</v>
      </c>
      <c r="HF34" t="s">
        <v>3</v>
      </c>
      <c r="HM34" t="s">
        <v>3</v>
      </c>
      <c r="IK34">
        <v>0</v>
      </c>
    </row>
    <row r="35" spans="1:245">
      <c r="A35">
        <v>17</v>
      </c>
      <c r="B35">
        <v>1</v>
      </c>
      <c r="C35">
        <f>ROW(SmtRes!A17)</f>
        <v>17</v>
      </c>
      <c r="D35">
        <f>ROW(EtalonRes!A17)</f>
        <v>17</v>
      </c>
      <c r="E35" t="s">
        <v>53</v>
      </c>
      <c r="F35" t="s">
        <v>54</v>
      </c>
      <c r="G35" t="s">
        <v>55</v>
      </c>
      <c r="H35" t="s">
        <v>56</v>
      </c>
      <c r="I35">
        <f>ROUND(2/100,9)</f>
        <v>0.02</v>
      </c>
      <c r="J35">
        <v>0</v>
      </c>
      <c r="K35">
        <f>ROUND(2/100,9)</f>
        <v>0.02</v>
      </c>
      <c r="O35">
        <f t="shared" si="21"/>
        <v>989.2</v>
      </c>
      <c r="P35">
        <f t="shared" si="22"/>
        <v>0</v>
      </c>
      <c r="Q35">
        <f t="shared" si="23"/>
        <v>42.71</v>
      </c>
      <c r="R35">
        <f t="shared" si="24"/>
        <v>26.29</v>
      </c>
      <c r="S35">
        <f t="shared" si="25"/>
        <v>946.49</v>
      </c>
      <c r="T35">
        <f t="shared" si="26"/>
        <v>0</v>
      </c>
      <c r="U35">
        <f t="shared" si="27"/>
        <v>3.5860000000000003</v>
      </c>
      <c r="V35">
        <f t="shared" si="28"/>
        <v>7.9400000000000012E-2</v>
      </c>
      <c r="W35">
        <f t="shared" si="29"/>
        <v>0</v>
      </c>
      <c r="X35">
        <f t="shared" si="30"/>
        <v>797.68</v>
      </c>
      <c r="Y35">
        <f t="shared" si="31"/>
        <v>603.12</v>
      </c>
      <c r="AA35">
        <v>35683522</v>
      </c>
      <c r="AB35">
        <f t="shared" si="32"/>
        <v>1634.97</v>
      </c>
      <c r="AC35">
        <f t="shared" si="56"/>
        <v>0</v>
      </c>
      <c r="AD35">
        <f t="shared" si="57"/>
        <v>196.98</v>
      </c>
      <c r="AE35">
        <f t="shared" si="58"/>
        <v>39.94</v>
      </c>
      <c r="AF35">
        <f t="shared" si="58"/>
        <v>1437.99</v>
      </c>
      <c r="AG35">
        <f t="shared" si="34"/>
        <v>0</v>
      </c>
      <c r="AH35">
        <f t="shared" si="35"/>
        <v>179.3</v>
      </c>
      <c r="AI35">
        <f t="shared" si="36"/>
        <v>3.97</v>
      </c>
      <c r="AJ35">
        <f t="shared" si="37"/>
        <v>0</v>
      </c>
      <c r="AK35">
        <v>1634.97</v>
      </c>
      <c r="AL35">
        <v>0</v>
      </c>
      <c r="AM35">
        <v>196.98</v>
      </c>
      <c r="AN35">
        <v>39.94</v>
      </c>
      <c r="AO35">
        <v>1437.99</v>
      </c>
      <c r="AP35">
        <v>0</v>
      </c>
      <c r="AQ35">
        <v>179.3</v>
      </c>
      <c r="AR35">
        <v>3.97</v>
      </c>
      <c r="AS35">
        <v>0</v>
      </c>
      <c r="AT35">
        <v>82</v>
      </c>
      <c r="AU35">
        <v>62</v>
      </c>
      <c r="AV35">
        <v>1</v>
      </c>
      <c r="AW35">
        <v>1</v>
      </c>
      <c r="AZ35">
        <v>1</v>
      </c>
      <c r="BA35">
        <v>32.909999999999997</v>
      </c>
      <c r="BB35">
        <v>10.84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57</v>
      </c>
      <c r="BM35">
        <v>56001</v>
      </c>
      <c r="BN35">
        <v>0</v>
      </c>
      <c r="BO35" t="s">
        <v>54</v>
      </c>
      <c r="BP35">
        <v>1</v>
      </c>
      <c r="BQ35">
        <v>6</v>
      </c>
      <c r="BR35">
        <v>0</v>
      </c>
      <c r="BS35">
        <v>32.909999999999997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82</v>
      </c>
      <c r="CA35">
        <v>62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8"/>
        <v>989.2</v>
      </c>
      <c r="CQ35">
        <f t="shared" si="39"/>
        <v>0</v>
      </c>
      <c r="CR35">
        <f t="shared" si="40"/>
        <v>2135.2631999999999</v>
      </c>
      <c r="CS35">
        <f t="shared" si="41"/>
        <v>1314.4253999999999</v>
      </c>
      <c r="CT35">
        <f t="shared" si="42"/>
        <v>47324.250899999992</v>
      </c>
      <c r="CU35">
        <f t="shared" si="43"/>
        <v>0</v>
      </c>
      <c r="CV35">
        <f t="shared" si="44"/>
        <v>179.3</v>
      </c>
      <c r="CW35">
        <f t="shared" si="45"/>
        <v>3.97</v>
      </c>
      <c r="CX35">
        <f t="shared" si="46"/>
        <v>0</v>
      </c>
      <c r="CY35">
        <f t="shared" si="59"/>
        <v>797.67959999999994</v>
      </c>
      <c r="CZ35">
        <f t="shared" si="60"/>
        <v>603.12360000000001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56</v>
      </c>
      <c r="DW35" t="s">
        <v>56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36260504</v>
      </c>
      <c r="EF35">
        <v>6</v>
      </c>
      <c r="EG35" t="s">
        <v>30</v>
      </c>
      <c r="EH35">
        <v>0</v>
      </c>
      <c r="EI35" t="s">
        <v>3</v>
      </c>
      <c r="EJ35">
        <v>1</v>
      </c>
      <c r="EK35">
        <v>56001</v>
      </c>
      <c r="EL35" t="s">
        <v>50</v>
      </c>
      <c r="EM35" t="s">
        <v>51</v>
      </c>
      <c r="EO35" t="s">
        <v>3</v>
      </c>
      <c r="EQ35">
        <v>0</v>
      </c>
      <c r="ER35">
        <v>1634.97</v>
      </c>
      <c r="ES35">
        <v>0</v>
      </c>
      <c r="ET35">
        <v>196.98</v>
      </c>
      <c r="EU35">
        <v>39.94</v>
      </c>
      <c r="EV35">
        <v>1437.99</v>
      </c>
      <c r="EW35">
        <v>179.3</v>
      </c>
      <c r="EX35">
        <v>3.97</v>
      </c>
      <c r="EY35">
        <v>0</v>
      </c>
      <c r="FQ35">
        <v>0</v>
      </c>
      <c r="FR35">
        <f t="shared" si="47"/>
        <v>0</v>
      </c>
      <c r="FS35">
        <v>0</v>
      </c>
      <c r="FX35">
        <v>82</v>
      </c>
      <c r="FY35">
        <v>62</v>
      </c>
      <c r="GA35" t="s">
        <v>3</v>
      </c>
      <c r="GD35">
        <v>1</v>
      </c>
      <c r="GF35">
        <v>395004222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8"/>
        <v>0</v>
      </c>
      <c r="GM35">
        <f t="shared" si="49"/>
        <v>2390</v>
      </c>
      <c r="GN35">
        <f t="shared" si="50"/>
        <v>2390</v>
      </c>
      <c r="GO35">
        <f t="shared" si="51"/>
        <v>0</v>
      </c>
      <c r="GP35">
        <f t="shared" si="52"/>
        <v>0</v>
      </c>
      <c r="GR35">
        <v>0</v>
      </c>
      <c r="GS35">
        <v>0</v>
      </c>
      <c r="GT35">
        <v>0</v>
      </c>
      <c r="GU35" t="s">
        <v>3</v>
      </c>
      <c r="GV35">
        <f t="shared" si="53"/>
        <v>0</v>
      </c>
      <c r="GW35">
        <v>1</v>
      </c>
      <c r="GX35">
        <f t="shared" si="54"/>
        <v>0</v>
      </c>
      <c r="HA35">
        <v>0</v>
      </c>
      <c r="HB35">
        <v>0</v>
      </c>
      <c r="HC35">
        <f t="shared" si="55"/>
        <v>0</v>
      </c>
      <c r="HE35" t="s">
        <v>3</v>
      </c>
      <c r="HF35" t="s">
        <v>3</v>
      </c>
      <c r="HM35" t="s">
        <v>3</v>
      </c>
      <c r="IK35">
        <v>0</v>
      </c>
    </row>
    <row r="36" spans="1:245">
      <c r="A36">
        <v>18</v>
      </c>
      <c r="B36">
        <v>1</v>
      </c>
      <c r="C36">
        <v>17</v>
      </c>
      <c r="E36" t="s">
        <v>58</v>
      </c>
      <c r="F36" t="s">
        <v>41</v>
      </c>
      <c r="G36" t="s">
        <v>42</v>
      </c>
      <c r="H36" t="s">
        <v>43</v>
      </c>
      <c r="I36">
        <f>I35*J36</f>
        <v>0.21</v>
      </c>
      <c r="J36">
        <v>10.5</v>
      </c>
      <c r="K36">
        <v>10.5</v>
      </c>
      <c r="O36">
        <f t="shared" si="21"/>
        <v>0</v>
      </c>
      <c r="P36">
        <f t="shared" si="22"/>
        <v>0</v>
      </c>
      <c r="Q36">
        <f t="shared" si="23"/>
        <v>0</v>
      </c>
      <c r="R36">
        <f t="shared" si="24"/>
        <v>0</v>
      </c>
      <c r="S36">
        <f t="shared" si="25"/>
        <v>0</v>
      </c>
      <c r="T36">
        <f t="shared" si="26"/>
        <v>0</v>
      </c>
      <c r="U36">
        <f t="shared" si="27"/>
        <v>0</v>
      </c>
      <c r="V36">
        <f t="shared" si="28"/>
        <v>0</v>
      </c>
      <c r="W36">
        <f t="shared" si="29"/>
        <v>0</v>
      </c>
      <c r="X36">
        <f t="shared" si="30"/>
        <v>0</v>
      </c>
      <c r="Y36">
        <f t="shared" si="31"/>
        <v>0</v>
      </c>
      <c r="AA36">
        <v>35683522</v>
      </c>
      <c r="AB36">
        <f t="shared" si="32"/>
        <v>0</v>
      </c>
      <c r="AC36">
        <f t="shared" si="56"/>
        <v>0</v>
      </c>
      <c r="AD36">
        <f t="shared" si="57"/>
        <v>0</v>
      </c>
      <c r="AE36">
        <f t="shared" si="58"/>
        <v>0</v>
      </c>
      <c r="AF36">
        <f t="shared" si="58"/>
        <v>0</v>
      </c>
      <c r="AG36">
        <f t="shared" si="34"/>
        <v>0</v>
      </c>
      <c r="AH36">
        <f t="shared" si="35"/>
        <v>0</v>
      </c>
      <c r="AI36">
        <f t="shared" si="36"/>
        <v>0</v>
      </c>
      <c r="AJ36">
        <f t="shared" si="37"/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82</v>
      </c>
      <c r="AU36">
        <v>62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44</v>
      </c>
      <c r="BM36">
        <v>56001</v>
      </c>
      <c r="BN36">
        <v>0</v>
      </c>
      <c r="BO36" t="s">
        <v>3</v>
      </c>
      <c r="BP36">
        <v>0</v>
      </c>
      <c r="BQ36">
        <v>6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82</v>
      </c>
      <c r="CA36">
        <v>62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8"/>
        <v>0</v>
      </c>
      <c r="CQ36">
        <f t="shared" si="39"/>
        <v>0</v>
      </c>
      <c r="CR36">
        <f t="shared" si="40"/>
        <v>0</v>
      </c>
      <c r="CS36">
        <f t="shared" si="41"/>
        <v>0</v>
      </c>
      <c r="CT36">
        <f t="shared" si="42"/>
        <v>0</v>
      </c>
      <c r="CU36">
        <f t="shared" si="43"/>
        <v>0</v>
      </c>
      <c r="CV36">
        <f t="shared" si="44"/>
        <v>0</v>
      </c>
      <c r="CW36">
        <f t="shared" si="45"/>
        <v>0</v>
      </c>
      <c r="CX36">
        <f t="shared" si="46"/>
        <v>0</v>
      </c>
      <c r="CY36">
        <f t="shared" si="59"/>
        <v>0</v>
      </c>
      <c r="CZ36">
        <f t="shared" si="60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1009</v>
      </c>
      <c r="DV36" t="s">
        <v>43</v>
      </c>
      <c r="DW36" t="s">
        <v>43</v>
      </c>
      <c r="DX36">
        <v>1000</v>
      </c>
      <c r="DZ36" t="s">
        <v>3</v>
      </c>
      <c r="EA36" t="s">
        <v>3</v>
      </c>
      <c r="EB36" t="s">
        <v>3</v>
      </c>
      <c r="EC36" t="s">
        <v>3</v>
      </c>
      <c r="EE36">
        <v>36260504</v>
      </c>
      <c r="EF36">
        <v>6</v>
      </c>
      <c r="EG36" t="s">
        <v>30</v>
      </c>
      <c r="EH36">
        <v>0</v>
      </c>
      <c r="EI36" t="s">
        <v>3</v>
      </c>
      <c r="EJ36">
        <v>1</v>
      </c>
      <c r="EK36">
        <v>56001</v>
      </c>
      <c r="EL36" t="s">
        <v>50</v>
      </c>
      <c r="EM36" t="s">
        <v>51</v>
      </c>
      <c r="EO36" t="s">
        <v>3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FQ36">
        <v>0</v>
      </c>
      <c r="FR36">
        <f t="shared" si="47"/>
        <v>0</v>
      </c>
      <c r="FS36">
        <v>0</v>
      </c>
      <c r="FX36">
        <v>82</v>
      </c>
      <c r="FY36">
        <v>62</v>
      </c>
      <c r="GA36" t="s">
        <v>3</v>
      </c>
      <c r="GD36">
        <v>1</v>
      </c>
      <c r="GF36">
        <v>-304821490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48"/>
        <v>0</v>
      </c>
      <c r="GM36">
        <f t="shared" si="49"/>
        <v>0</v>
      </c>
      <c r="GN36">
        <f t="shared" si="50"/>
        <v>0</v>
      </c>
      <c r="GO36">
        <f t="shared" si="51"/>
        <v>0</v>
      </c>
      <c r="GP36">
        <f t="shared" si="52"/>
        <v>0</v>
      </c>
      <c r="GR36">
        <v>0</v>
      </c>
      <c r="GS36">
        <v>0</v>
      </c>
      <c r="GT36">
        <v>0</v>
      </c>
      <c r="GU36" t="s">
        <v>3</v>
      </c>
      <c r="GV36">
        <f t="shared" si="53"/>
        <v>0</v>
      </c>
      <c r="GW36">
        <v>1</v>
      </c>
      <c r="GX36">
        <f t="shared" si="54"/>
        <v>0</v>
      </c>
      <c r="HA36">
        <v>0</v>
      </c>
      <c r="HB36">
        <v>0</v>
      </c>
      <c r="HC36">
        <f t="shared" si="55"/>
        <v>0</v>
      </c>
      <c r="HE36" t="s">
        <v>3</v>
      </c>
      <c r="HF36" t="s">
        <v>3</v>
      </c>
      <c r="HM36" t="s">
        <v>3</v>
      </c>
      <c r="IK36">
        <v>0</v>
      </c>
    </row>
    <row r="38" spans="1:245">
      <c r="A38" s="2">
        <v>51</v>
      </c>
      <c r="B38" s="2">
        <f>B24</f>
        <v>1</v>
      </c>
      <c r="C38" s="2">
        <f>A24</f>
        <v>4</v>
      </c>
      <c r="D38" s="2">
        <f>ROW(A24)</f>
        <v>24</v>
      </c>
      <c r="E38" s="2"/>
      <c r="F38" s="2" t="str">
        <f>IF(F24&lt;&gt;"",F24,"")</f>
        <v>Новый раздел</v>
      </c>
      <c r="G38" s="2" t="str">
        <f>IF(G24&lt;&gt;"",G24,"")</f>
        <v>Демонтаж</v>
      </c>
      <c r="H38" s="2">
        <v>0</v>
      </c>
      <c r="I38" s="2"/>
      <c r="J38" s="2"/>
      <c r="K38" s="2"/>
      <c r="L38" s="2"/>
      <c r="M38" s="2"/>
      <c r="N38" s="2"/>
      <c r="O38" s="2">
        <f t="shared" ref="O38:T38" si="61">ROUND(AB38,2)</f>
        <v>13222.93</v>
      </c>
      <c r="P38" s="2">
        <f t="shared" si="61"/>
        <v>6104.27</v>
      </c>
      <c r="Q38" s="2">
        <f t="shared" si="61"/>
        <v>1903.24</v>
      </c>
      <c r="R38" s="2">
        <f t="shared" si="61"/>
        <v>45.48</v>
      </c>
      <c r="S38" s="2">
        <f t="shared" si="61"/>
        <v>5215.42</v>
      </c>
      <c r="T38" s="2">
        <f t="shared" si="61"/>
        <v>0</v>
      </c>
      <c r="U38" s="2">
        <f>AH38</f>
        <v>16.683259999999997</v>
      </c>
      <c r="V38" s="2">
        <f>AI38</f>
        <v>0.12260000000000001</v>
      </c>
      <c r="W38" s="2">
        <f>ROUND(AJ38,2)</f>
        <v>0.08</v>
      </c>
      <c r="X38" s="2">
        <f>ROUND(AK38,2)</f>
        <v>1948.13</v>
      </c>
      <c r="Y38" s="2">
        <f>ROUND(AL38,2)</f>
        <v>1479.42</v>
      </c>
      <c r="Z38" s="2"/>
      <c r="AA38" s="2"/>
      <c r="AB38" s="2">
        <f>ROUND(SUMIF(AA28:AA36,"=35683522",O28:O36),2)</f>
        <v>13222.93</v>
      </c>
      <c r="AC38" s="2">
        <f>ROUND(SUMIF(AA28:AA36,"=35683522",P28:P36),2)</f>
        <v>6104.27</v>
      </c>
      <c r="AD38" s="2">
        <f>ROUND(SUMIF(AA28:AA36,"=35683522",Q28:Q36),2)</f>
        <v>1903.24</v>
      </c>
      <c r="AE38" s="2">
        <f>ROUND(SUMIF(AA28:AA36,"=35683522",R28:R36),2)</f>
        <v>45.48</v>
      </c>
      <c r="AF38" s="2">
        <f>ROUND(SUMIF(AA28:AA36,"=35683522",S28:S36),2)</f>
        <v>5215.42</v>
      </c>
      <c r="AG38" s="2">
        <f>ROUND(SUMIF(AA28:AA36,"=35683522",T28:T36),2)</f>
        <v>0</v>
      </c>
      <c r="AH38" s="2">
        <f>SUMIF(AA28:AA36,"=35683522",U28:U36)</f>
        <v>16.683259999999997</v>
      </c>
      <c r="AI38" s="2">
        <f>SUMIF(AA28:AA36,"=35683522",V28:V36)</f>
        <v>0.12260000000000001</v>
      </c>
      <c r="AJ38" s="2">
        <f>ROUND(SUMIF(AA28:AA36,"=35683522",W28:W36),2)</f>
        <v>0.08</v>
      </c>
      <c r="AK38" s="2">
        <f>ROUND(SUMIF(AA28:AA36,"=35683522",X28:X36),2)</f>
        <v>1948.13</v>
      </c>
      <c r="AL38" s="2">
        <f>ROUND(SUMIF(AA28:AA36,"=35683522",Y28:Y36),2)</f>
        <v>1479.42</v>
      </c>
      <c r="AM38" s="2"/>
      <c r="AN38" s="2"/>
      <c r="AO38" s="2">
        <f t="shared" ref="AO38:BD38" si="62">ROUND(BX38,2)</f>
        <v>0</v>
      </c>
      <c r="AP38" s="2">
        <f t="shared" si="62"/>
        <v>0</v>
      </c>
      <c r="AQ38" s="2">
        <f t="shared" si="62"/>
        <v>0</v>
      </c>
      <c r="AR38" s="2">
        <f t="shared" si="62"/>
        <v>16650.48</v>
      </c>
      <c r="AS38" s="2">
        <f t="shared" si="62"/>
        <v>16650.48</v>
      </c>
      <c r="AT38" s="2">
        <f t="shared" si="62"/>
        <v>0</v>
      </c>
      <c r="AU38" s="2">
        <f t="shared" si="62"/>
        <v>0</v>
      </c>
      <c r="AV38" s="2">
        <f t="shared" si="62"/>
        <v>6104.27</v>
      </c>
      <c r="AW38" s="2">
        <f t="shared" si="62"/>
        <v>6104.27</v>
      </c>
      <c r="AX38" s="2">
        <f t="shared" si="62"/>
        <v>0</v>
      </c>
      <c r="AY38" s="2">
        <f t="shared" si="62"/>
        <v>6104.27</v>
      </c>
      <c r="AZ38" s="2">
        <f t="shared" si="62"/>
        <v>0</v>
      </c>
      <c r="BA38" s="2">
        <f t="shared" si="62"/>
        <v>0</v>
      </c>
      <c r="BB38" s="2">
        <f t="shared" si="62"/>
        <v>0</v>
      </c>
      <c r="BC38" s="2">
        <f t="shared" si="62"/>
        <v>0</v>
      </c>
      <c r="BD38" s="2">
        <f t="shared" si="62"/>
        <v>0</v>
      </c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>
        <f>ROUND(SUMIF(AA28:AA36,"=35683522",FQ28:FQ36),2)</f>
        <v>0</v>
      </c>
      <c r="BY38" s="2">
        <f>ROUND(SUMIF(AA28:AA36,"=35683522",FR28:FR36),2)</f>
        <v>0</v>
      </c>
      <c r="BZ38" s="2">
        <f>ROUND(SUMIF(AA28:AA36,"=35683522",GL28:GL36),2)</f>
        <v>0</v>
      </c>
      <c r="CA38" s="2">
        <f>ROUND(SUMIF(AA28:AA36,"=35683522",GM28:GM36),2)</f>
        <v>16650.48</v>
      </c>
      <c r="CB38" s="2">
        <f>ROUND(SUMIF(AA28:AA36,"=35683522",GN28:GN36),2)</f>
        <v>16650.48</v>
      </c>
      <c r="CC38" s="2">
        <f>ROUND(SUMIF(AA28:AA36,"=35683522",GO28:GO36),2)</f>
        <v>0</v>
      </c>
      <c r="CD38" s="2">
        <f>ROUND(SUMIF(AA28:AA36,"=35683522",GP28:GP36),2)</f>
        <v>0</v>
      </c>
      <c r="CE38" s="2">
        <f>AC38-BX38</f>
        <v>6104.27</v>
      </c>
      <c r="CF38" s="2">
        <f>AC38-BY38</f>
        <v>6104.27</v>
      </c>
      <c r="CG38" s="2">
        <f>BX38-BZ38</f>
        <v>0</v>
      </c>
      <c r="CH38" s="2">
        <f>AC38-BX38-BY38+BZ38</f>
        <v>6104.27</v>
      </c>
      <c r="CI38" s="2">
        <f>BY38-BZ38</f>
        <v>0</v>
      </c>
      <c r="CJ38" s="2">
        <f>ROUND(SUMIF(AA28:AA36,"=35683522",GX28:GX36),2)</f>
        <v>0</v>
      </c>
      <c r="CK38" s="2">
        <f>ROUND(SUMIF(AA28:AA36,"=35683522",GY28:GY36),2)</f>
        <v>0</v>
      </c>
      <c r="CL38" s="2">
        <f>ROUND(SUMIF(AA28:AA36,"=35683522",GZ28:GZ36),2)</f>
        <v>0</v>
      </c>
      <c r="CM38" s="2">
        <f>ROUND(SUMIF(AA28:AA36,"=35683522",HD28:HD36),2)</f>
        <v>0</v>
      </c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>
        <v>0</v>
      </c>
    </row>
    <row r="40" spans="1:245">
      <c r="A40" s="4">
        <v>50</v>
      </c>
      <c r="B40" s="4">
        <v>0</v>
      </c>
      <c r="C40" s="4">
        <v>0</v>
      </c>
      <c r="D40" s="4">
        <v>1</v>
      </c>
      <c r="E40" s="4">
        <v>201</v>
      </c>
      <c r="F40" s="4">
        <f>ROUND(Source!O38,O40)</f>
        <v>13222.93</v>
      </c>
      <c r="G40" s="4" t="s">
        <v>59</v>
      </c>
      <c r="H40" s="4" t="s">
        <v>60</v>
      </c>
      <c r="I40" s="4"/>
      <c r="J40" s="4"/>
      <c r="K40" s="4">
        <v>201</v>
      </c>
      <c r="L40" s="4">
        <v>1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202</v>
      </c>
      <c r="F41" s="4">
        <f>ROUND(Source!P38,O41)</f>
        <v>6104.27</v>
      </c>
      <c r="G41" s="4" t="s">
        <v>61</v>
      </c>
      <c r="H41" s="4" t="s">
        <v>62</v>
      </c>
      <c r="I41" s="4"/>
      <c r="J41" s="4"/>
      <c r="K41" s="4">
        <v>202</v>
      </c>
      <c r="L41" s="4">
        <v>2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222</v>
      </c>
      <c r="F42" s="4">
        <f>ROUND(Source!AO38,O42)</f>
        <v>0</v>
      </c>
      <c r="G42" s="4" t="s">
        <v>63</v>
      </c>
      <c r="H42" s="4" t="s">
        <v>64</v>
      </c>
      <c r="I42" s="4"/>
      <c r="J42" s="4"/>
      <c r="K42" s="4">
        <v>222</v>
      </c>
      <c r="L42" s="4">
        <v>3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225</v>
      </c>
      <c r="F43" s="4">
        <f>ROUND(Source!AV38,O43)</f>
        <v>6104.27</v>
      </c>
      <c r="G43" s="4" t="s">
        <v>65</v>
      </c>
      <c r="H43" s="4" t="s">
        <v>66</v>
      </c>
      <c r="I43" s="4"/>
      <c r="J43" s="4"/>
      <c r="K43" s="4">
        <v>225</v>
      </c>
      <c r="L43" s="4">
        <v>4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226</v>
      </c>
      <c r="F44" s="4">
        <f>ROUND(Source!AW38,O44)</f>
        <v>6104.27</v>
      </c>
      <c r="G44" s="4" t="s">
        <v>67</v>
      </c>
      <c r="H44" s="4" t="s">
        <v>68</v>
      </c>
      <c r="I44" s="4"/>
      <c r="J44" s="4"/>
      <c r="K44" s="4">
        <v>226</v>
      </c>
      <c r="L44" s="4">
        <v>5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227</v>
      </c>
      <c r="F45" s="4">
        <f>ROUND(Source!AX38,O45)</f>
        <v>0</v>
      </c>
      <c r="G45" s="4" t="s">
        <v>69</v>
      </c>
      <c r="H45" s="4" t="s">
        <v>70</v>
      </c>
      <c r="I45" s="4"/>
      <c r="J45" s="4"/>
      <c r="K45" s="4">
        <v>227</v>
      </c>
      <c r="L45" s="4">
        <v>6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228</v>
      </c>
      <c r="F46" s="4">
        <f>ROUND(Source!AY38,O46)</f>
        <v>6104.27</v>
      </c>
      <c r="G46" s="4" t="s">
        <v>71</v>
      </c>
      <c r="H46" s="4" t="s">
        <v>72</v>
      </c>
      <c r="I46" s="4"/>
      <c r="J46" s="4"/>
      <c r="K46" s="4">
        <v>228</v>
      </c>
      <c r="L46" s="4">
        <v>7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216</v>
      </c>
      <c r="F47" s="4">
        <f>ROUND(Source!AP38,O47)</f>
        <v>0</v>
      </c>
      <c r="G47" s="4" t="s">
        <v>73</v>
      </c>
      <c r="H47" s="4" t="s">
        <v>74</v>
      </c>
      <c r="I47" s="4"/>
      <c r="J47" s="4"/>
      <c r="K47" s="4">
        <v>216</v>
      </c>
      <c r="L47" s="4">
        <v>8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223</v>
      </c>
      <c r="F48" s="4">
        <f>ROUND(Source!AQ38,O48)</f>
        <v>0</v>
      </c>
      <c r="G48" s="4" t="s">
        <v>75</v>
      </c>
      <c r="H48" s="4" t="s">
        <v>76</v>
      </c>
      <c r="I48" s="4"/>
      <c r="J48" s="4"/>
      <c r="K48" s="4">
        <v>223</v>
      </c>
      <c r="L48" s="4">
        <v>9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229</v>
      </c>
      <c r="F49" s="4">
        <f>ROUND(Source!AZ38,O49)</f>
        <v>0</v>
      </c>
      <c r="G49" s="4" t="s">
        <v>77</v>
      </c>
      <c r="H49" s="4" t="s">
        <v>78</v>
      </c>
      <c r="I49" s="4"/>
      <c r="J49" s="4"/>
      <c r="K49" s="4">
        <v>229</v>
      </c>
      <c r="L49" s="4">
        <v>10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203</v>
      </c>
      <c r="F50" s="4">
        <f>ROUND(Source!Q38,O50)</f>
        <v>1903.24</v>
      </c>
      <c r="G50" s="4" t="s">
        <v>79</v>
      </c>
      <c r="H50" s="4" t="s">
        <v>80</v>
      </c>
      <c r="I50" s="4"/>
      <c r="J50" s="4"/>
      <c r="K50" s="4">
        <v>203</v>
      </c>
      <c r="L50" s="4">
        <v>11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231</v>
      </c>
      <c r="F51" s="4">
        <f>ROUND(Source!BB38,O51)</f>
        <v>0</v>
      </c>
      <c r="G51" s="4" t="s">
        <v>81</v>
      </c>
      <c r="H51" s="4" t="s">
        <v>82</v>
      </c>
      <c r="I51" s="4"/>
      <c r="J51" s="4"/>
      <c r="K51" s="4">
        <v>231</v>
      </c>
      <c r="L51" s="4">
        <v>12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204</v>
      </c>
      <c r="F52" s="4">
        <f>ROUND(Source!R38,O52)</f>
        <v>45.48</v>
      </c>
      <c r="G52" s="4" t="s">
        <v>83</v>
      </c>
      <c r="H52" s="4" t="s">
        <v>84</v>
      </c>
      <c r="I52" s="4"/>
      <c r="J52" s="4"/>
      <c r="K52" s="4">
        <v>204</v>
      </c>
      <c r="L52" s="4">
        <v>13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205</v>
      </c>
      <c r="F53" s="4">
        <f>ROUND(Source!S38,O53)</f>
        <v>5215.42</v>
      </c>
      <c r="G53" s="4" t="s">
        <v>85</v>
      </c>
      <c r="H53" s="4" t="s">
        <v>86</v>
      </c>
      <c r="I53" s="4"/>
      <c r="J53" s="4"/>
      <c r="K53" s="4">
        <v>205</v>
      </c>
      <c r="L53" s="4">
        <v>14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232</v>
      </c>
      <c r="F54" s="4">
        <f>ROUND(Source!BC38,O54)</f>
        <v>0</v>
      </c>
      <c r="G54" s="4" t="s">
        <v>87</v>
      </c>
      <c r="H54" s="4" t="s">
        <v>88</v>
      </c>
      <c r="I54" s="4"/>
      <c r="J54" s="4"/>
      <c r="K54" s="4">
        <v>232</v>
      </c>
      <c r="L54" s="4">
        <v>15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214</v>
      </c>
      <c r="F55" s="4">
        <f>ROUND(Source!AS38,O55)</f>
        <v>16650.48</v>
      </c>
      <c r="G55" s="4" t="s">
        <v>89</v>
      </c>
      <c r="H55" s="4" t="s">
        <v>90</v>
      </c>
      <c r="I55" s="4"/>
      <c r="J55" s="4"/>
      <c r="K55" s="4">
        <v>214</v>
      </c>
      <c r="L55" s="4">
        <v>16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215</v>
      </c>
      <c r="F56" s="4">
        <f>ROUND(Source!AT38,O56)</f>
        <v>0</v>
      </c>
      <c r="G56" s="4" t="s">
        <v>91</v>
      </c>
      <c r="H56" s="4" t="s">
        <v>92</v>
      </c>
      <c r="I56" s="4"/>
      <c r="J56" s="4"/>
      <c r="K56" s="4">
        <v>215</v>
      </c>
      <c r="L56" s="4">
        <v>17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217</v>
      </c>
      <c r="F57" s="4">
        <f>ROUND(Source!AU38,O57)</f>
        <v>0</v>
      </c>
      <c r="G57" s="4" t="s">
        <v>93</v>
      </c>
      <c r="H57" s="4" t="s">
        <v>94</v>
      </c>
      <c r="I57" s="4"/>
      <c r="J57" s="4"/>
      <c r="K57" s="4">
        <v>217</v>
      </c>
      <c r="L57" s="4">
        <v>18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230</v>
      </c>
      <c r="F58" s="4">
        <f>ROUND(Source!BA38,O58)</f>
        <v>0</v>
      </c>
      <c r="G58" s="4" t="s">
        <v>95</v>
      </c>
      <c r="H58" s="4" t="s">
        <v>96</v>
      </c>
      <c r="I58" s="4"/>
      <c r="J58" s="4"/>
      <c r="K58" s="4">
        <v>230</v>
      </c>
      <c r="L58" s="4">
        <v>19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206</v>
      </c>
      <c r="F59" s="4">
        <f>ROUND(Source!T38,O59)</f>
        <v>0</v>
      </c>
      <c r="G59" s="4" t="s">
        <v>97</v>
      </c>
      <c r="H59" s="4" t="s">
        <v>98</v>
      </c>
      <c r="I59" s="4"/>
      <c r="J59" s="4"/>
      <c r="K59" s="4">
        <v>206</v>
      </c>
      <c r="L59" s="4">
        <v>20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207</v>
      </c>
      <c r="F60" s="4">
        <f>Source!U38</f>
        <v>16.683259999999997</v>
      </c>
      <c r="G60" s="4" t="s">
        <v>99</v>
      </c>
      <c r="H60" s="4" t="s">
        <v>100</v>
      </c>
      <c r="I60" s="4"/>
      <c r="J60" s="4"/>
      <c r="K60" s="4">
        <v>207</v>
      </c>
      <c r="L60" s="4">
        <v>21</v>
      </c>
      <c r="M60" s="4">
        <v>3</v>
      </c>
      <c r="N60" s="4" t="s">
        <v>3</v>
      </c>
      <c r="O60" s="4">
        <v>-1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208</v>
      </c>
      <c r="F61" s="4">
        <f>Source!V38</f>
        <v>0.12260000000000001</v>
      </c>
      <c r="G61" s="4" t="s">
        <v>101</v>
      </c>
      <c r="H61" s="4" t="s">
        <v>102</v>
      </c>
      <c r="I61" s="4"/>
      <c r="J61" s="4"/>
      <c r="K61" s="4">
        <v>208</v>
      </c>
      <c r="L61" s="4">
        <v>22</v>
      </c>
      <c r="M61" s="4">
        <v>3</v>
      </c>
      <c r="N61" s="4" t="s">
        <v>3</v>
      </c>
      <c r="O61" s="4">
        <v>-1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209</v>
      </c>
      <c r="F62" s="4">
        <f>ROUND(Source!W38,O62)</f>
        <v>0.08</v>
      </c>
      <c r="G62" s="4" t="s">
        <v>103</v>
      </c>
      <c r="H62" s="4" t="s">
        <v>104</v>
      </c>
      <c r="I62" s="4"/>
      <c r="J62" s="4"/>
      <c r="K62" s="4">
        <v>209</v>
      </c>
      <c r="L62" s="4">
        <v>23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233</v>
      </c>
      <c r="F63" s="4">
        <f>ROUND(Source!BD38,O63)</f>
        <v>0</v>
      </c>
      <c r="G63" s="4" t="s">
        <v>105</v>
      </c>
      <c r="H63" s="4" t="s">
        <v>106</v>
      </c>
      <c r="I63" s="4"/>
      <c r="J63" s="4"/>
      <c r="K63" s="4">
        <v>233</v>
      </c>
      <c r="L63" s="4">
        <v>24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210</v>
      </c>
      <c r="F64" s="4">
        <f>ROUND(Source!X38,O64)</f>
        <v>1948.13</v>
      </c>
      <c r="G64" s="4" t="s">
        <v>107</v>
      </c>
      <c r="H64" s="4" t="s">
        <v>108</v>
      </c>
      <c r="I64" s="4"/>
      <c r="J64" s="4"/>
      <c r="K64" s="4">
        <v>210</v>
      </c>
      <c r="L64" s="4">
        <v>25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45">
      <c r="A65" s="4">
        <v>50</v>
      </c>
      <c r="B65" s="4">
        <v>0</v>
      </c>
      <c r="C65" s="4">
        <v>0</v>
      </c>
      <c r="D65" s="4">
        <v>1</v>
      </c>
      <c r="E65" s="4">
        <v>211</v>
      </c>
      <c r="F65" s="4">
        <f>ROUND(Source!Y38,O65)</f>
        <v>1479.42</v>
      </c>
      <c r="G65" s="4" t="s">
        <v>109</v>
      </c>
      <c r="H65" s="4" t="s">
        <v>110</v>
      </c>
      <c r="I65" s="4"/>
      <c r="J65" s="4"/>
      <c r="K65" s="4">
        <v>211</v>
      </c>
      <c r="L65" s="4">
        <v>26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45">
      <c r="A66" s="4">
        <v>50</v>
      </c>
      <c r="B66" s="4">
        <v>0</v>
      </c>
      <c r="C66" s="4">
        <v>0</v>
      </c>
      <c r="D66" s="4">
        <v>1</v>
      </c>
      <c r="E66" s="4">
        <v>224</v>
      </c>
      <c r="F66" s="4">
        <f>ROUND(Source!AR38,O66)</f>
        <v>16650.48</v>
      </c>
      <c r="G66" s="4" t="s">
        <v>111</v>
      </c>
      <c r="H66" s="4" t="s">
        <v>112</v>
      </c>
      <c r="I66" s="4"/>
      <c r="J66" s="4"/>
      <c r="K66" s="4">
        <v>224</v>
      </c>
      <c r="L66" s="4">
        <v>27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8" spans="1:245">
      <c r="A68" s="1">
        <v>4</v>
      </c>
      <c r="B68" s="1">
        <v>1</v>
      </c>
      <c r="C68" s="1"/>
      <c r="D68" s="1">
        <f>ROW(A99)</f>
        <v>99</v>
      </c>
      <c r="E68" s="1"/>
      <c r="F68" s="1" t="s">
        <v>13</v>
      </c>
      <c r="G68" s="1" t="s">
        <v>91</v>
      </c>
      <c r="H68" s="1" t="s">
        <v>3</v>
      </c>
      <c r="I68" s="1">
        <v>0</v>
      </c>
      <c r="J68" s="1"/>
      <c r="K68" s="1">
        <v>0</v>
      </c>
      <c r="L68" s="1"/>
      <c r="M68" s="1" t="s">
        <v>3</v>
      </c>
      <c r="N68" s="1"/>
      <c r="O68" s="1"/>
      <c r="P68" s="1"/>
      <c r="Q68" s="1"/>
      <c r="R68" s="1"/>
      <c r="S68" s="1">
        <v>0</v>
      </c>
      <c r="T68" s="1"/>
      <c r="U68" s="1" t="s">
        <v>3</v>
      </c>
      <c r="V68" s="1">
        <v>0</v>
      </c>
      <c r="W68" s="1"/>
      <c r="X68" s="1"/>
      <c r="Y68" s="1"/>
      <c r="Z68" s="1"/>
      <c r="AA68" s="1"/>
      <c r="AB68" s="1" t="s">
        <v>3</v>
      </c>
      <c r="AC68" s="1" t="s">
        <v>3</v>
      </c>
      <c r="AD68" s="1" t="s">
        <v>3</v>
      </c>
      <c r="AE68" s="1" t="s">
        <v>3</v>
      </c>
      <c r="AF68" s="1" t="s">
        <v>3</v>
      </c>
      <c r="AG68" s="1" t="s">
        <v>3</v>
      </c>
      <c r="AH68" s="1"/>
      <c r="AI68" s="1"/>
      <c r="AJ68" s="1"/>
      <c r="AK68" s="1"/>
      <c r="AL68" s="1"/>
      <c r="AM68" s="1"/>
      <c r="AN68" s="1"/>
      <c r="AO68" s="1"/>
      <c r="AP68" s="1" t="s">
        <v>3</v>
      </c>
      <c r="AQ68" s="1" t="s">
        <v>3</v>
      </c>
      <c r="AR68" s="1" t="s">
        <v>3</v>
      </c>
      <c r="AS68" s="1"/>
      <c r="AT68" s="1"/>
      <c r="AU68" s="1"/>
      <c r="AV68" s="1"/>
      <c r="AW68" s="1"/>
      <c r="AX68" s="1"/>
      <c r="AY68" s="1"/>
      <c r="AZ68" s="1" t="s">
        <v>3</v>
      </c>
      <c r="BA68" s="1"/>
      <c r="BB68" s="1" t="s">
        <v>3</v>
      </c>
      <c r="BC68" s="1" t="s">
        <v>3</v>
      </c>
      <c r="BD68" s="1" t="s">
        <v>3</v>
      </c>
      <c r="BE68" s="1" t="s">
        <v>3</v>
      </c>
      <c r="BF68" s="1" t="s">
        <v>3</v>
      </c>
      <c r="BG68" s="1" t="s">
        <v>3</v>
      </c>
      <c r="BH68" s="1" t="s">
        <v>3</v>
      </c>
      <c r="BI68" s="1" t="s">
        <v>3</v>
      </c>
      <c r="BJ68" s="1" t="s">
        <v>3</v>
      </c>
      <c r="BK68" s="1" t="s">
        <v>3</v>
      </c>
      <c r="BL68" s="1" t="s">
        <v>3</v>
      </c>
      <c r="BM68" s="1" t="s">
        <v>3</v>
      </c>
      <c r="BN68" s="1" t="s">
        <v>3</v>
      </c>
      <c r="BO68" s="1" t="s">
        <v>3</v>
      </c>
      <c r="BP68" s="1" t="s">
        <v>3</v>
      </c>
      <c r="BQ68" s="1"/>
      <c r="BR68" s="1"/>
      <c r="BS68" s="1"/>
      <c r="BT68" s="1"/>
      <c r="BU68" s="1"/>
      <c r="BV68" s="1"/>
      <c r="BW68" s="1"/>
      <c r="BX68" s="1">
        <v>0</v>
      </c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>
        <v>0</v>
      </c>
    </row>
    <row r="70" spans="1:245">
      <c r="A70" s="2">
        <v>52</v>
      </c>
      <c r="B70" s="2">
        <f t="shared" ref="B70:G70" si="63">B99</f>
        <v>1</v>
      </c>
      <c r="C70" s="2">
        <f t="shared" si="63"/>
        <v>4</v>
      </c>
      <c r="D70" s="2">
        <f t="shared" si="63"/>
        <v>68</v>
      </c>
      <c r="E70" s="2">
        <f t="shared" si="63"/>
        <v>0</v>
      </c>
      <c r="F70" s="2" t="str">
        <f t="shared" si="63"/>
        <v>Новый раздел</v>
      </c>
      <c r="G70" s="2" t="str">
        <f t="shared" si="63"/>
        <v>Монтаж</v>
      </c>
      <c r="H70" s="2"/>
      <c r="I70" s="2"/>
      <c r="J70" s="2"/>
      <c r="K70" s="2"/>
      <c r="L70" s="2"/>
      <c r="M70" s="2"/>
      <c r="N70" s="2"/>
      <c r="O70" s="2">
        <f t="shared" ref="O70:AT70" si="64">O99</f>
        <v>98861.1</v>
      </c>
      <c r="P70" s="2">
        <f t="shared" si="64"/>
        <v>81657.45</v>
      </c>
      <c r="Q70" s="2">
        <f t="shared" si="64"/>
        <v>1791.28</v>
      </c>
      <c r="R70" s="2">
        <f t="shared" si="64"/>
        <v>695.54</v>
      </c>
      <c r="S70" s="2">
        <f t="shared" si="64"/>
        <v>15412.37</v>
      </c>
      <c r="T70" s="2">
        <f t="shared" si="64"/>
        <v>0</v>
      </c>
      <c r="U70" s="2">
        <f t="shared" si="64"/>
        <v>50.933545999999993</v>
      </c>
      <c r="V70" s="2">
        <f t="shared" si="64"/>
        <v>1.7634999999999998</v>
      </c>
      <c r="W70" s="2">
        <f t="shared" si="64"/>
        <v>5.09</v>
      </c>
      <c r="X70" s="2">
        <f t="shared" si="64"/>
        <v>15497.31</v>
      </c>
      <c r="Y70" s="2">
        <f t="shared" si="64"/>
        <v>9559.0300000000007</v>
      </c>
      <c r="Z70" s="2">
        <f t="shared" si="64"/>
        <v>0</v>
      </c>
      <c r="AA70" s="2">
        <f t="shared" si="64"/>
        <v>0</v>
      </c>
      <c r="AB70" s="2">
        <f t="shared" si="64"/>
        <v>98861.1</v>
      </c>
      <c r="AC70" s="2">
        <f t="shared" si="64"/>
        <v>81657.45</v>
      </c>
      <c r="AD70" s="2">
        <f t="shared" si="64"/>
        <v>1791.28</v>
      </c>
      <c r="AE70" s="2">
        <f t="shared" si="64"/>
        <v>695.54</v>
      </c>
      <c r="AF70" s="2">
        <f t="shared" si="64"/>
        <v>15412.37</v>
      </c>
      <c r="AG70" s="2">
        <f t="shared" si="64"/>
        <v>0</v>
      </c>
      <c r="AH70" s="2">
        <f t="shared" si="64"/>
        <v>50.933545999999993</v>
      </c>
      <c r="AI70" s="2">
        <f t="shared" si="64"/>
        <v>1.7634999999999998</v>
      </c>
      <c r="AJ70" s="2">
        <f t="shared" si="64"/>
        <v>5.09</v>
      </c>
      <c r="AK70" s="2">
        <f t="shared" si="64"/>
        <v>15497.31</v>
      </c>
      <c r="AL70" s="2">
        <f t="shared" si="64"/>
        <v>9559.0300000000007</v>
      </c>
      <c r="AM70" s="2">
        <f t="shared" si="64"/>
        <v>0</v>
      </c>
      <c r="AN70" s="2">
        <f t="shared" si="64"/>
        <v>0</v>
      </c>
      <c r="AO70" s="2">
        <f t="shared" si="64"/>
        <v>0</v>
      </c>
      <c r="AP70" s="2">
        <f t="shared" si="64"/>
        <v>0</v>
      </c>
      <c r="AQ70" s="2">
        <f t="shared" si="64"/>
        <v>0</v>
      </c>
      <c r="AR70" s="2">
        <f t="shared" si="64"/>
        <v>123917.44</v>
      </c>
      <c r="AS70" s="2">
        <f t="shared" si="64"/>
        <v>123917.44</v>
      </c>
      <c r="AT70" s="2">
        <f t="shared" si="64"/>
        <v>0</v>
      </c>
      <c r="AU70" s="2">
        <f t="shared" ref="AU70:BZ70" si="65">AU99</f>
        <v>0</v>
      </c>
      <c r="AV70" s="2">
        <f t="shared" si="65"/>
        <v>81657.45</v>
      </c>
      <c r="AW70" s="2">
        <f t="shared" si="65"/>
        <v>81657.45</v>
      </c>
      <c r="AX70" s="2">
        <f t="shared" si="65"/>
        <v>0</v>
      </c>
      <c r="AY70" s="2">
        <f t="shared" si="65"/>
        <v>81657.45</v>
      </c>
      <c r="AZ70" s="2">
        <f t="shared" si="65"/>
        <v>0</v>
      </c>
      <c r="BA70" s="2">
        <f t="shared" si="65"/>
        <v>0</v>
      </c>
      <c r="BB70" s="2">
        <f t="shared" si="65"/>
        <v>0</v>
      </c>
      <c r="BC70" s="2">
        <f t="shared" si="65"/>
        <v>0</v>
      </c>
      <c r="BD70" s="2">
        <f t="shared" si="65"/>
        <v>245.73</v>
      </c>
      <c r="BE70" s="2">
        <f t="shared" si="65"/>
        <v>0</v>
      </c>
      <c r="BF70" s="2">
        <f t="shared" si="65"/>
        <v>0</v>
      </c>
      <c r="BG70" s="2">
        <f t="shared" si="65"/>
        <v>0</v>
      </c>
      <c r="BH70" s="2">
        <f t="shared" si="65"/>
        <v>0</v>
      </c>
      <c r="BI70" s="2">
        <f t="shared" si="65"/>
        <v>0</v>
      </c>
      <c r="BJ70" s="2">
        <f t="shared" si="65"/>
        <v>0</v>
      </c>
      <c r="BK70" s="2">
        <f t="shared" si="65"/>
        <v>0</v>
      </c>
      <c r="BL70" s="2">
        <f t="shared" si="65"/>
        <v>0</v>
      </c>
      <c r="BM70" s="2">
        <f t="shared" si="65"/>
        <v>0</v>
      </c>
      <c r="BN70" s="2">
        <f t="shared" si="65"/>
        <v>0</v>
      </c>
      <c r="BO70" s="2">
        <f t="shared" si="65"/>
        <v>0</v>
      </c>
      <c r="BP70" s="2">
        <f t="shared" si="65"/>
        <v>0</v>
      </c>
      <c r="BQ70" s="2">
        <f t="shared" si="65"/>
        <v>0</v>
      </c>
      <c r="BR70" s="2">
        <f t="shared" si="65"/>
        <v>0</v>
      </c>
      <c r="BS70" s="2">
        <f t="shared" si="65"/>
        <v>0</v>
      </c>
      <c r="BT70" s="2">
        <f t="shared" si="65"/>
        <v>0</v>
      </c>
      <c r="BU70" s="2">
        <f t="shared" si="65"/>
        <v>0</v>
      </c>
      <c r="BV70" s="2">
        <f t="shared" si="65"/>
        <v>0</v>
      </c>
      <c r="BW70" s="2">
        <f t="shared" si="65"/>
        <v>0</v>
      </c>
      <c r="BX70" s="2">
        <f t="shared" si="65"/>
        <v>0</v>
      </c>
      <c r="BY70" s="2">
        <f t="shared" si="65"/>
        <v>0</v>
      </c>
      <c r="BZ70" s="2">
        <f t="shared" si="65"/>
        <v>0</v>
      </c>
      <c r="CA70" s="2">
        <f t="shared" ref="CA70:DF70" si="66">CA99</f>
        <v>123917.44</v>
      </c>
      <c r="CB70" s="2">
        <f t="shared" si="66"/>
        <v>123917.44</v>
      </c>
      <c r="CC70" s="2">
        <f t="shared" si="66"/>
        <v>0</v>
      </c>
      <c r="CD70" s="2">
        <f t="shared" si="66"/>
        <v>0</v>
      </c>
      <c r="CE70" s="2">
        <f t="shared" si="66"/>
        <v>81657.45</v>
      </c>
      <c r="CF70" s="2">
        <f t="shared" si="66"/>
        <v>81657.45</v>
      </c>
      <c r="CG70" s="2">
        <f t="shared" si="66"/>
        <v>0</v>
      </c>
      <c r="CH70" s="2">
        <f t="shared" si="66"/>
        <v>81657.45</v>
      </c>
      <c r="CI70" s="2">
        <f t="shared" si="66"/>
        <v>0</v>
      </c>
      <c r="CJ70" s="2">
        <f t="shared" si="66"/>
        <v>0</v>
      </c>
      <c r="CK70" s="2">
        <f t="shared" si="66"/>
        <v>0</v>
      </c>
      <c r="CL70" s="2">
        <f t="shared" si="66"/>
        <v>0</v>
      </c>
      <c r="CM70" s="2">
        <f t="shared" si="66"/>
        <v>245.73</v>
      </c>
      <c r="CN70" s="2">
        <f t="shared" si="66"/>
        <v>0</v>
      </c>
      <c r="CO70" s="2">
        <f t="shared" si="66"/>
        <v>0</v>
      </c>
      <c r="CP70" s="2">
        <f t="shared" si="66"/>
        <v>0</v>
      </c>
      <c r="CQ70" s="2">
        <f t="shared" si="66"/>
        <v>0</v>
      </c>
      <c r="CR70" s="2">
        <f t="shared" si="66"/>
        <v>0</v>
      </c>
      <c r="CS70" s="2">
        <f t="shared" si="66"/>
        <v>0</v>
      </c>
      <c r="CT70" s="2">
        <f t="shared" si="66"/>
        <v>0</v>
      </c>
      <c r="CU70" s="2">
        <f t="shared" si="66"/>
        <v>0</v>
      </c>
      <c r="CV70" s="2">
        <f t="shared" si="66"/>
        <v>0</v>
      </c>
      <c r="CW70" s="2">
        <f t="shared" si="66"/>
        <v>0</v>
      </c>
      <c r="CX70" s="2">
        <f t="shared" si="66"/>
        <v>0</v>
      </c>
      <c r="CY70" s="2">
        <f t="shared" si="66"/>
        <v>0</v>
      </c>
      <c r="CZ70" s="2">
        <f t="shared" si="66"/>
        <v>0</v>
      </c>
      <c r="DA70" s="2">
        <f t="shared" si="66"/>
        <v>0</v>
      </c>
      <c r="DB70" s="2">
        <f t="shared" si="66"/>
        <v>0</v>
      </c>
      <c r="DC70" s="2">
        <f t="shared" si="66"/>
        <v>0</v>
      </c>
      <c r="DD70" s="2">
        <f t="shared" si="66"/>
        <v>0</v>
      </c>
      <c r="DE70" s="2">
        <f t="shared" si="66"/>
        <v>0</v>
      </c>
      <c r="DF70" s="2">
        <f t="shared" si="66"/>
        <v>0</v>
      </c>
      <c r="DG70" s="3">
        <f t="shared" ref="DG70:EL70" si="67">DG99</f>
        <v>0</v>
      </c>
      <c r="DH70" s="3">
        <f t="shared" si="67"/>
        <v>0</v>
      </c>
      <c r="DI70" s="3">
        <f t="shared" si="67"/>
        <v>0</v>
      </c>
      <c r="DJ70" s="3">
        <f t="shared" si="67"/>
        <v>0</v>
      </c>
      <c r="DK70" s="3">
        <f t="shared" si="67"/>
        <v>0</v>
      </c>
      <c r="DL70" s="3">
        <f t="shared" si="67"/>
        <v>0</v>
      </c>
      <c r="DM70" s="3">
        <f t="shared" si="67"/>
        <v>0</v>
      </c>
      <c r="DN70" s="3">
        <f t="shared" si="67"/>
        <v>0</v>
      </c>
      <c r="DO70" s="3">
        <f t="shared" si="67"/>
        <v>0</v>
      </c>
      <c r="DP70" s="3">
        <f t="shared" si="67"/>
        <v>0</v>
      </c>
      <c r="DQ70" s="3">
        <f t="shared" si="67"/>
        <v>0</v>
      </c>
      <c r="DR70" s="3">
        <f t="shared" si="67"/>
        <v>0</v>
      </c>
      <c r="DS70" s="3">
        <f t="shared" si="67"/>
        <v>0</v>
      </c>
      <c r="DT70" s="3">
        <f t="shared" si="67"/>
        <v>0</v>
      </c>
      <c r="DU70" s="3">
        <f t="shared" si="67"/>
        <v>0</v>
      </c>
      <c r="DV70" s="3">
        <f t="shared" si="67"/>
        <v>0</v>
      </c>
      <c r="DW70" s="3">
        <f t="shared" si="67"/>
        <v>0</v>
      </c>
      <c r="DX70" s="3">
        <f t="shared" si="67"/>
        <v>0</v>
      </c>
      <c r="DY70" s="3">
        <f t="shared" si="67"/>
        <v>0</v>
      </c>
      <c r="DZ70" s="3">
        <f t="shared" si="67"/>
        <v>0</v>
      </c>
      <c r="EA70" s="3">
        <f t="shared" si="67"/>
        <v>0</v>
      </c>
      <c r="EB70" s="3">
        <f t="shared" si="67"/>
        <v>0</v>
      </c>
      <c r="EC70" s="3">
        <f t="shared" si="67"/>
        <v>0</v>
      </c>
      <c r="ED70" s="3">
        <f t="shared" si="67"/>
        <v>0</v>
      </c>
      <c r="EE70" s="3">
        <f t="shared" si="67"/>
        <v>0</v>
      </c>
      <c r="EF70" s="3">
        <f t="shared" si="67"/>
        <v>0</v>
      </c>
      <c r="EG70" s="3">
        <f t="shared" si="67"/>
        <v>0</v>
      </c>
      <c r="EH70" s="3">
        <f t="shared" si="67"/>
        <v>0</v>
      </c>
      <c r="EI70" s="3">
        <f t="shared" si="67"/>
        <v>0</v>
      </c>
      <c r="EJ70" s="3">
        <f t="shared" si="67"/>
        <v>0</v>
      </c>
      <c r="EK70" s="3">
        <f t="shared" si="67"/>
        <v>0</v>
      </c>
      <c r="EL70" s="3">
        <f t="shared" si="67"/>
        <v>0</v>
      </c>
      <c r="EM70" s="3">
        <f t="shared" ref="EM70:FR70" si="68">EM99</f>
        <v>0</v>
      </c>
      <c r="EN70" s="3">
        <f t="shared" si="68"/>
        <v>0</v>
      </c>
      <c r="EO70" s="3">
        <f t="shared" si="68"/>
        <v>0</v>
      </c>
      <c r="EP70" s="3">
        <f t="shared" si="68"/>
        <v>0</v>
      </c>
      <c r="EQ70" s="3">
        <f t="shared" si="68"/>
        <v>0</v>
      </c>
      <c r="ER70" s="3">
        <f t="shared" si="68"/>
        <v>0</v>
      </c>
      <c r="ES70" s="3">
        <f t="shared" si="68"/>
        <v>0</v>
      </c>
      <c r="ET70" s="3">
        <f t="shared" si="68"/>
        <v>0</v>
      </c>
      <c r="EU70" s="3">
        <f t="shared" si="68"/>
        <v>0</v>
      </c>
      <c r="EV70" s="3">
        <f t="shared" si="68"/>
        <v>0</v>
      </c>
      <c r="EW70" s="3">
        <f t="shared" si="68"/>
        <v>0</v>
      </c>
      <c r="EX70" s="3">
        <f t="shared" si="68"/>
        <v>0</v>
      </c>
      <c r="EY70" s="3">
        <f t="shared" si="68"/>
        <v>0</v>
      </c>
      <c r="EZ70" s="3">
        <f t="shared" si="68"/>
        <v>0</v>
      </c>
      <c r="FA70" s="3">
        <f t="shared" si="68"/>
        <v>0</v>
      </c>
      <c r="FB70" s="3">
        <f t="shared" si="68"/>
        <v>0</v>
      </c>
      <c r="FC70" s="3">
        <f t="shared" si="68"/>
        <v>0</v>
      </c>
      <c r="FD70" s="3">
        <f t="shared" si="68"/>
        <v>0</v>
      </c>
      <c r="FE70" s="3">
        <f t="shared" si="68"/>
        <v>0</v>
      </c>
      <c r="FF70" s="3">
        <f t="shared" si="68"/>
        <v>0</v>
      </c>
      <c r="FG70" s="3">
        <f t="shared" si="68"/>
        <v>0</v>
      </c>
      <c r="FH70" s="3">
        <f t="shared" si="68"/>
        <v>0</v>
      </c>
      <c r="FI70" s="3">
        <f t="shared" si="68"/>
        <v>0</v>
      </c>
      <c r="FJ70" s="3">
        <f t="shared" si="68"/>
        <v>0</v>
      </c>
      <c r="FK70" s="3">
        <f t="shared" si="68"/>
        <v>0</v>
      </c>
      <c r="FL70" s="3">
        <f t="shared" si="68"/>
        <v>0</v>
      </c>
      <c r="FM70" s="3">
        <f t="shared" si="68"/>
        <v>0</v>
      </c>
      <c r="FN70" s="3">
        <f t="shared" si="68"/>
        <v>0</v>
      </c>
      <c r="FO70" s="3">
        <f t="shared" si="68"/>
        <v>0</v>
      </c>
      <c r="FP70" s="3">
        <f t="shared" si="68"/>
        <v>0</v>
      </c>
      <c r="FQ70" s="3">
        <f t="shared" si="68"/>
        <v>0</v>
      </c>
      <c r="FR70" s="3">
        <f t="shared" si="68"/>
        <v>0</v>
      </c>
      <c r="FS70" s="3">
        <f t="shared" ref="FS70:GX70" si="69">FS99</f>
        <v>0</v>
      </c>
      <c r="FT70" s="3">
        <f t="shared" si="69"/>
        <v>0</v>
      </c>
      <c r="FU70" s="3">
        <f t="shared" si="69"/>
        <v>0</v>
      </c>
      <c r="FV70" s="3">
        <f t="shared" si="69"/>
        <v>0</v>
      </c>
      <c r="FW70" s="3">
        <f t="shared" si="69"/>
        <v>0</v>
      </c>
      <c r="FX70" s="3">
        <f t="shared" si="69"/>
        <v>0</v>
      </c>
      <c r="FY70" s="3">
        <f t="shared" si="69"/>
        <v>0</v>
      </c>
      <c r="FZ70" s="3">
        <f t="shared" si="69"/>
        <v>0</v>
      </c>
      <c r="GA70" s="3">
        <f t="shared" si="69"/>
        <v>0</v>
      </c>
      <c r="GB70" s="3">
        <f t="shared" si="69"/>
        <v>0</v>
      </c>
      <c r="GC70" s="3">
        <f t="shared" si="69"/>
        <v>0</v>
      </c>
      <c r="GD70" s="3">
        <f t="shared" si="69"/>
        <v>0</v>
      </c>
      <c r="GE70" s="3">
        <f t="shared" si="69"/>
        <v>0</v>
      </c>
      <c r="GF70" s="3">
        <f t="shared" si="69"/>
        <v>0</v>
      </c>
      <c r="GG70" s="3">
        <f t="shared" si="69"/>
        <v>0</v>
      </c>
      <c r="GH70" s="3">
        <f t="shared" si="69"/>
        <v>0</v>
      </c>
      <c r="GI70" s="3">
        <f t="shared" si="69"/>
        <v>0</v>
      </c>
      <c r="GJ70" s="3">
        <f t="shared" si="69"/>
        <v>0</v>
      </c>
      <c r="GK70" s="3">
        <f t="shared" si="69"/>
        <v>0</v>
      </c>
      <c r="GL70" s="3">
        <f t="shared" si="69"/>
        <v>0</v>
      </c>
      <c r="GM70" s="3">
        <f t="shared" si="69"/>
        <v>0</v>
      </c>
      <c r="GN70" s="3">
        <f t="shared" si="69"/>
        <v>0</v>
      </c>
      <c r="GO70" s="3">
        <f t="shared" si="69"/>
        <v>0</v>
      </c>
      <c r="GP70" s="3">
        <f t="shared" si="69"/>
        <v>0</v>
      </c>
      <c r="GQ70" s="3">
        <f t="shared" si="69"/>
        <v>0</v>
      </c>
      <c r="GR70" s="3">
        <f t="shared" si="69"/>
        <v>0</v>
      </c>
      <c r="GS70" s="3">
        <f t="shared" si="69"/>
        <v>0</v>
      </c>
      <c r="GT70" s="3">
        <f t="shared" si="69"/>
        <v>0</v>
      </c>
      <c r="GU70" s="3">
        <f t="shared" si="69"/>
        <v>0</v>
      </c>
      <c r="GV70" s="3">
        <f t="shared" si="69"/>
        <v>0</v>
      </c>
      <c r="GW70" s="3">
        <f t="shared" si="69"/>
        <v>0</v>
      </c>
      <c r="GX70" s="3">
        <f t="shared" si="69"/>
        <v>0</v>
      </c>
    </row>
    <row r="72" spans="1:245">
      <c r="A72">
        <v>17</v>
      </c>
      <c r="B72">
        <v>1</v>
      </c>
      <c r="C72">
        <f>ROW(SmtRes!A22)</f>
        <v>22</v>
      </c>
      <c r="D72">
        <f>ROW(EtalonRes!A22)</f>
        <v>22</v>
      </c>
      <c r="E72" t="s">
        <v>113</v>
      </c>
      <c r="F72" t="s">
        <v>114</v>
      </c>
      <c r="G72" t="s">
        <v>115</v>
      </c>
      <c r="H72" t="s">
        <v>116</v>
      </c>
      <c r="I72">
        <v>1.4999999999999999E-2</v>
      </c>
      <c r="J72">
        <v>0</v>
      </c>
      <c r="K72">
        <v>1.4999999999999999E-2</v>
      </c>
      <c r="O72">
        <f t="shared" ref="O72:O97" si="70">ROUND(CP72,2)</f>
        <v>1505.54</v>
      </c>
      <c r="P72">
        <f t="shared" ref="P72:P97" si="71">ROUND(CQ72*I72,2)</f>
        <v>1256.8900000000001</v>
      </c>
      <c r="Q72">
        <f t="shared" ref="Q72:Q97" si="72">ROUND(CR72*I72,2)</f>
        <v>33.43</v>
      </c>
      <c r="R72">
        <f t="shared" ref="R72:R97" si="73">ROUND(CS72*I72,2)</f>
        <v>0</v>
      </c>
      <c r="S72">
        <f t="shared" ref="S72:S97" si="74">ROUND(CT72*I72,2)</f>
        <v>215.22</v>
      </c>
      <c r="T72">
        <f t="shared" ref="T72:T97" si="75">ROUND(CU72*I72,2)</f>
        <v>0</v>
      </c>
      <c r="U72">
        <f t="shared" ref="U72:U97" si="76">CV72*I72</f>
        <v>0.64050000000000007</v>
      </c>
      <c r="V72">
        <f t="shared" ref="V72:V97" si="77">CW72*I72</f>
        <v>0</v>
      </c>
      <c r="W72">
        <f t="shared" ref="W72:W97" si="78">ROUND(CX72*I72,2)</f>
        <v>0</v>
      </c>
      <c r="X72">
        <f t="shared" ref="X72:X97" si="79">ROUND(CY72,2)</f>
        <v>251.81</v>
      </c>
      <c r="Y72">
        <f t="shared" ref="Y72:Y97" si="80">ROUND(CZ72,2)</f>
        <v>154.96</v>
      </c>
      <c r="AA72">
        <v>35683522</v>
      </c>
      <c r="AB72">
        <f t="shared" ref="AB72:AB97" si="81">ROUND((AC72+AD72+AF72),6)</f>
        <v>11119.84</v>
      </c>
      <c r="AC72">
        <f t="shared" ref="AC72:AC79" si="82">ROUND((ES72),6)</f>
        <v>10421.959999999999</v>
      </c>
      <c r="AD72">
        <f>ROUND((((ET72)-(EU72))+AE72),6)</f>
        <v>261.91000000000003</v>
      </c>
      <c r="AE72">
        <f t="shared" ref="AE72:AF75" si="83">ROUND((EU72),6)</f>
        <v>0</v>
      </c>
      <c r="AF72">
        <f t="shared" si="83"/>
        <v>435.97</v>
      </c>
      <c r="AG72">
        <f t="shared" ref="AG72:AG97" si="84">ROUND((AP72),6)</f>
        <v>0</v>
      </c>
      <c r="AH72">
        <f t="shared" ref="AH72:AI75" si="85">(EW72)</f>
        <v>42.7</v>
      </c>
      <c r="AI72">
        <f t="shared" si="85"/>
        <v>0</v>
      </c>
      <c r="AJ72">
        <f t="shared" ref="AJ72:AJ97" si="86">(AS72)</f>
        <v>0</v>
      </c>
      <c r="AK72">
        <v>11119.84</v>
      </c>
      <c r="AL72">
        <v>10421.959999999999</v>
      </c>
      <c r="AM72">
        <v>261.91000000000003</v>
      </c>
      <c r="AN72">
        <v>0</v>
      </c>
      <c r="AO72">
        <v>435.97</v>
      </c>
      <c r="AP72">
        <v>0</v>
      </c>
      <c r="AQ72">
        <v>42.7</v>
      </c>
      <c r="AR72">
        <v>0</v>
      </c>
      <c r="AS72">
        <v>0</v>
      </c>
      <c r="AT72">
        <v>117</v>
      </c>
      <c r="AU72">
        <v>72</v>
      </c>
      <c r="AV72">
        <v>1</v>
      </c>
      <c r="AW72">
        <v>1</v>
      </c>
      <c r="AZ72">
        <v>1</v>
      </c>
      <c r="BA72">
        <v>32.909999999999997</v>
      </c>
      <c r="BB72">
        <v>8.51</v>
      </c>
      <c r="BC72">
        <v>8.0399999999999991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1</v>
      </c>
      <c r="BJ72" t="s">
        <v>117</v>
      </c>
      <c r="BM72">
        <v>7001</v>
      </c>
      <c r="BN72">
        <v>0</v>
      </c>
      <c r="BO72" t="s">
        <v>114</v>
      </c>
      <c r="BP72">
        <v>1</v>
      </c>
      <c r="BQ72">
        <v>2</v>
      </c>
      <c r="BR72">
        <v>0</v>
      </c>
      <c r="BS72">
        <v>32.909999999999997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130</v>
      </c>
      <c r="CA72">
        <v>85</v>
      </c>
      <c r="CB72" t="s">
        <v>3</v>
      </c>
      <c r="CE72">
        <v>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ref="CP72:CP97" si="87">(P72+Q72+S72)</f>
        <v>1505.5400000000002</v>
      </c>
      <c r="CQ72">
        <f t="shared" ref="CQ72:CQ97" si="88">AC72*BC72</f>
        <v>83792.55839999998</v>
      </c>
      <c r="CR72">
        <f t="shared" ref="CR72:CR97" si="89">AD72*BB72</f>
        <v>2228.8541</v>
      </c>
      <c r="CS72">
        <f t="shared" ref="CS72:CS97" si="90">AE72*BS72</f>
        <v>0</v>
      </c>
      <c r="CT72">
        <f t="shared" ref="CT72:CT97" si="91">AF72*BA72</f>
        <v>14347.7727</v>
      </c>
      <c r="CU72">
        <f t="shared" ref="CU72:CU97" si="92">AG72</f>
        <v>0</v>
      </c>
      <c r="CV72">
        <f t="shared" ref="CV72:CV97" si="93">AH72</f>
        <v>42.7</v>
      </c>
      <c r="CW72">
        <f t="shared" ref="CW72:CW97" si="94">AI72</f>
        <v>0</v>
      </c>
      <c r="CX72">
        <f t="shared" ref="CX72:CX97" si="95">AJ72</f>
        <v>0</v>
      </c>
      <c r="CY72">
        <f t="shared" ref="CY72:CY97" si="96">(((S72+R72)*AT72)/100)</f>
        <v>251.80740000000003</v>
      </c>
      <c r="CZ72">
        <f t="shared" ref="CZ72:CZ97" si="97">(((S72+R72)*AU72)/100)</f>
        <v>154.95840000000001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1013</v>
      </c>
      <c r="DV72" t="s">
        <v>116</v>
      </c>
      <c r="DW72" t="s">
        <v>116</v>
      </c>
      <c r="DX72">
        <v>1</v>
      </c>
      <c r="DZ72" t="s">
        <v>3</v>
      </c>
      <c r="EA72" t="s">
        <v>3</v>
      </c>
      <c r="EB72" t="s">
        <v>3</v>
      </c>
      <c r="EC72" t="s">
        <v>3</v>
      </c>
      <c r="EE72">
        <v>36260416</v>
      </c>
      <c r="EF72">
        <v>2</v>
      </c>
      <c r="EG72" t="s">
        <v>118</v>
      </c>
      <c r="EH72">
        <v>0</v>
      </c>
      <c r="EI72" t="s">
        <v>3</v>
      </c>
      <c r="EJ72">
        <v>1</v>
      </c>
      <c r="EK72">
        <v>7001</v>
      </c>
      <c r="EL72" t="s">
        <v>119</v>
      </c>
      <c r="EM72" t="s">
        <v>120</v>
      </c>
      <c r="EO72" t="s">
        <v>3</v>
      </c>
      <c r="EQ72">
        <v>0</v>
      </c>
      <c r="ER72">
        <v>11119.84</v>
      </c>
      <c r="ES72">
        <v>10421.959999999999</v>
      </c>
      <c r="ET72">
        <v>261.91000000000003</v>
      </c>
      <c r="EU72">
        <v>0</v>
      </c>
      <c r="EV72">
        <v>435.97</v>
      </c>
      <c r="EW72">
        <v>42.7</v>
      </c>
      <c r="EX72">
        <v>0</v>
      </c>
      <c r="EY72">
        <v>0</v>
      </c>
      <c r="FQ72">
        <v>0</v>
      </c>
      <c r="FR72">
        <f t="shared" ref="FR72:FR97" si="98">ROUND(IF(AND(BH72=3,BI72=3),P72,0),2)</f>
        <v>0</v>
      </c>
      <c r="FS72">
        <v>0</v>
      </c>
      <c r="FT72" t="s">
        <v>121</v>
      </c>
      <c r="FU72" t="s">
        <v>122</v>
      </c>
      <c r="FX72">
        <v>117</v>
      </c>
      <c r="FY72">
        <v>72.25</v>
      </c>
      <c r="GA72" t="s">
        <v>3</v>
      </c>
      <c r="GD72">
        <v>1</v>
      </c>
      <c r="GF72">
        <v>-801536454</v>
      </c>
      <c r="GG72">
        <v>2</v>
      </c>
      <c r="GH72">
        <v>1</v>
      </c>
      <c r="GI72">
        <v>2</v>
      </c>
      <c r="GJ72">
        <v>0</v>
      </c>
      <c r="GK72">
        <v>0</v>
      </c>
      <c r="GL72">
        <f t="shared" ref="GL72:GL97" si="99">ROUND(IF(AND(BH72=3,BI72=3,FS72&lt;&gt;0),P72,0),2)</f>
        <v>0</v>
      </c>
      <c r="GM72">
        <f t="shared" ref="GM72:GM97" si="100">ROUND(O72+X72+Y72,2)+GX72</f>
        <v>1912.31</v>
      </c>
      <c r="GN72">
        <f t="shared" ref="GN72:GN97" si="101">IF(OR(BI72=0,BI72=1),ROUND(O72+X72+Y72,2),0)</f>
        <v>1912.31</v>
      </c>
      <c r="GO72">
        <f t="shared" ref="GO72:GO97" si="102">IF(BI72=2,ROUND(O72+X72+Y72,2),0)</f>
        <v>0</v>
      </c>
      <c r="GP72">
        <f t="shared" ref="GP72:GP97" si="103">IF(BI72=4,ROUND(O72+X72+Y72,2)+GX72,0)</f>
        <v>0</v>
      </c>
      <c r="GR72">
        <v>0</v>
      </c>
      <c r="GS72">
        <v>3</v>
      </c>
      <c r="GT72">
        <v>0</v>
      </c>
      <c r="GU72" t="s">
        <v>3</v>
      </c>
      <c r="GV72">
        <f t="shared" ref="GV72:GV97" si="104">ROUND((GT72),6)</f>
        <v>0</v>
      </c>
      <c r="GW72">
        <v>1</v>
      </c>
      <c r="GX72">
        <f t="shared" ref="GX72:GX97" si="105">ROUND(HC72*I72,2)</f>
        <v>0</v>
      </c>
      <c r="HA72">
        <v>0</v>
      </c>
      <c r="HB72">
        <v>0</v>
      </c>
      <c r="HC72">
        <f t="shared" ref="HC72:HC97" si="106">GV72*GW72</f>
        <v>0</v>
      </c>
      <c r="HE72" t="s">
        <v>3</v>
      </c>
      <c r="HF72" t="s">
        <v>3</v>
      </c>
      <c r="HM72" t="s">
        <v>3</v>
      </c>
      <c r="IK72">
        <v>0</v>
      </c>
    </row>
    <row r="73" spans="1:245">
      <c r="A73">
        <v>17</v>
      </c>
      <c r="B73">
        <v>1</v>
      </c>
      <c r="C73">
        <f>ROW(SmtRes!A44)</f>
        <v>44</v>
      </c>
      <c r="D73">
        <f>ROW(EtalonRes!A44)</f>
        <v>44</v>
      </c>
      <c r="E73" t="s">
        <v>15</v>
      </c>
      <c r="F73" t="s">
        <v>123</v>
      </c>
      <c r="G73" t="s">
        <v>124</v>
      </c>
      <c r="H73" t="s">
        <v>125</v>
      </c>
      <c r="I73">
        <v>1.4999999999999999E-2</v>
      </c>
      <c r="J73">
        <v>0</v>
      </c>
      <c r="K73">
        <v>1.4999999999999999E-2</v>
      </c>
      <c r="O73">
        <f t="shared" si="70"/>
        <v>376.99</v>
      </c>
      <c r="P73">
        <f t="shared" si="71"/>
        <v>32.68</v>
      </c>
      <c r="Q73">
        <f t="shared" si="72"/>
        <v>71.290000000000006</v>
      </c>
      <c r="R73">
        <f t="shared" si="73"/>
        <v>25.55</v>
      </c>
      <c r="S73">
        <f t="shared" si="74"/>
        <v>273.02</v>
      </c>
      <c r="T73">
        <f t="shared" si="75"/>
        <v>0</v>
      </c>
      <c r="U73">
        <f t="shared" si="76"/>
        <v>0.94919999999999993</v>
      </c>
      <c r="V73">
        <f t="shared" si="77"/>
        <v>5.7299999999999997E-2</v>
      </c>
      <c r="W73">
        <f t="shared" si="78"/>
        <v>0</v>
      </c>
      <c r="X73">
        <f t="shared" si="79"/>
        <v>241.84</v>
      </c>
      <c r="Y73">
        <f t="shared" si="80"/>
        <v>214.97</v>
      </c>
      <c r="AA73">
        <v>35683522</v>
      </c>
      <c r="AB73">
        <f t="shared" si="81"/>
        <v>1262.73</v>
      </c>
      <c r="AC73">
        <f t="shared" si="82"/>
        <v>232.51</v>
      </c>
      <c r="AD73">
        <f>ROUND((((ET73)-(EU73))+AE73),6)</f>
        <v>477.15</v>
      </c>
      <c r="AE73">
        <f t="shared" si="83"/>
        <v>51.76</v>
      </c>
      <c r="AF73">
        <f t="shared" si="83"/>
        <v>553.07000000000005</v>
      </c>
      <c r="AG73">
        <f t="shared" si="84"/>
        <v>0</v>
      </c>
      <c r="AH73">
        <f t="shared" si="85"/>
        <v>63.28</v>
      </c>
      <c r="AI73">
        <f t="shared" si="85"/>
        <v>3.82</v>
      </c>
      <c r="AJ73">
        <f t="shared" si="86"/>
        <v>0</v>
      </c>
      <c r="AK73">
        <v>1262.73</v>
      </c>
      <c r="AL73">
        <v>232.51</v>
      </c>
      <c r="AM73">
        <v>477.15</v>
      </c>
      <c r="AN73">
        <v>51.76</v>
      </c>
      <c r="AO73">
        <v>553.07000000000005</v>
      </c>
      <c r="AP73">
        <v>0</v>
      </c>
      <c r="AQ73">
        <v>63.28</v>
      </c>
      <c r="AR73">
        <v>3.82</v>
      </c>
      <c r="AS73">
        <v>0</v>
      </c>
      <c r="AT73">
        <v>81</v>
      </c>
      <c r="AU73">
        <v>72</v>
      </c>
      <c r="AV73">
        <v>1</v>
      </c>
      <c r="AW73">
        <v>1</v>
      </c>
      <c r="AZ73">
        <v>1</v>
      </c>
      <c r="BA73">
        <v>32.909999999999997</v>
      </c>
      <c r="BB73">
        <v>9.9600000000000009</v>
      </c>
      <c r="BC73">
        <v>9.3699999999999992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1</v>
      </c>
      <c r="BJ73" t="s">
        <v>126</v>
      </c>
      <c r="BM73">
        <v>9001</v>
      </c>
      <c r="BN73">
        <v>0</v>
      </c>
      <c r="BO73" t="s">
        <v>123</v>
      </c>
      <c r="BP73">
        <v>1</v>
      </c>
      <c r="BQ73">
        <v>2</v>
      </c>
      <c r="BR73">
        <v>0</v>
      </c>
      <c r="BS73">
        <v>32.909999999999997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90</v>
      </c>
      <c r="CA73">
        <v>85</v>
      </c>
      <c r="CB73" t="s">
        <v>3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87"/>
        <v>376.99</v>
      </c>
      <c r="CQ73">
        <f t="shared" si="88"/>
        <v>2178.6186999999995</v>
      </c>
      <c r="CR73">
        <f t="shared" si="89"/>
        <v>4752.4139999999998</v>
      </c>
      <c r="CS73">
        <f t="shared" si="90"/>
        <v>1703.4215999999997</v>
      </c>
      <c r="CT73">
        <f t="shared" si="91"/>
        <v>18201.5337</v>
      </c>
      <c r="CU73">
        <f t="shared" si="92"/>
        <v>0</v>
      </c>
      <c r="CV73">
        <f t="shared" si="93"/>
        <v>63.28</v>
      </c>
      <c r="CW73">
        <f t="shared" si="94"/>
        <v>3.82</v>
      </c>
      <c r="CX73">
        <f t="shared" si="95"/>
        <v>0</v>
      </c>
      <c r="CY73">
        <f t="shared" si="96"/>
        <v>241.84169999999997</v>
      </c>
      <c r="CZ73">
        <f t="shared" si="97"/>
        <v>214.97040000000001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1013</v>
      </c>
      <c r="DV73" t="s">
        <v>125</v>
      </c>
      <c r="DW73" t="s">
        <v>125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36260425</v>
      </c>
      <c r="EF73">
        <v>2</v>
      </c>
      <c r="EG73" t="s">
        <v>118</v>
      </c>
      <c r="EH73">
        <v>0</v>
      </c>
      <c r="EI73" t="s">
        <v>3</v>
      </c>
      <c r="EJ73">
        <v>1</v>
      </c>
      <c r="EK73">
        <v>9001</v>
      </c>
      <c r="EL73" t="s">
        <v>127</v>
      </c>
      <c r="EM73" t="s">
        <v>128</v>
      </c>
      <c r="EO73" t="s">
        <v>3</v>
      </c>
      <c r="EQ73">
        <v>0</v>
      </c>
      <c r="ER73">
        <v>1262.73</v>
      </c>
      <c r="ES73">
        <v>232.51</v>
      </c>
      <c r="ET73">
        <v>477.15</v>
      </c>
      <c r="EU73">
        <v>51.76</v>
      </c>
      <c r="EV73">
        <v>553.07000000000005</v>
      </c>
      <c r="EW73">
        <v>63.28</v>
      </c>
      <c r="EX73">
        <v>3.82</v>
      </c>
      <c r="EY73">
        <v>0</v>
      </c>
      <c r="FQ73">
        <v>0</v>
      </c>
      <c r="FR73">
        <f t="shared" si="98"/>
        <v>0</v>
      </c>
      <c r="FS73">
        <v>0</v>
      </c>
      <c r="FT73" t="s">
        <v>121</v>
      </c>
      <c r="FU73" t="s">
        <v>122</v>
      </c>
      <c r="FX73">
        <v>81</v>
      </c>
      <c r="FY73">
        <v>72.25</v>
      </c>
      <c r="GA73" t="s">
        <v>3</v>
      </c>
      <c r="GD73">
        <v>1</v>
      </c>
      <c r="GF73">
        <v>1910193050</v>
      </c>
      <c r="GG73">
        <v>2</v>
      </c>
      <c r="GH73">
        <v>1</v>
      </c>
      <c r="GI73">
        <v>2</v>
      </c>
      <c r="GJ73">
        <v>0</v>
      </c>
      <c r="GK73">
        <v>0</v>
      </c>
      <c r="GL73">
        <f t="shared" si="99"/>
        <v>0</v>
      </c>
      <c r="GM73">
        <f t="shared" si="100"/>
        <v>833.8</v>
      </c>
      <c r="GN73">
        <f t="shared" si="101"/>
        <v>833.8</v>
      </c>
      <c r="GO73">
        <f t="shared" si="102"/>
        <v>0</v>
      </c>
      <c r="GP73">
        <f t="shared" si="103"/>
        <v>0</v>
      </c>
      <c r="GR73">
        <v>0</v>
      </c>
      <c r="GS73">
        <v>3</v>
      </c>
      <c r="GT73">
        <v>0</v>
      </c>
      <c r="GU73" t="s">
        <v>3</v>
      </c>
      <c r="GV73">
        <f t="shared" si="104"/>
        <v>0</v>
      </c>
      <c r="GW73">
        <v>1</v>
      </c>
      <c r="GX73">
        <f t="shared" si="105"/>
        <v>0</v>
      </c>
      <c r="HA73">
        <v>0</v>
      </c>
      <c r="HB73">
        <v>0</v>
      </c>
      <c r="HC73">
        <f t="shared" si="106"/>
        <v>0</v>
      </c>
      <c r="HE73" t="s">
        <v>3</v>
      </c>
      <c r="HF73" t="s">
        <v>3</v>
      </c>
      <c r="HM73" t="s">
        <v>3</v>
      </c>
      <c r="IK73">
        <v>0</v>
      </c>
    </row>
    <row r="74" spans="1:245">
      <c r="A74">
        <v>18</v>
      </c>
      <c r="B74">
        <v>1</v>
      </c>
      <c r="C74">
        <v>42</v>
      </c>
      <c r="E74" t="s">
        <v>20</v>
      </c>
      <c r="F74" t="s">
        <v>129</v>
      </c>
      <c r="G74" t="s">
        <v>130</v>
      </c>
      <c r="H74" t="s">
        <v>43</v>
      </c>
      <c r="I74">
        <f>I73*J74</f>
        <v>1.4999999999999999E-2</v>
      </c>
      <c r="J74">
        <v>1</v>
      </c>
      <c r="K74">
        <v>1</v>
      </c>
      <c r="O74">
        <f t="shared" si="70"/>
        <v>1164.27</v>
      </c>
      <c r="P74">
        <f t="shared" si="71"/>
        <v>1164.27</v>
      </c>
      <c r="Q74">
        <f t="shared" si="72"/>
        <v>0</v>
      </c>
      <c r="R74">
        <f t="shared" si="73"/>
        <v>0</v>
      </c>
      <c r="S74">
        <f t="shared" si="74"/>
        <v>0</v>
      </c>
      <c r="T74">
        <f t="shared" si="75"/>
        <v>0</v>
      </c>
      <c r="U74">
        <f t="shared" si="76"/>
        <v>0</v>
      </c>
      <c r="V74">
        <f t="shared" si="77"/>
        <v>0</v>
      </c>
      <c r="W74">
        <f t="shared" si="78"/>
        <v>0.51</v>
      </c>
      <c r="X74">
        <f t="shared" si="79"/>
        <v>0</v>
      </c>
      <c r="Y74">
        <f t="shared" si="80"/>
        <v>0</v>
      </c>
      <c r="AA74">
        <v>35683522</v>
      </c>
      <c r="AB74">
        <f t="shared" si="81"/>
        <v>8060</v>
      </c>
      <c r="AC74">
        <f t="shared" si="82"/>
        <v>8060</v>
      </c>
      <c r="AD74">
        <f>ROUND((((ET74)-(EU74))+AE74),6)</f>
        <v>0</v>
      </c>
      <c r="AE74">
        <f t="shared" si="83"/>
        <v>0</v>
      </c>
      <c r="AF74">
        <f t="shared" si="83"/>
        <v>0</v>
      </c>
      <c r="AG74">
        <f t="shared" si="84"/>
        <v>0</v>
      </c>
      <c r="AH74">
        <f t="shared" si="85"/>
        <v>0</v>
      </c>
      <c r="AI74">
        <f t="shared" si="85"/>
        <v>0</v>
      </c>
      <c r="AJ74">
        <f t="shared" si="86"/>
        <v>34.17</v>
      </c>
      <c r="AK74">
        <v>8060</v>
      </c>
      <c r="AL74">
        <v>8060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34.17</v>
      </c>
      <c r="AT74">
        <v>81</v>
      </c>
      <c r="AU74">
        <v>72</v>
      </c>
      <c r="AV74">
        <v>1</v>
      </c>
      <c r="AW74">
        <v>1</v>
      </c>
      <c r="AZ74">
        <v>1</v>
      </c>
      <c r="BA74">
        <v>1</v>
      </c>
      <c r="BB74">
        <v>1</v>
      </c>
      <c r="BC74">
        <v>9.6300000000000008</v>
      </c>
      <c r="BD74" t="s">
        <v>3</v>
      </c>
      <c r="BE74" t="s">
        <v>3</v>
      </c>
      <c r="BF74" t="s">
        <v>3</v>
      </c>
      <c r="BG74" t="s">
        <v>3</v>
      </c>
      <c r="BH74">
        <v>3</v>
      </c>
      <c r="BI74">
        <v>1</v>
      </c>
      <c r="BJ74" t="s">
        <v>131</v>
      </c>
      <c r="BM74">
        <v>9001</v>
      </c>
      <c r="BN74">
        <v>0</v>
      </c>
      <c r="BO74" t="s">
        <v>129</v>
      </c>
      <c r="BP74">
        <v>1</v>
      </c>
      <c r="BQ74">
        <v>2</v>
      </c>
      <c r="BR74">
        <v>0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90</v>
      </c>
      <c r="CA74">
        <v>85</v>
      </c>
      <c r="CB74" t="s">
        <v>3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87"/>
        <v>1164.27</v>
      </c>
      <c r="CQ74">
        <f t="shared" si="88"/>
        <v>77617.8</v>
      </c>
      <c r="CR74">
        <f t="shared" si="89"/>
        <v>0</v>
      </c>
      <c r="CS74">
        <f t="shared" si="90"/>
        <v>0</v>
      </c>
      <c r="CT74">
        <f t="shared" si="91"/>
        <v>0</v>
      </c>
      <c r="CU74">
        <f t="shared" si="92"/>
        <v>0</v>
      </c>
      <c r="CV74">
        <f t="shared" si="93"/>
        <v>0</v>
      </c>
      <c r="CW74">
        <f t="shared" si="94"/>
        <v>0</v>
      </c>
      <c r="CX74">
        <f t="shared" si="95"/>
        <v>34.17</v>
      </c>
      <c r="CY74">
        <f t="shared" si="96"/>
        <v>0</v>
      </c>
      <c r="CZ74">
        <f t="shared" si="97"/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1009</v>
      </c>
      <c r="DV74" t="s">
        <v>43</v>
      </c>
      <c r="DW74" t="s">
        <v>43</v>
      </c>
      <c r="DX74">
        <v>1000</v>
      </c>
      <c r="DZ74" t="s">
        <v>3</v>
      </c>
      <c r="EA74" t="s">
        <v>3</v>
      </c>
      <c r="EB74" t="s">
        <v>3</v>
      </c>
      <c r="EC74" t="s">
        <v>3</v>
      </c>
      <c r="EE74">
        <v>36260425</v>
      </c>
      <c r="EF74">
        <v>2</v>
      </c>
      <c r="EG74" t="s">
        <v>118</v>
      </c>
      <c r="EH74">
        <v>0</v>
      </c>
      <c r="EI74" t="s">
        <v>3</v>
      </c>
      <c r="EJ74">
        <v>1</v>
      </c>
      <c r="EK74">
        <v>9001</v>
      </c>
      <c r="EL74" t="s">
        <v>127</v>
      </c>
      <c r="EM74" t="s">
        <v>128</v>
      </c>
      <c r="EO74" t="s">
        <v>3</v>
      </c>
      <c r="EQ74">
        <v>0</v>
      </c>
      <c r="ER74">
        <v>8060</v>
      </c>
      <c r="ES74">
        <v>8060</v>
      </c>
      <c r="ET74">
        <v>0</v>
      </c>
      <c r="EU74">
        <v>0</v>
      </c>
      <c r="EV74">
        <v>0</v>
      </c>
      <c r="EW74">
        <v>0</v>
      </c>
      <c r="EX74">
        <v>0</v>
      </c>
      <c r="FQ74">
        <v>0</v>
      </c>
      <c r="FR74">
        <f t="shared" si="98"/>
        <v>0</v>
      </c>
      <c r="FS74">
        <v>0</v>
      </c>
      <c r="FT74" t="s">
        <v>121</v>
      </c>
      <c r="FU74" t="s">
        <v>122</v>
      </c>
      <c r="FX74">
        <v>81</v>
      </c>
      <c r="FY74">
        <v>72.25</v>
      </c>
      <c r="GA74" t="s">
        <v>3</v>
      </c>
      <c r="GD74">
        <v>1</v>
      </c>
      <c r="GF74">
        <v>403940618</v>
      </c>
      <c r="GG74">
        <v>2</v>
      </c>
      <c r="GH74">
        <v>1</v>
      </c>
      <c r="GI74">
        <v>2</v>
      </c>
      <c r="GJ74">
        <v>0</v>
      </c>
      <c r="GK74">
        <v>0</v>
      </c>
      <c r="GL74">
        <f t="shared" si="99"/>
        <v>0</v>
      </c>
      <c r="GM74">
        <f t="shared" si="100"/>
        <v>1164.27</v>
      </c>
      <c r="GN74">
        <f t="shared" si="101"/>
        <v>1164.27</v>
      </c>
      <c r="GO74">
        <f t="shared" si="102"/>
        <v>0</v>
      </c>
      <c r="GP74">
        <f t="shared" si="103"/>
        <v>0</v>
      </c>
      <c r="GR74">
        <v>0</v>
      </c>
      <c r="GS74">
        <v>3</v>
      </c>
      <c r="GT74">
        <v>0</v>
      </c>
      <c r="GU74" t="s">
        <v>3</v>
      </c>
      <c r="GV74">
        <f t="shared" si="104"/>
        <v>0</v>
      </c>
      <c r="GW74">
        <v>1</v>
      </c>
      <c r="GX74">
        <f t="shared" si="105"/>
        <v>0</v>
      </c>
      <c r="HA74">
        <v>0</v>
      </c>
      <c r="HB74">
        <v>0</v>
      </c>
      <c r="HC74">
        <f t="shared" si="106"/>
        <v>0</v>
      </c>
      <c r="HE74" t="s">
        <v>3</v>
      </c>
      <c r="HF74" t="s">
        <v>3</v>
      </c>
      <c r="HM74" t="s">
        <v>3</v>
      </c>
      <c r="IK74">
        <v>0</v>
      </c>
    </row>
    <row r="75" spans="1:245">
      <c r="A75">
        <v>17</v>
      </c>
      <c r="B75">
        <v>1</v>
      </c>
      <c r="C75">
        <f>ROW(SmtRes!A50)</f>
        <v>50</v>
      </c>
      <c r="D75">
        <f>ROW(EtalonRes!A50)</f>
        <v>50</v>
      </c>
      <c r="E75" t="s">
        <v>53</v>
      </c>
      <c r="F75" t="s">
        <v>132</v>
      </c>
      <c r="G75" t="s">
        <v>133</v>
      </c>
      <c r="H75" t="s">
        <v>134</v>
      </c>
      <c r="I75">
        <f>ROUND(6/100,9)</f>
        <v>0.06</v>
      </c>
      <c r="J75">
        <v>0</v>
      </c>
      <c r="K75">
        <f>ROUND(6/100,9)</f>
        <v>0.06</v>
      </c>
      <c r="O75">
        <f t="shared" si="70"/>
        <v>1295.79</v>
      </c>
      <c r="P75">
        <f t="shared" si="71"/>
        <v>195.2</v>
      </c>
      <c r="Q75">
        <f t="shared" si="72"/>
        <v>657.98</v>
      </c>
      <c r="R75">
        <f t="shared" si="73"/>
        <v>503.92</v>
      </c>
      <c r="S75">
        <f t="shared" si="74"/>
        <v>442.61</v>
      </c>
      <c r="T75">
        <f t="shared" si="75"/>
        <v>0</v>
      </c>
      <c r="U75">
        <f t="shared" si="76"/>
        <v>1.3979999999999999</v>
      </c>
      <c r="V75">
        <f t="shared" si="77"/>
        <v>1.3199999999999998</v>
      </c>
      <c r="W75">
        <f t="shared" si="78"/>
        <v>0</v>
      </c>
      <c r="X75">
        <f t="shared" si="79"/>
        <v>937.06</v>
      </c>
      <c r="Y75">
        <f t="shared" si="80"/>
        <v>567.91999999999996</v>
      </c>
      <c r="AA75">
        <v>35683522</v>
      </c>
      <c r="AB75">
        <f t="shared" si="81"/>
        <v>2389.58</v>
      </c>
      <c r="AC75">
        <f t="shared" si="82"/>
        <v>1141.5</v>
      </c>
      <c r="AD75">
        <f>ROUND((((ET75)-(EU75))+AE75),6)</f>
        <v>1023.93</v>
      </c>
      <c r="AE75">
        <f t="shared" si="83"/>
        <v>255.2</v>
      </c>
      <c r="AF75">
        <f t="shared" si="83"/>
        <v>224.15</v>
      </c>
      <c r="AG75">
        <f t="shared" si="84"/>
        <v>0</v>
      </c>
      <c r="AH75">
        <f t="shared" si="85"/>
        <v>23.3</v>
      </c>
      <c r="AI75">
        <f t="shared" si="85"/>
        <v>22</v>
      </c>
      <c r="AJ75">
        <f t="shared" si="86"/>
        <v>0</v>
      </c>
      <c r="AK75">
        <v>2389.58</v>
      </c>
      <c r="AL75">
        <v>1141.5</v>
      </c>
      <c r="AM75">
        <v>1023.93</v>
      </c>
      <c r="AN75">
        <v>255.2</v>
      </c>
      <c r="AO75">
        <v>224.15</v>
      </c>
      <c r="AP75">
        <v>0</v>
      </c>
      <c r="AQ75">
        <v>23.3</v>
      </c>
      <c r="AR75">
        <v>22</v>
      </c>
      <c r="AS75">
        <v>0</v>
      </c>
      <c r="AT75">
        <v>99</v>
      </c>
      <c r="AU75">
        <v>60</v>
      </c>
      <c r="AV75">
        <v>1</v>
      </c>
      <c r="AW75">
        <v>1</v>
      </c>
      <c r="AZ75">
        <v>1</v>
      </c>
      <c r="BA75">
        <v>32.909999999999997</v>
      </c>
      <c r="BB75">
        <v>10.71</v>
      </c>
      <c r="BC75">
        <v>2.85</v>
      </c>
      <c r="BD75" t="s">
        <v>3</v>
      </c>
      <c r="BE75" t="s">
        <v>3</v>
      </c>
      <c r="BF75" t="s">
        <v>3</v>
      </c>
      <c r="BG75" t="s">
        <v>3</v>
      </c>
      <c r="BH75">
        <v>0</v>
      </c>
      <c r="BI75">
        <v>1</v>
      </c>
      <c r="BJ75" t="s">
        <v>135</v>
      </c>
      <c r="BM75">
        <v>46001</v>
      </c>
      <c r="BN75">
        <v>0</v>
      </c>
      <c r="BO75" t="s">
        <v>132</v>
      </c>
      <c r="BP75">
        <v>1</v>
      </c>
      <c r="BQ75">
        <v>2</v>
      </c>
      <c r="BR75">
        <v>0</v>
      </c>
      <c r="BS75">
        <v>32.909999999999997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110</v>
      </c>
      <c r="CA75">
        <v>70</v>
      </c>
      <c r="CB75" t="s">
        <v>3</v>
      </c>
      <c r="CE75">
        <v>0</v>
      </c>
      <c r="CF75">
        <v>0</v>
      </c>
      <c r="CG75">
        <v>0</v>
      </c>
      <c r="CM75">
        <v>0</v>
      </c>
      <c r="CN75" t="s">
        <v>3</v>
      </c>
      <c r="CO75">
        <v>0</v>
      </c>
      <c r="CP75">
        <f t="shared" si="87"/>
        <v>1295.79</v>
      </c>
      <c r="CQ75">
        <f t="shared" si="88"/>
        <v>3253.2750000000001</v>
      </c>
      <c r="CR75">
        <f t="shared" si="89"/>
        <v>10966.290300000001</v>
      </c>
      <c r="CS75">
        <f t="shared" si="90"/>
        <v>8398.6319999999996</v>
      </c>
      <c r="CT75">
        <f t="shared" si="91"/>
        <v>7376.776499999999</v>
      </c>
      <c r="CU75">
        <f t="shared" si="92"/>
        <v>0</v>
      </c>
      <c r="CV75">
        <f t="shared" si="93"/>
        <v>23.3</v>
      </c>
      <c r="CW75">
        <f t="shared" si="94"/>
        <v>22</v>
      </c>
      <c r="CX75">
        <f t="shared" si="95"/>
        <v>0</v>
      </c>
      <c r="CY75">
        <f t="shared" si="96"/>
        <v>937.06470000000002</v>
      </c>
      <c r="CZ75">
        <f t="shared" si="97"/>
        <v>567.91800000000001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1013</v>
      </c>
      <c r="DV75" t="s">
        <v>134</v>
      </c>
      <c r="DW75" t="s">
        <v>134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36260494</v>
      </c>
      <c r="EF75">
        <v>2</v>
      </c>
      <c r="EG75" t="s">
        <v>118</v>
      </c>
      <c r="EH75">
        <v>0</v>
      </c>
      <c r="EI75" t="s">
        <v>3</v>
      </c>
      <c r="EJ75">
        <v>1</v>
      </c>
      <c r="EK75">
        <v>46001</v>
      </c>
      <c r="EL75" t="s">
        <v>136</v>
      </c>
      <c r="EM75" t="s">
        <v>137</v>
      </c>
      <c r="EO75" t="s">
        <v>3</v>
      </c>
      <c r="EQ75">
        <v>0</v>
      </c>
      <c r="ER75">
        <v>2389.58</v>
      </c>
      <c r="ES75">
        <v>1141.5</v>
      </c>
      <c r="ET75">
        <v>1023.93</v>
      </c>
      <c r="EU75">
        <v>255.2</v>
      </c>
      <c r="EV75">
        <v>224.15</v>
      </c>
      <c r="EW75">
        <v>23.3</v>
      </c>
      <c r="EX75">
        <v>22</v>
      </c>
      <c r="EY75">
        <v>0</v>
      </c>
      <c r="FQ75">
        <v>0</v>
      </c>
      <c r="FR75">
        <f t="shared" si="98"/>
        <v>0</v>
      </c>
      <c r="FS75">
        <v>0</v>
      </c>
      <c r="FT75" t="s">
        <v>121</v>
      </c>
      <c r="FU75" t="s">
        <v>122</v>
      </c>
      <c r="FX75">
        <v>99</v>
      </c>
      <c r="FY75">
        <v>59.5</v>
      </c>
      <c r="GA75" t="s">
        <v>3</v>
      </c>
      <c r="GD75">
        <v>1</v>
      </c>
      <c r="GF75">
        <v>-509803312</v>
      </c>
      <c r="GG75">
        <v>2</v>
      </c>
      <c r="GH75">
        <v>1</v>
      </c>
      <c r="GI75">
        <v>2</v>
      </c>
      <c r="GJ75">
        <v>0</v>
      </c>
      <c r="GK75">
        <v>0</v>
      </c>
      <c r="GL75">
        <f t="shared" si="99"/>
        <v>0</v>
      </c>
      <c r="GM75">
        <f t="shared" si="100"/>
        <v>2800.77</v>
      </c>
      <c r="GN75">
        <f t="shared" si="101"/>
        <v>2800.77</v>
      </c>
      <c r="GO75">
        <f t="shared" si="102"/>
        <v>0</v>
      </c>
      <c r="GP75">
        <f t="shared" si="103"/>
        <v>0</v>
      </c>
      <c r="GR75">
        <v>0</v>
      </c>
      <c r="GS75">
        <v>3</v>
      </c>
      <c r="GT75">
        <v>0</v>
      </c>
      <c r="GU75" t="s">
        <v>3</v>
      </c>
      <c r="GV75">
        <f t="shared" si="104"/>
        <v>0</v>
      </c>
      <c r="GW75">
        <v>1</v>
      </c>
      <c r="GX75">
        <f t="shared" si="105"/>
        <v>0</v>
      </c>
      <c r="HA75">
        <v>0</v>
      </c>
      <c r="HB75">
        <v>0</v>
      </c>
      <c r="HC75">
        <f t="shared" si="106"/>
        <v>0</v>
      </c>
      <c r="HE75" t="s">
        <v>3</v>
      </c>
      <c r="HF75" t="s">
        <v>3</v>
      </c>
      <c r="HM75" t="s">
        <v>3</v>
      </c>
      <c r="IK75">
        <v>0</v>
      </c>
    </row>
    <row r="76" spans="1:245">
      <c r="A76">
        <v>17</v>
      </c>
      <c r="B76">
        <v>1</v>
      </c>
      <c r="C76">
        <f>ROW(SmtRes!A53)</f>
        <v>53</v>
      </c>
      <c r="D76">
        <f>ROW(EtalonRes!A53)</f>
        <v>53</v>
      </c>
      <c r="E76" t="s">
        <v>138</v>
      </c>
      <c r="F76" t="s">
        <v>139</v>
      </c>
      <c r="G76" t="s">
        <v>140</v>
      </c>
      <c r="H76" t="s">
        <v>141</v>
      </c>
      <c r="I76">
        <f>ROUND(6/100,9)</f>
        <v>0.06</v>
      </c>
      <c r="J76">
        <v>0</v>
      </c>
      <c r="K76">
        <f>ROUND(6/100,9)</f>
        <v>0.06</v>
      </c>
      <c r="O76">
        <f t="shared" si="70"/>
        <v>247.16</v>
      </c>
      <c r="P76">
        <f t="shared" si="71"/>
        <v>0</v>
      </c>
      <c r="Q76">
        <f t="shared" si="72"/>
        <v>2.0699999999999998</v>
      </c>
      <c r="R76">
        <f t="shared" si="73"/>
        <v>0</v>
      </c>
      <c r="S76">
        <f t="shared" si="74"/>
        <v>245.09</v>
      </c>
      <c r="T76">
        <f t="shared" si="75"/>
        <v>0</v>
      </c>
      <c r="U76">
        <f t="shared" si="76"/>
        <v>0.82109999999999994</v>
      </c>
      <c r="V76">
        <f t="shared" si="77"/>
        <v>0</v>
      </c>
      <c r="W76">
        <f t="shared" si="78"/>
        <v>0</v>
      </c>
      <c r="X76">
        <f t="shared" si="79"/>
        <v>198.52</v>
      </c>
      <c r="Y76">
        <f t="shared" si="80"/>
        <v>176.46</v>
      </c>
      <c r="AA76">
        <v>35683522</v>
      </c>
      <c r="AB76">
        <f t="shared" si="81"/>
        <v>127.39449999999999</v>
      </c>
      <c r="AC76">
        <f t="shared" si="82"/>
        <v>0</v>
      </c>
      <c r="AD76">
        <f>ROUND(((((ET76*1.25))-((EU76*1.25)))+AE76),6)</f>
        <v>3.2749999999999999</v>
      </c>
      <c r="AE76">
        <f>ROUND(((EU76*1.25)),6)</f>
        <v>0</v>
      </c>
      <c r="AF76">
        <f>ROUND(((EV76*1.15)),6)</f>
        <v>124.1195</v>
      </c>
      <c r="AG76">
        <f t="shared" si="84"/>
        <v>0</v>
      </c>
      <c r="AH76">
        <f>((EW76*1.15))</f>
        <v>13.684999999999999</v>
      </c>
      <c r="AI76">
        <f>((EX76*1.25))</f>
        <v>0</v>
      </c>
      <c r="AJ76">
        <f t="shared" si="86"/>
        <v>0</v>
      </c>
      <c r="AK76">
        <v>110.55</v>
      </c>
      <c r="AL76">
        <v>0</v>
      </c>
      <c r="AM76">
        <v>2.62</v>
      </c>
      <c r="AN76">
        <v>0</v>
      </c>
      <c r="AO76">
        <v>107.93</v>
      </c>
      <c r="AP76">
        <v>0</v>
      </c>
      <c r="AQ76">
        <v>11.9</v>
      </c>
      <c r="AR76">
        <v>0</v>
      </c>
      <c r="AS76">
        <v>0</v>
      </c>
      <c r="AT76">
        <v>81</v>
      </c>
      <c r="AU76">
        <v>72</v>
      </c>
      <c r="AV76">
        <v>1</v>
      </c>
      <c r="AW76">
        <v>1</v>
      </c>
      <c r="AZ76">
        <v>1</v>
      </c>
      <c r="BA76">
        <v>32.909999999999997</v>
      </c>
      <c r="BB76">
        <v>10.52</v>
      </c>
      <c r="BC76">
        <v>1</v>
      </c>
      <c r="BD76" t="s">
        <v>3</v>
      </c>
      <c r="BE76" t="s">
        <v>3</v>
      </c>
      <c r="BF76" t="s">
        <v>3</v>
      </c>
      <c r="BG76" t="s">
        <v>3</v>
      </c>
      <c r="BH76">
        <v>0</v>
      </c>
      <c r="BI76">
        <v>1</v>
      </c>
      <c r="BJ76" t="s">
        <v>142</v>
      </c>
      <c r="BM76">
        <v>9001</v>
      </c>
      <c r="BN76">
        <v>0</v>
      </c>
      <c r="BO76" t="s">
        <v>139</v>
      </c>
      <c r="BP76">
        <v>1</v>
      </c>
      <c r="BQ76">
        <v>2</v>
      </c>
      <c r="BR76">
        <v>0</v>
      </c>
      <c r="BS76">
        <v>32.909999999999997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90</v>
      </c>
      <c r="CA76">
        <v>85</v>
      </c>
      <c r="CB76" t="s">
        <v>3</v>
      </c>
      <c r="CE76">
        <v>0</v>
      </c>
      <c r="CF76">
        <v>0</v>
      </c>
      <c r="CG76">
        <v>0</v>
      </c>
      <c r="CM76">
        <v>0</v>
      </c>
      <c r="CN76" t="s">
        <v>611</v>
      </c>
      <c r="CO76">
        <v>0</v>
      </c>
      <c r="CP76">
        <f t="shared" si="87"/>
        <v>247.16</v>
      </c>
      <c r="CQ76">
        <f t="shared" si="88"/>
        <v>0</v>
      </c>
      <c r="CR76">
        <f t="shared" si="89"/>
        <v>34.452999999999996</v>
      </c>
      <c r="CS76">
        <f t="shared" si="90"/>
        <v>0</v>
      </c>
      <c r="CT76">
        <f t="shared" si="91"/>
        <v>4084.7727449999998</v>
      </c>
      <c r="CU76">
        <f t="shared" si="92"/>
        <v>0</v>
      </c>
      <c r="CV76">
        <f t="shared" si="93"/>
        <v>13.684999999999999</v>
      </c>
      <c r="CW76">
        <f t="shared" si="94"/>
        <v>0</v>
      </c>
      <c r="CX76">
        <f t="shared" si="95"/>
        <v>0</v>
      </c>
      <c r="CY76">
        <f t="shared" si="96"/>
        <v>198.52290000000002</v>
      </c>
      <c r="CZ76">
        <f t="shared" si="97"/>
        <v>176.4648</v>
      </c>
      <c r="DC76" t="s">
        <v>3</v>
      </c>
      <c r="DD76" t="s">
        <v>3</v>
      </c>
      <c r="DE76" t="s">
        <v>143</v>
      </c>
      <c r="DF76" t="s">
        <v>143</v>
      </c>
      <c r="DG76" t="s">
        <v>144</v>
      </c>
      <c r="DH76" t="s">
        <v>3</v>
      </c>
      <c r="DI76" t="s">
        <v>144</v>
      </c>
      <c r="DJ76" t="s">
        <v>143</v>
      </c>
      <c r="DK76" t="s">
        <v>3</v>
      </c>
      <c r="DL76" t="s">
        <v>3</v>
      </c>
      <c r="DM76" t="s">
        <v>3</v>
      </c>
      <c r="DN76">
        <v>0</v>
      </c>
      <c r="DO76">
        <v>0</v>
      </c>
      <c r="DP76">
        <v>1</v>
      </c>
      <c r="DQ76">
        <v>1</v>
      </c>
      <c r="DU76">
        <v>1013</v>
      </c>
      <c r="DV76" t="s">
        <v>141</v>
      </c>
      <c r="DW76" t="s">
        <v>141</v>
      </c>
      <c r="DX76">
        <v>1</v>
      </c>
      <c r="DZ76" t="s">
        <v>3</v>
      </c>
      <c r="EA76" t="s">
        <v>3</v>
      </c>
      <c r="EB76" t="s">
        <v>3</v>
      </c>
      <c r="EC76" t="s">
        <v>3</v>
      </c>
      <c r="EE76">
        <v>36260425</v>
      </c>
      <c r="EF76">
        <v>2</v>
      </c>
      <c r="EG76" t="s">
        <v>118</v>
      </c>
      <c r="EH76">
        <v>0</v>
      </c>
      <c r="EI76" t="s">
        <v>3</v>
      </c>
      <c r="EJ76">
        <v>1</v>
      </c>
      <c r="EK76">
        <v>9001</v>
      </c>
      <c r="EL76" t="s">
        <v>127</v>
      </c>
      <c r="EM76" t="s">
        <v>128</v>
      </c>
      <c r="EO76" t="s">
        <v>145</v>
      </c>
      <c r="EQ76">
        <v>0</v>
      </c>
      <c r="ER76">
        <v>110.55</v>
      </c>
      <c r="ES76">
        <v>0</v>
      </c>
      <c r="ET76">
        <v>2.62</v>
      </c>
      <c r="EU76">
        <v>0</v>
      </c>
      <c r="EV76">
        <v>107.93</v>
      </c>
      <c r="EW76">
        <v>11.9</v>
      </c>
      <c r="EX76">
        <v>0</v>
      </c>
      <c r="EY76">
        <v>0</v>
      </c>
      <c r="FQ76">
        <v>0</v>
      </c>
      <c r="FR76">
        <f t="shared" si="98"/>
        <v>0</v>
      </c>
      <c r="FS76">
        <v>0</v>
      </c>
      <c r="FT76" t="s">
        <v>121</v>
      </c>
      <c r="FU76" t="s">
        <v>122</v>
      </c>
      <c r="FX76">
        <v>81</v>
      </c>
      <c r="FY76">
        <v>72.25</v>
      </c>
      <c r="GA76" t="s">
        <v>3</v>
      </c>
      <c r="GD76">
        <v>1</v>
      </c>
      <c r="GF76">
        <v>-1986175026</v>
      </c>
      <c r="GG76">
        <v>2</v>
      </c>
      <c r="GH76">
        <v>1</v>
      </c>
      <c r="GI76">
        <v>2</v>
      </c>
      <c r="GJ76">
        <v>0</v>
      </c>
      <c r="GK76">
        <v>0</v>
      </c>
      <c r="GL76">
        <f t="shared" si="99"/>
        <v>0</v>
      </c>
      <c r="GM76">
        <f t="shared" si="100"/>
        <v>622.14</v>
      </c>
      <c r="GN76">
        <f t="shared" si="101"/>
        <v>622.14</v>
      </c>
      <c r="GO76">
        <f t="shared" si="102"/>
        <v>0</v>
      </c>
      <c r="GP76">
        <f t="shared" si="103"/>
        <v>0</v>
      </c>
      <c r="GR76">
        <v>0</v>
      </c>
      <c r="GS76">
        <v>3</v>
      </c>
      <c r="GT76">
        <v>0</v>
      </c>
      <c r="GU76" t="s">
        <v>3</v>
      </c>
      <c r="GV76">
        <f t="shared" si="104"/>
        <v>0</v>
      </c>
      <c r="GW76">
        <v>1</v>
      </c>
      <c r="GX76">
        <f t="shared" si="105"/>
        <v>0</v>
      </c>
      <c r="HA76">
        <v>0</v>
      </c>
      <c r="HB76">
        <v>0</v>
      </c>
      <c r="HC76">
        <f t="shared" si="106"/>
        <v>0</v>
      </c>
      <c r="HE76" t="s">
        <v>3</v>
      </c>
      <c r="HF76" t="s">
        <v>3</v>
      </c>
      <c r="HM76" t="s">
        <v>3</v>
      </c>
      <c r="IK76">
        <v>0</v>
      </c>
    </row>
    <row r="77" spans="1:245">
      <c r="A77">
        <v>18</v>
      </c>
      <c r="B77">
        <v>1</v>
      </c>
      <c r="C77">
        <v>53</v>
      </c>
      <c r="E77" t="s">
        <v>146</v>
      </c>
      <c r="F77" t="s">
        <v>147</v>
      </c>
      <c r="G77" t="s">
        <v>148</v>
      </c>
      <c r="H77" t="s">
        <v>149</v>
      </c>
      <c r="I77">
        <f>I76*J77</f>
        <v>0.06</v>
      </c>
      <c r="J77">
        <v>1</v>
      </c>
      <c r="K77">
        <v>1</v>
      </c>
      <c r="O77">
        <f t="shared" si="70"/>
        <v>56.26</v>
      </c>
      <c r="P77">
        <f t="shared" si="71"/>
        <v>56.26</v>
      </c>
      <c r="Q77">
        <f t="shared" si="72"/>
        <v>0</v>
      </c>
      <c r="R77">
        <f t="shared" si="73"/>
        <v>0</v>
      </c>
      <c r="S77">
        <f t="shared" si="74"/>
        <v>0</v>
      </c>
      <c r="T77">
        <f t="shared" si="75"/>
        <v>0</v>
      </c>
      <c r="U77">
        <f t="shared" si="76"/>
        <v>0</v>
      </c>
      <c r="V77">
        <f t="shared" si="77"/>
        <v>0</v>
      </c>
      <c r="W77">
        <f t="shared" si="78"/>
        <v>0.02</v>
      </c>
      <c r="X77">
        <f t="shared" si="79"/>
        <v>0</v>
      </c>
      <c r="Y77">
        <f t="shared" si="80"/>
        <v>0</v>
      </c>
      <c r="AA77">
        <v>35683522</v>
      </c>
      <c r="AB77">
        <f t="shared" si="81"/>
        <v>285</v>
      </c>
      <c r="AC77">
        <f t="shared" si="82"/>
        <v>285</v>
      </c>
      <c r="AD77">
        <f>ROUND((((ET77)-(EU77))+AE77),6)</f>
        <v>0</v>
      </c>
      <c r="AE77">
        <f>ROUND((EU77),6)</f>
        <v>0</v>
      </c>
      <c r="AF77">
        <f>ROUND((EV77),6)</f>
        <v>0</v>
      </c>
      <c r="AG77">
        <f t="shared" si="84"/>
        <v>0</v>
      </c>
      <c r="AH77">
        <f>(EW77)</f>
        <v>0</v>
      </c>
      <c r="AI77">
        <f>(EX77)</f>
        <v>0</v>
      </c>
      <c r="AJ77">
        <f t="shared" si="86"/>
        <v>0.34</v>
      </c>
      <c r="AK77">
        <v>285</v>
      </c>
      <c r="AL77">
        <v>285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0.34</v>
      </c>
      <c r="AT77">
        <v>81</v>
      </c>
      <c r="AU77">
        <v>72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3.29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150</v>
      </c>
      <c r="BM77">
        <v>9001</v>
      </c>
      <c r="BN77">
        <v>0</v>
      </c>
      <c r="BO77" t="s">
        <v>147</v>
      </c>
      <c r="BP77">
        <v>1</v>
      </c>
      <c r="BQ77">
        <v>2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90</v>
      </c>
      <c r="CA77">
        <v>85</v>
      </c>
      <c r="CB77" t="s">
        <v>3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87"/>
        <v>56.26</v>
      </c>
      <c r="CQ77">
        <f t="shared" si="88"/>
        <v>937.65</v>
      </c>
      <c r="CR77">
        <f t="shared" si="89"/>
        <v>0</v>
      </c>
      <c r="CS77">
        <f t="shared" si="90"/>
        <v>0</v>
      </c>
      <c r="CT77">
        <f t="shared" si="91"/>
        <v>0</v>
      </c>
      <c r="CU77">
        <f t="shared" si="92"/>
        <v>0</v>
      </c>
      <c r="CV77">
        <f t="shared" si="93"/>
        <v>0</v>
      </c>
      <c r="CW77">
        <f t="shared" si="94"/>
        <v>0</v>
      </c>
      <c r="CX77">
        <f t="shared" si="95"/>
        <v>0.34</v>
      </c>
      <c r="CY77">
        <f t="shared" si="96"/>
        <v>0</v>
      </c>
      <c r="CZ77">
        <f t="shared" si="97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1010</v>
      </c>
      <c r="DV77" t="s">
        <v>149</v>
      </c>
      <c r="DW77" t="s">
        <v>149</v>
      </c>
      <c r="DX77">
        <v>100</v>
      </c>
      <c r="DZ77" t="s">
        <v>3</v>
      </c>
      <c r="EA77" t="s">
        <v>3</v>
      </c>
      <c r="EB77" t="s">
        <v>3</v>
      </c>
      <c r="EC77" t="s">
        <v>3</v>
      </c>
      <c r="EE77">
        <v>36260425</v>
      </c>
      <c r="EF77">
        <v>2</v>
      </c>
      <c r="EG77" t="s">
        <v>118</v>
      </c>
      <c r="EH77">
        <v>0</v>
      </c>
      <c r="EI77" t="s">
        <v>3</v>
      </c>
      <c r="EJ77">
        <v>1</v>
      </c>
      <c r="EK77">
        <v>9001</v>
      </c>
      <c r="EL77" t="s">
        <v>127</v>
      </c>
      <c r="EM77" t="s">
        <v>128</v>
      </c>
      <c r="EO77" t="s">
        <v>3</v>
      </c>
      <c r="EQ77">
        <v>0</v>
      </c>
      <c r="ER77">
        <v>285</v>
      </c>
      <c r="ES77">
        <v>285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f t="shared" si="98"/>
        <v>0</v>
      </c>
      <c r="FS77">
        <v>0</v>
      </c>
      <c r="FT77" t="s">
        <v>121</v>
      </c>
      <c r="FU77" t="s">
        <v>122</v>
      </c>
      <c r="FX77">
        <v>81</v>
      </c>
      <c r="FY77">
        <v>72.25</v>
      </c>
      <c r="GA77" t="s">
        <v>3</v>
      </c>
      <c r="GD77">
        <v>1</v>
      </c>
      <c r="GF77">
        <v>1589994030</v>
      </c>
      <c r="GG77">
        <v>2</v>
      </c>
      <c r="GH77">
        <v>1</v>
      </c>
      <c r="GI77">
        <v>2</v>
      </c>
      <c r="GJ77">
        <v>0</v>
      </c>
      <c r="GK77">
        <v>0</v>
      </c>
      <c r="GL77">
        <f t="shared" si="99"/>
        <v>0</v>
      </c>
      <c r="GM77">
        <f t="shared" si="100"/>
        <v>56.26</v>
      </c>
      <c r="GN77">
        <f t="shared" si="101"/>
        <v>56.26</v>
      </c>
      <c r="GO77">
        <f t="shared" si="102"/>
        <v>0</v>
      </c>
      <c r="GP77">
        <f t="shared" si="103"/>
        <v>0</v>
      </c>
      <c r="GR77">
        <v>0</v>
      </c>
      <c r="GS77">
        <v>3</v>
      </c>
      <c r="GT77">
        <v>0</v>
      </c>
      <c r="GU77" t="s">
        <v>3</v>
      </c>
      <c r="GV77">
        <f t="shared" si="104"/>
        <v>0</v>
      </c>
      <c r="GW77">
        <v>1</v>
      </c>
      <c r="GX77">
        <f t="shared" si="105"/>
        <v>0</v>
      </c>
      <c r="HA77">
        <v>0</v>
      </c>
      <c r="HB77">
        <v>0</v>
      </c>
      <c r="HC77">
        <f t="shared" si="106"/>
        <v>0</v>
      </c>
      <c r="HE77" t="s">
        <v>3</v>
      </c>
      <c r="HF77" t="s">
        <v>3</v>
      </c>
      <c r="HM77" t="s">
        <v>3</v>
      </c>
      <c r="IK77">
        <v>0</v>
      </c>
    </row>
    <row r="78" spans="1:245">
      <c r="A78">
        <v>17</v>
      </c>
      <c r="B78">
        <v>1</v>
      </c>
      <c r="C78">
        <f>ROW(SmtRes!A61)</f>
        <v>61</v>
      </c>
      <c r="D78">
        <f>ROW(EtalonRes!A61)</f>
        <v>61</v>
      </c>
      <c r="E78" t="s">
        <v>151</v>
      </c>
      <c r="F78" t="s">
        <v>152</v>
      </c>
      <c r="G78" t="s">
        <v>153</v>
      </c>
      <c r="H78" t="s">
        <v>154</v>
      </c>
      <c r="I78">
        <f>ROUND(1.5/100,9)</f>
        <v>1.4999999999999999E-2</v>
      </c>
      <c r="J78">
        <v>0</v>
      </c>
      <c r="K78">
        <f>ROUND(1.5/100,9)</f>
        <v>1.4999999999999999E-2</v>
      </c>
      <c r="O78">
        <f t="shared" si="70"/>
        <v>43.83</v>
      </c>
      <c r="P78">
        <f t="shared" si="71"/>
        <v>10.73</v>
      </c>
      <c r="Q78">
        <f t="shared" si="72"/>
        <v>1</v>
      </c>
      <c r="R78">
        <f t="shared" si="73"/>
        <v>0.06</v>
      </c>
      <c r="S78">
        <f t="shared" si="74"/>
        <v>32.1</v>
      </c>
      <c r="T78">
        <f t="shared" si="75"/>
        <v>0</v>
      </c>
      <c r="U78">
        <f t="shared" si="76"/>
        <v>9.1597499999999971E-2</v>
      </c>
      <c r="V78">
        <f t="shared" si="77"/>
        <v>1.875E-4</v>
      </c>
      <c r="W78">
        <f t="shared" si="78"/>
        <v>0</v>
      </c>
      <c r="X78">
        <f t="shared" si="79"/>
        <v>26.05</v>
      </c>
      <c r="Y78">
        <f t="shared" si="80"/>
        <v>19.3</v>
      </c>
      <c r="AA78">
        <v>35683522</v>
      </c>
      <c r="AB78">
        <f t="shared" si="81"/>
        <v>279.66500000000002</v>
      </c>
      <c r="AC78">
        <f t="shared" si="82"/>
        <v>202.72</v>
      </c>
      <c r="AD78">
        <f>ROUND(((((ET78*1.25))-((EU78*1.25)))+AE78),6)</f>
        <v>11.9125</v>
      </c>
      <c r="AE78">
        <f>ROUND(((EU78*1.25)),6)</f>
        <v>0.125</v>
      </c>
      <c r="AF78">
        <f>ROUND(((EV78*1.15)),6)</f>
        <v>65.032499999999999</v>
      </c>
      <c r="AG78">
        <f t="shared" si="84"/>
        <v>0</v>
      </c>
      <c r="AH78">
        <f>((EW78*1.15))</f>
        <v>6.1064999999999987</v>
      </c>
      <c r="AI78">
        <f>((EX78*1.25))</f>
        <v>1.2500000000000001E-2</v>
      </c>
      <c r="AJ78">
        <f t="shared" si="86"/>
        <v>0</v>
      </c>
      <c r="AK78">
        <v>268.8</v>
      </c>
      <c r="AL78">
        <v>202.72</v>
      </c>
      <c r="AM78">
        <v>9.5299999999999994</v>
      </c>
      <c r="AN78">
        <v>0.1</v>
      </c>
      <c r="AO78">
        <v>56.55</v>
      </c>
      <c r="AP78">
        <v>0</v>
      </c>
      <c r="AQ78">
        <v>5.31</v>
      </c>
      <c r="AR78">
        <v>0.01</v>
      </c>
      <c r="AS78">
        <v>0</v>
      </c>
      <c r="AT78">
        <v>81</v>
      </c>
      <c r="AU78">
        <v>60</v>
      </c>
      <c r="AV78">
        <v>1</v>
      </c>
      <c r="AW78">
        <v>1</v>
      </c>
      <c r="AZ78">
        <v>1</v>
      </c>
      <c r="BA78">
        <v>32.909999999999997</v>
      </c>
      <c r="BB78">
        <v>5.62</v>
      </c>
      <c r="BC78">
        <v>3.53</v>
      </c>
      <c r="BD78" t="s">
        <v>3</v>
      </c>
      <c r="BE78" t="s">
        <v>3</v>
      </c>
      <c r="BF78" t="s">
        <v>3</v>
      </c>
      <c r="BG78" t="s">
        <v>3</v>
      </c>
      <c r="BH78">
        <v>0</v>
      </c>
      <c r="BI78">
        <v>1</v>
      </c>
      <c r="BJ78" t="s">
        <v>155</v>
      </c>
      <c r="BM78">
        <v>13001</v>
      </c>
      <c r="BN78">
        <v>0</v>
      </c>
      <c r="BO78" t="s">
        <v>152</v>
      </c>
      <c r="BP78">
        <v>1</v>
      </c>
      <c r="BQ78">
        <v>2</v>
      </c>
      <c r="BR78">
        <v>0</v>
      </c>
      <c r="BS78">
        <v>32.909999999999997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90</v>
      </c>
      <c r="CA78">
        <v>70</v>
      </c>
      <c r="CB78" t="s">
        <v>3</v>
      </c>
      <c r="CE78">
        <v>0</v>
      </c>
      <c r="CF78">
        <v>0</v>
      </c>
      <c r="CG78">
        <v>0</v>
      </c>
      <c r="CM78">
        <v>0</v>
      </c>
      <c r="CN78" t="s">
        <v>611</v>
      </c>
      <c r="CO78">
        <v>0</v>
      </c>
      <c r="CP78">
        <f t="shared" si="87"/>
        <v>43.83</v>
      </c>
      <c r="CQ78">
        <f t="shared" si="88"/>
        <v>715.60159999999996</v>
      </c>
      <c r="CR78">
        <f t="shared" si="89"/>
        <v>66.948250000000002</v>
      </c>
      <c r="CS78">
        <f t="shared" si="90"/>
        <v>4.1137499999999996</v>
      </c>
      <c r="CT78">
        <f t="shared" si="91"/>
        <v>2140.2195749999996</v>
      </c>
      <c r="CU78">
        <f t="shared" si="92"/>
        <v>0</v>
      </c>
      <c r="CV78">
        <f t="shared" si="93"/>
        <v>6.1064999999999987</v>
      </c>
      <c r="CW78">
        <f t="shared" si="94"/>
        <v>1.2500000000000001E-2</v>
      </c>
      <c r="CX78">
        <f t="shared" si="95"/>
        <v>0</v>
      </c>
      <c r="CY78">
        <f t="shared" si="96"/>
        <v>26.049600000000005</v>
      </c>
      <c r="CZ78">
        <f t="shared" si="97"/>
        <v>19.296000000000003</v>
      </c>
      <c r="DC78" t="s">
        <v>3</v>
      </c>
      <c r="DD78" t="s">
        <v>3</v>
      </c>
      <c r="DE78" t="s">
        <v>143</v>
      </c>
      <c r="DF78" t="s">
        <v>143</v>
      </c>
      <c r="DG78" t="s">
        <v>144</v>
      </c>
      <c r="DH78" t="s">
        <v>3</v>
      </c>
      <c r="DI78" t="s">
        <v>144</v>
      </c>
      <c r="DJ78" t="s">
        <v>143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1005</v>
      </c>
      <c r="DV78" t="s">
        <v>154</v>
      </c>
      <c r="DW78" t="s">
        <v>154</v>
      </c>
      <c r="DX78">
        <v>100</v>
      </c>
      <c r="DZ78" t="s">
        <v>3</v>
      </c>
      <c r="EA78" t="s">
        <v>3</v>
      </c>
      <c r="EB78" t="s">
        <v>3</v>
      </c>
      <c r="EC78" t="s">
        <v>3</v>
      </c>
      <c r="EE78">
        <v>36260429</v>
      </c>
      <c r="EF78">
        <v>2</v>
      </c>
      <c r="EG78" t="s">
        <v>118</v>
      </c>
      <c r="EH78">
        <v>0</v>
      </c>
      <c r="EI78" t="s">
        <v>3</v>
      </c>
      <c r="EJ78">
        <v>1</v>
      </c>
      <c r="EK78">
        <v>13001</v>
      </c>
      <c r="EL78" t="s">
        <v>156</v>
      </c>
      <c r="EM78" t="s">
        <v>157</v>
      </c>
      <c r="EO78" t="s">
        <v>145</v>
      </c>
      <c r="EQ78">
        <v>0</v>
      </c>
      <c r="ER78">
        <v>268.8</v>
      </c>
      <c r="ES78">
        <v>202.72</v>
      </c>
      <c r="ET78">
        <v>9.5299999999999994</v>
      </c>
      <c r="EU78">
        <v>0.1</v>
      </c>
      <c r="EV78">
        <v>56.55</v>
      </c>
      <c r="EW78">
        <v>5.31</v>
      </c>
      <c r="EX78">
        <v>0.01</v>
      </c>
      <c r="EY78">
        <v>0</v>
      </c>
      <c r="FQ78">
        <v>0</v>
      </c>
      <c r="FR78">
        <f t="shared" si="98"/>
        <v>0</v>
      </c>
      <c r="FS78">
        <v>0</v>
      </c>
      <c r="FT78" t="s">
        <v>121</v>
      </c>
      <c r="FU78" t="s">
        <v>122</v>
      </c>
      <c r="FX78">
        <v>81</v>
      </c>
      <c r="FY78">
        <v>59.5</v>
      </c>
      <c r="GA78" t="s">
        <v>3</v>
      </c>
      <c r="GD78">
        <v>1</v>
      </c>
      <c r="GF78">
        <v>-254349720</v>
      </c>
      <c r="GG78">
        <v>2</v>
      </c>
      <c r="GH78">
        <v>1</v>
      </c>
      <c r="GI78">
        <v>2</v>
      </c>
      <c r="GJ78">
        <v>0</v>
      </c>
      <c r="GK78">
        <v>0</v>
      </c>
      <c r="GL78">
        <f t="shared" si="99"/>
        <v>0</v>
      </c>
      <c r="GM78">
        <f t="shared" si="100"/>
        <v>89.18</v>
      </c>
      <c r="GN78">
        <f t="shared" si="101"/>
        <v>89.18</v>
      </c>
      <c r="GO78">
        <f t="shared" si="102"/>
        <v>0</v>
      </c>
      <c r="GP78">
        <f t="shared" si="103"/>
        <v>0</v>
      </c>
      <c r="GR78">
        <v>0</v>
      </c>
      <c r="GS78">
        <v>3</v>
      </c>
      <c r="GT78">
        <v>0</v>
      </c>
      <c r="GU78" t="s">
        <v>3</v>
      </c>
      <c r="GV78">
        <f t="shared" si="104"/>
        <v>0</v>
      </c>
      <c r="GW78">
        <v>1</v>
      </c>
      <c r="GX78">
        <f t="shared" si="105"/>
        <v>0</v>
      </c>
      <c r="HA78">
        <v>0</v>
      </c>
      <c r="HB78">
        <v>0</v>
      </c>
      <c r="HC78">
        <f t="shared" si="106"/>
        <v>0</v>
      </c>
      <c r="HE78" t="s">
        <v>3</v>
      </c>
      <c r="HF78" t="s">
        <v>3</v>
      </c>
      <c r="HM78" t="s">
        <v>3</v>
      </c>
      <c r="IK78">
        <v>0</v>
      </c>
    </row>
    <row r="79" spans="1:245">
      <c r="A79">
        <v>17</v>
      </c>
      <c r="B79">
        <v>1</v>
      </c>
      <c r="C79">
        <f>ROW(SmtRes!A69)</f>
        <v>69</v>
      </c>
      <c r="D79">
        <f>ROW(EtalonRes!A69)</f>
        <v>69</v>
      </c>
      <c r="E79" t="s">
        <v>158</v>
      </c>
      <c r="F79" t="s">
        <v>159</v>
      </c>
      <c r="G79" t="s">
        <v>160</v>
      </c>
      <c r="H79" t="s">
        <v>154</v>
      </c>
      <c r="I79">
        <f>ROUND(1.5/100,9)</f>
        <v>1.4999999999999999E-2</v>
      </c>
      <c r="J79">
        <v>0</v>
      </c>
      <c r="K79">
        <f>ROUND(1.5/100,9)</f>
        <v>1.4999999999999999E-2</v>
      </c>
      <c r="O79">
        <f t="shared" si="70"/>
        <v>38.93</v>
      </c>
      <c r="P79">
        <f t="shared" si="71"/>
        <v>18.48</v>
      </c>
      <c r="Q79">
        <f t="shared" si="72"/>
        <v>0.73</v>
      </c>
      <c r="R79">
        <f t="shared" si="73"/>
        <v>0.06</v>
      </c>
      <c r="S79">
        <f t="shared" si="74"/>
        <v>19.72</v>
      </c>
      <c r="T79">
        <f t="shared" si="75"/>
        <v>0</v>
      </c>
      <c r="U79">
        <f t="shared" si="76"/>
        <v>6.6067499999999987E-2</v>
      </c>
      <c r="V79">
        <f t="shared" si="77"/>
        <v>1.875E-4</v>
      </c>
      <c r="W79">
        <f t="shared" si="78"/>
        <v>0</v>
      </c>
      <c r="X79">
        <f t="shared" si="79"/>
        <v>16.02</v>
      </c>
      <c r="Y79">
        <f t="shared" si="80"/>
        <v>11.87</v>
      </c>
      <c r="AA79">
        <v>35683522</v>
      </c>
      <c r="AB79">
        <f t="shared" si="81"/>
        <v>341.911</v>
      </c>
      <c r="AC79">
        <f t="shared" si="82"/>
        <v>294.06</v>
      </c>
      <c r="AD79">
        <f>ROUND(((((ET79*1.25))-((EU79*1.25)))+AE79),6)</f>
        <v>7.9</v>
      </c>
      <c r="AE79">
        <f>ROUND(((EU79*1.25)),6)</f>
        <v>0.125</v>
      </c>
      <c r="AF79">
        <f>ROUND(((EV79*1.15)),6)</f>
        <v>39.951000000000001</v>
      </c>
      <c r="AG79">
        <f t="shared" si="84"/>
        <v>0</v>
      </c>
      <c r="AH79">
        <f>((EW79*1.15))</f>
        <v>4.4044999999999996</v>
      </c>
      <c r="AI79">
        <f>((EX79*1.25))</f>
        <v>1.2500000000000001E-2</v>
      </c>
      <c r="AJ79">
        <f t="shared" si="86"/>
        <v>0</v>
      </c>
      <c r="AK79">
        <v>335.12</v>
      </c>
      <c r="AL79">
        <v>294.06</v>
      </c>
      <c r="AM79">
        <v>6.32</v>
      </c>
      <c r="AN79">
        <v>0.1</v>
      </c>
      <c r="AO79">
        <v>34.74</v>
      </c>
      <c r="AP79">
        <v>0</v>
      </c>
      <c r="AQ79">
        <v>3.83</v>
      </c>
      <c r="AR79">
        <v>0.01</v>
      </c>
      <c r="AS79">
        <v>0</v>
      </c>
      <c r="AT79">
        <v>81</v>
      </c>
      <c r="AU79">
        <v>60</v>
      </c>
      <c r="AV79">
        <v>1</v>
      </c>
      <c r="AW79">
        <v>1</v>
      </c>
      <c r="AZ79">
        <v>1</v>
      </c>
      <c r="BA79">
        <v>32.909999999999997</v>
      </c>
      <c r="BB79">
        <v>6.12</v>
      </c>
      <c r="BC79">
        <v>4.1900000000000004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1</v>
      </c>
      <c r="BJ79" t="s">
        <v>161</v>
      </c>
      <c r="BM79">
        <v>13001</v>
      </c>
      <c r="BN79">
        <v>0</v>
      </c>
      <c r="BO79" t="s">
        <v>159</v>
      </c>
      <c r="BP79">
        <v>1</v>
      </c>
      <c r="BQ79">
        <v>2</v>
      </c>
      <c r="BR79">
        <v>0</v>
      </c>
      <c r="BS79">
        <v>32.909999999999997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90</v>
      </c>
      <c r="CA79">
        <v>70</v>
      </c>
      <c r="CB79" t="s">
        <v>3</v>
      </c>
      <c r="CE79">
        <v>0</v>
      </c>
      <c r="CF79">
        <v>0</v>
      </c>
      <c r="CG79">
        <v>0</v>
      </c>
      <c r="CM79">
        <v>0</v>
      </c>
      <c r="CN79" t="s">
        <v>611</v>
      </c>
      <c r="CO79">
        <v>0</v>
      </c>
      <c r="CP79">
        <f t="shared" si="87"/>
        <v>38.93</v>
      </c>
      <c r="CQ79">
        <f t="shared" si="88"/>
        <v>1232.1114000000002</v>
      </c>
      <c r="CR79">
        <f t="shared" si="89"/>
        <v>48.348000000000006</v>
      </c>
      <c r="CS79">
        <f t="shared" si="90"/>
        <v>4.1137499999999996</v>
      </c>
      <c r="CT79">
        <f t="shared" si="91"/>
        <v>1314.7874099999999</v>
      </c>
      <c r="CU79">
        <f t="shared" si="92"/>
        <v>0</v>
      </c>
      <c r="CV79">
        <f t="shared" si="93"/>
        <v>4.4044999999999996</v>
      </c>
      <c r="CW79">
        <f t="shared" si="94"/>
        <v>1.2500000000000001E-2</v>
      </c>
      <c r="CX79">
        <f t="shared" si="95"/>
        <v>0</v>
      </c>
      <c r="CY79">
        <f t="shared" si="96"/>
        <v>16.021799999999999</v>
      </c>
      <c r="CZ79">
        <f t="shared" si="97"/>
        <v>11.868</v>
      </c>
      <c r="DC79" t="s">
        <v>3</v>
      </c>
      <c r="DD79" t="s">
        <v>3</v>
      </c>
      <c r="DE79" t="s">
        <v>143</v>
      </c>
      <c r="DF79" t="s">
        <v>143</v>
      </c>
      <c r="DG79" t="s">
        <v>144</v>
      </c>
      <c r="DH79" t="s">
        <v>3</v>
      </c>
      <c r="DI79" t="s">
        <v>144</v>
      </c>
      <c r="DJ79" t="s">
        <v>143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1005</v>
      </c>
      <c r="DV79" t="s">
        <v>154</v>
      </c>
      <c r="DW79" t="s">
        <v>154</v>
      </c>
      <c r="DX79">
        <v>100</v>
      </c>
      <c r="DZ79" t="s">
        <v>3</v>
      </c>
      <c r="EA79" t="s">
        <v>3</v>
      </c>
      <c r="EB79" t="s">
        <v>3</v>
      </c>
      <c r="EC79" t="s">
        <v>3</v>
      </c>
      <c r="EE79">
        <v>36260429</v>
      </c>
      <c r="EF79">
        <v>2</v>
      </c>
      <c r="EG79" t="s">
        <v>118</v>
      </c>
      <c r="EH79">
        <v>0</v>
      </c>
      <c r="EI79" t="s">
        <v>3</v>
      </c>
      <c r="EJ79">
        <v>1</v>
      </c>
      <c r="EK79">
        <v>13001</v>
      </c>
      <c r="EL79" t="s">
        <v>156</v>
      </c>
      <c r="EM79" t="s">
        <v>157</v>
      </c>
      <c r="EO79" t="s">
        <v>145</v>
      </c>
      <c r="EQ79">
        <v>0</v>
      </c>
      <c r="ER79">
        <v>335.12</v>
      </c>
      <c r="ES79">
        <v>294.06</v>
      </c>
      <c r="ET79">
        <v>6.32</v>
      </c>
      <c r="EU79">
        <v>0.1</v>
      </c>
      <c r="EV79">
        <v>34.74</v>
      </c>
      <c r="EW79">
        <v>3.83</v>
      </c>
      <c r="EX79">
        <v>0.01</v>
      </c>
      <c r="EY79">
        <v>0</v>
      </c>
      <c r="FQ79">
        <v>0</v>
      </c>
      <c r="FR79">
        <f t="shared" si="98"/>
        <v>0</v>
      </c>
      <c r="FS79">
        <v>0</v>
      </c>
      <c r="FT79" t="s">
        <v>121</v>
      </c>
      <c r="FU79" t="s">
        <v>122</v>
      </c>
      <c r="FX79">
        <v>81</v>
      </c>
      <c r="FY79">
        <v>59.5</v>
      </c>
      <c r="GA79" t="s">
        <v>3</v>
      </c>
      <c r="GD79">
        <v>1</v>
      </c>
      <c r="GF79">
        <v>1491877143</v>
      </c>
      <c r="GG79">
        <v>2</v>
      </c>
      <c r="GH79">
        <v>1</v>
      </c>
      <c r="GI79">
        <v>2</v>
      </c>
      <c r="GJ79">
        <v>0</v>
      </c>
      <c r="GK79">
        <v>0</v>
      </c>
      <c r="GL79">
        <f t="shared" si="99"/>
        <v>0</v>
      </c>
      <c r="GM79">
        <f t="shared" si="100"/>
        <v>66.819999999999993</v>
      </c>
      <c r="GN79">
        <f t="shared" si="101"/>
        <v>66.819999999999993</v>
      </c>
      <c r="GO79">
        <f t="shared" si="102"/>
        <v>0</v>
      </c>
      <c r="GP79">
        <f t="shared" si="103"/>
        <v>0</v>
      </c>
      <c r="GR79">
        <v>0</v>
      </c>
      <c r="GS79">
        <v>3</v>
      </c>
      <c r="GT79">
        <v>0</v>
      </c>
      <c r="GU79" t="s">
        <v>3</v>
      </c>
      <c r="GV79">
        <f t="shared" si="104"/>
        <v>0</v>
      </c>
      <c r="GW79">
        <v>1</v>
      </c>
      <c r="GX79">
        <f t="shared" si="105"/>
        <v>0</v>
      </c>
      <c r="HA79">
        <v>0</v>
      </c>
      <c r="HB79">
        <v>0</v>
      </c>
      <c r="HC79">
        <f t="shared" si="106"/>
        <v>0</v>
      </c>
      <c r="HE79" t="s">
        <v>3</v>
      </c>
      <c r="HF79" t="s">
        <v>3</v>
      </c>
      <c r="HM79" t="s">
        <v>3</v>
      </c>
      <c r="IK79">
        <v>0</v>
      </c>
    </row>
    <row r="80" spans="1:245">
      <c r="A80">
        <v>17</v>
      </c>
      <c r="B80">
        <v>1</v>
      </c>
      <c r="C80">
        <f>ROW(SmtRes!A93)</f>
        <v>93</v>
      </c>
      <c r="D80">
        <f>ROW(EtalonRes!A94)</f>
        <v>94</v>
      </c>
      <c r="E80" t="s">
        <v>162</v>
      </c>
      <c r="F80" t="s">
        <v>163</v>
      </c>
      <c r="G80" t="s">
        <v>164</v>
      </c>
      <c r="H80" t="s">
        <v>36</v>
      </c>
      <c r="I80">
        <f>ROUND(2/100,9)</f>
        <v>0.02</v>
      </c>
      <c r="J80">
        <v>0</v>
      </c>
      <c r="K80">
        <f>ROUND(2/100,9)</f>
        <v>0.02</v>
      </c>
      <c r="O80">
        <f t="shared" si="70"/>
        <v>330.64</v>
      </c>
      <c r="P80">
        <f t="shared" si="71"/>
        <v>0</v>
      </c>
      <c r="Q80">
        <f t="shared" si="72"/>
        <v>95.79</v>
      </c>
      <c r="R80">
        <f t="shared" si="73"/>
        <v>30.8</v>
      </c>
      <c r="S80">
        <f t="shared" si="74"/>
        <v>234.85</v>
      </c>
      <c r="T80">
        <f t="shared" si="75"/>
        <v>0</v>
      </c>
      <c r="U80">
        <f t="shared" si="76"/>
        <v>0.81649999999999989</v>
      </c>
      <c r="V80">
        <f t="shared" si="77"/>
        <v>6.5250000000000002E-2</v>
      </c>
      <c r="W80">
        <f t="shared" si="78"/>
        <v>0</v>
      </c>
      <c r="X80">
        <f t="shared" si="79"/>
        <v>215.18</v>
      </c>
      <c r="Y80">
        <f t="shared" si="80"/>
        <v>191.27</v>
      </c>
      <c r="AA80">
        <v>35683522</v>
      </c>
      <c r="AB80">
        <f t="shared" si="81"/>
        <v>959.2355</v>
      </c>
      <c r="AC80">
        <f>ROUND(0,6)</f>
        <v>0</v>
      </c>
      <c r="AD80">
        <f>ROUND(((((ET80*1.25))-((EU80*1.25)))+AE80),6)</f>
        <v>602.42499999999995</v>
      </c>
      <c r="AE80">
        <f>ROUND(((EU80*1.25)),6)</f>
        <v>46.787500000000001</v>
      </c>
      <c r="AF80">
        <f>ROUND(((EV80*1.15)),6)</f>
        <v>356.81049999999999</v>
      </c>
      <c r="AG80">
        <f t="shared" si="84"/>
        <v>0</v>
      </c>
      <c r="AH80">
        <f>((EW80*1.15))</f>
        <v>40.824999999999996</v>
      </c>
      <c r="AI80">
        <f>((EX80*1.25))</f>
        <v>3.2624999999999997</v>
      </c>
      <c r="AJ80">
        <f t="shared" si="86"/>
        <v>0</v>
      </c>
      <c r="AK80">
        <v>946.18</v>
      </c>
      <c r="AL80">
        <v>153.97</v>
      </c>
      <c r="AM80">
        <v>481.94</v>
      </c>
      <c r="AN80">
        <v>37.43</v>
      </c>
      <c r="AO80">
        <v>310.27</v>
      </c>
      <c r="AP80">
        <v>0</v>
      </c>
      <c r="AQ80">
        <v>35.5</v>
      </c>
      <c r="AR80">
        <v>2.61</v>
      </c>
      <c r="AS80">
        <v>0</v>
      </c>
      <c r="AT80">
        <v>81</v>
      </c>
      <c r="AU80">
        <v>72</v>
      </c>
      <c r="AV80">
        <v>1</v>
      </c>
      <c r="AW80">
        <v>1</v>
      </c>
      <c r="AZ80">
        <v>1</v>
      </c>
      <c r="BA80">
        <v>32.909999999999997</v>
      </c>
      <c r="BB80">
        <v>7.95</v>
      </c>
      <c r="BC80">
        <v>10.130000000000001</v>
      </c>
      <c r="BD80" t="s">
        <v>3</v>
      </c>
      <c r="BE80" t="s">
        <v>3</v>
      </c>
      <c r="BF80" t="s">
        <v>3</v>
      </c>
      <c r="BG80" t="s">
        <v>3</v>
      </c>
      <c r="BH80">
        <v>0</v>
      </c>
      <c r="BI80">
        <v>1</v>
      </c>
      <c r="BJ80" t="s">
        <v>165</v>
      </c>
      <c r="BM80">
        <v>9001</v>
      </c>
      <c r="BN80">
        <v>0</v>
      </c>
      <c r="BO80" t="s">
        <v>163</v>
      </c>
      <c r="BP80">
        <v>1</v>
      </c>
      <c r="BQ80">
        <v>2</v>
      </c>
      <c r="BR80">
        <v>0</v>
      </c>
      <c r="BS80">
        <v>32.909999999999997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90</v>
      </c>
      <c r="CA80">
        <v>85</v>
      </c>
      <c r="CB80" t="s">
        <v>3</v>
      </c>
      <c r="CE80">
        <v>0</v>
      </c>
      <c r="CF80">
        <v>0</v>
      </c>
      <c r="CG80">
        <v>0</v>
      </c>
      <c r="CM80">
        <v>0</v>
      </c>
      <c r="CN80" t="s">
        <v>3</v>
      </c>
      <c r="CO80">
        <v>0</v>
      </c>
      <c r="CP80">
        <f t="shared" si="87"/>
        <v>330.64</v>
      </c>
      <c r="CQ80">
        <f t="shared" si="88"/>
        <v>0</v>
      </c>
      <c r="CR80">
        <f t="shared" si="89"/>
        <v>4789.2787499999995</v>
      </c>
      <c r="CS80">
        <f t="shared" si="90"/>
        <v>1539.776625</v>
      </c>
      <c r="CT80">
        <f t="shared" si="91"/>
        <v>11742.633554999999</v>
      </c>
      <c r="CU80">
        <f t="shared" si="92"/>
        <v>0</v>
      </c>
      <c r="CV80">
        <f t="shared" si="93"/>
        <v>40.824999999999996</v>
      </c>
      <c r="CW80">
        <f t="shared" si="94"/>
        <v>3.2624999999999997</v>
      </c>
      <c r="CX80">
        <f t="shared" si="95"/>
        <v>0</v>
      </c>
      <c r="CY80">
        <f t="shared" si="96"/>
        <v>215.17649999999998</v>
      </c>
      <c r="CZ80">
        <f t="shared" si="97"/>
        <v>191.268</v>
      </c>
      <c r="DC80" t="s">
        <v>3</v>
      </c>
      <c r="DD80" t="s">
        <v>166</v>
      </c>
      <c r="DE80" t="s">
        <v>143</v>
      </c>
      <c r="DF80" t="s">
        <v>143</v>
      </c>
      <c r="DG80" t="s">
        <v>144</v>
      </c>
      <c r="DH80" t="s">
        <v>3</v>
      </c>
      <c r="DI80" t="s">
        <v>144</v>
      </c>
      <c r="DJ80" t="s">
        <v>143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1013</v>
      </c>
      <c r="DV80" t="s">
        <v>36</v>
      </c>
      <c r="DW80" t="s">
        <v>36</v>
      </c>
      <c r="DX80">
        <v>1</v>
      </c>
      <c r="DZ80" t="s">
        <v>3</v>
      </c>
      <c r="EA80" t="s">
        <v>3</v>
      </c>
      <c r="EB80" t="s">
        <v>3</v>
      </c>
      <c r="EC80" t="s">
        <v>3</v>
      </c>
      <c r="EE80">
        <v>36260425</v>
      </c>
      <c r="EF80">
        <v>2</v>
      </c>
      <c r="EG80" t="s">
        <v>118</v>
      </c>
      <c r="EH80">
        <v>0</v>
      </c>
      <c r="EI80" t="s">
        <v>3</v>
      </c>
      <c r="EJ80">
        <v>1</v>
      </c>
      <c r="EK80">
        <v>9001</v>
      </c>
      <c r="EL80" t="s">
        <v>127</v>
      </c>
      <c r="EM80" t="s">
        <v>128</v>
      </c>
      <c r="EO80" t="s">
        <v>3</v>
      </c>
      <c r="EQ80">
        <v>0</v>
      </c>
      <c r="ER80">
        <v>946.18</v>
      </c>
      <c r="ES80">
        <v>153.97</v>
      </c>
      <c r="ET80">
        <v>481.94</v>
      </c>
      <c r="EU80">
        <v>37.43</v>
      </c>
      <c r="EV80">
        <v>310.27</v>
      </c>
      <c r="EW80">
        <v>35.5</v>
      </c>
      <c r="EX80">
        <v>2.61</v>
      </c>
      <c r="EY80">
        <v>0</v>
      </c>
      <c r="FQ80">
        <v>0</v>
      </c>
      <c r="FR80">
        <f t="shared" si="98"/>
        <v>0</v>
      </c>
      <c r="FS80">
        <v>0</v>
      </c>
      <c r="FT80" t="s">
        <v>121</v>
      </c>
      <c r="FU80" t="s">
        <v>122</v>
      </c>
      <c r="FX80">
        <v>81</v>
      </c>
      <c r="FY80">
        <v>72.25</v>
      </c>
      <c r="GA80" t="s">
        <v>3</v>
      </c>
      <c r="GD80">
        <v>1</v>
      </c>
      <c r="GF80">
        <v>-566091124</v>
      </c>
      <c r="GG80">
        <v>2</v>
      </c>
      <c r="GH80">
        <v>1</v>
      </c>
      <c r="GI80">
        <v>2</v>
      </c>
      <c r="GJ80">
        <v>0</v>
      </c>
      <c r="GK80">
        <v>0</v>
      </c>
      <c r="GL80">
        <f t="shared" si="99"/>
        <v>0</v>
      </c>
      <c r="GM80">
        <f t="shared" si="100"/>
        <v>737.09</v>
      </c>
      <c r="GN80">
        <f t="shared" si="101"/>
        <v>737.09</v>
      </c>
      <c r="GO80">
        <f t="shared" si="102"/>
        <v>0</v>
      </c>
      <c r="GP80">
        <f t="shared" si="103"/>
        <v>0</v>
      </c>
      <c r="GR80">
        <v>0</v>
      </c>
      <c r="GS80">
        <v>0</v>
      </c>
      <c r="GT80">
        <v>0</v>
      </c>
      <c r="GU80" t="s">
        <v>3</v>
      </c>
      <c r="GV80">
        <f t="shared" si="104"/>
        <v>0</v>
      </c>
      <c r="GW80">
        <v>1</v>
      </c>
      <c r="GX80">
        <f t="shared" si="105"/>
        <v>0</v>
      </c>
      <c r="HA80">
        <v>0</v>
      </c>
      <c r="HB80">
        <v>0</v>
      </c>
      <c r="HC80">
        <f t="shared" si="106"/>
        <v>0</v>
      </c>
      <c r="HE80" t="s">
        <v>3</v>
      </c>
      <c r="HF80" t="s">
        <v>3</v>
      </c>
      <c r="HM80" t="s">
        <v>3</v>
      </c>
      <c r="IK80">
        <v>0</v>
      </c>
    </row>
    <row r="81" spans="1:245">
      <c r="A81">
        <v>18</v>
      </c>
      <c r="B81">
        <v>1</v>
      </c>
      <c r="C81">
        <v>93</v>
      </c>
      <c r="E81" t="s">
        <v>167</v>
      </c>
      <c r="F81" t="s">
        <v>168</v>
      </c>
      <c r="G81" t="s">
        <v>169</v>
      </c>
      <c r="H81" t="s">
        <v>170</v>
      </c>
      <c r="I81">
        <f>I80*J81</f>
        <v>3</v>
      </c>
      <c r="J81">
        <v>150</v>
      </c>
      <c r="K81">
        <v>150</v>
      </c>
      <c r="O81">
        <f t="shared" si="70"/>
        <v>1664.01</v>
      </c>
      <c r="P81">
        <f t="shared" si="71"/>
        <v>1664.01</v>
      </c>
      <c r="Q81">
        <f t="shared" si="72"/>
        <v>0</v>
      </c>
      <c r="R81">
        <f t="shared" si="73"/>
        <v>0</v>
      </c>
      <c r="S81">
        <f t="shared" si="74"/>
        <v>0</v>
      </c>
      <c r="T81">
        <f t="shared" si="75"/>
        <v>0</v>
      </c>
      <c r="U81">
        <f t="shared" si="76"/>
        <v>0</v>
      </c>
      <c r="V81">
        <f t="shared" si="77"/>
        <v>0</v>
      </c>
      <c r="W81">
        <f t="shared" si="78"/>
        <v>0</v>
      </c>
      <c r="X81">
        <f t="shared" si="79"/>
        <v>0</v>
      </c>
      <c r="Y81">
        <f t="shared" si="80"/>
        <v>0</v>
      </c>
      <c r="AA81">
        <v>35683522</v>
      </c>
      <c r="AB81">
        <f t="shared" si="81"/>
        <v>554.66999999999996</v>
      </c>
      <c r="AC81">
        <f t="shared" ref="AC81:AC97" si="107">ROUND((ES81),6)</f>
        <v>554.66999999999996</v>
      </c>
      <c r="AD81">
        <f>ROUND((((ET81)-(EU81))+AE81),6)</f>
        <v>0</v>
      </c>
      <c r="AE81">
        <f>ROUND((EU81),6)</f>
        <v>0</v>
      </c>
      <c r="AF81">
        <f>ROUND((EV81),6)</f>
        <v>0</v>
      </c>
      <c r="AG81">
        <f t="shared" si="84"/>
        <v>0</v>
      </c>
      <c r="AH81">
        <f>(EW81)</f>
        <v>0</v>
      </c>
      <c r="AI81">
        <f>(EX81)</f>
        <v>0</v>
      </c>
      <c r="AJ81">
        <f t="shared" si="86"/>
        <v>0</v>
      </c>
      <c r="AK81">
        <v>554.66999999999996</v>
      </c>
      <c r="AL81">
        <v>554.66999999999996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108</v>
      </c>
      <c r="AU81">
        <v>55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1</v>
      </c>
      <c r="BD81" t="s">
        <v>3</v>
      </c>
      <c r="BE81" t="s">
        <v>3</v>
      </c>
      <c r="BF81" t="s">
        <v>3</v>
      </c>
      <c r="BG81" t="s">
        <v>3</v>
      </c>
      <c r="BH81">
        <v>3</v>
      </c>
      <c r="BI81">
        <v>1</v>
      </c>
      <c r="BJ81" t="s">
        <v>3</v>
      </c>
      <c r="BM81">
        <v>12001</v>
      </c>
      <c r="BN81">
        <v>0</v>
      </c>
      <c r="BO81" t="s">
        <v>3</v>
      </c>
      <c r="BP81">
        <v>0</v>
      </c>
      <c r="BQ81">
        <v>2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120</v>
      </c>
      <c r="CA81">
        <v>65</v>
      </c>
      <c r="CB81" t="s">
        <v>3</v>
      </c>
      <c r="CE81">
        <v>0</v>
      </c>
      <c r="CF81">
        <v>0</v>
      </c>
      <c r="CG81">
        <v>0</v>
      </c>
      <c r="CM81">
        <v>0</v>
      </c>
      <c r="CN81" t="s">
        <v>3</v>
      </c>
      <c r="CO81">
        <v>0</v>
      </c>
      <c r="CP81">
        <f t="shared" si="87"/>
        <v>1664.01</v>
      </c>
      <c r="CQ81">
        <f t="shared" si="88"/>
        <v>554.66999999999996</v>
      </c>
      <c r="CR81">
        <f t="shared" si="89"/>
        <v>0</v>
      </c>
      <c r="CS81">
        <f t="shared" si="90"/>
        <v>0</v>
      </c>
      <c r="CT81">
        <f t="shared" si="91"/>
        <v>0</v>
      </c>
      <c r="CU81">
        <f t="shared" si="92"/>
        <v>0</v>
      </c>
      <c r="CV81">
        <f t="shared" si="93"/>
        <v>0</v>
      </c>
      <c r="CW81">
        <f t="shared" si="94"/>
        <v>0</v>
      </c>
      <c r="CX81">
        <f t="shared" si="95"/>
        <v>0</v>
      </c>
      <c r="CY81">
        <f t="shared" si="96"/>
        <v>0</v>
      </c>
      <c r="CZ81">
        <f t="shared" si="97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1005</v>
      </c>
      <c r="DV81" t="s">
        <v>170</v>
      </c>
      <c r="DW81" t="s">
        <v>171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36260428</v>
      </c>
      <c r="EF81">
        <v>2</v>
      </c>
      <c r="EG81" t="s">
        <v>118</v>
      </c>
      <c r="EH81">
        <v>0</v>
      </c>
      <c r="EI81" t="s">
        <v>3</v>
      </c>
      <c r="EJ81">
        <v>1</v>
      </c>
      <c r="EK81">
        <v>12001</v>
      </c>
      <c r="EL81" t="s">
        <v>172</v>
      </c>
      <c r="EM81" t="s">
        <v>173</v>
      </c>
      <c r="EO81" t="s">
        <v>3</v>
      </c>
      <c r="EQ81">
        <v>0</v>
      </c>
      <c r="ER81">
        <v>554.66999999999996</v>
      </c>
      <c r="ES81">
        <v>554.66999999999996</v>
      </c>
      <c r="ET81">
        <v>0</v>
      </c>
      <c r="EU81">
        <v>0</v>
      </c>
      <c r="EV81">
        <v>0</v>
      </c>
      <c r="EW81">
        <v>0</v>
      </c>
      <c r="EX81">
        <v>0</v>
      </c>
      <c r="FQ81">
        <v>0</v>
      </c>
      <c r="FR81">
        <f t="shared" si="98"/>
        <v>0</v>
      </c>
      <c r="FS81">
        <v>0</v>
      </c>
      <c r="FT81" t="s">
        <v>121</v>
      </c>
      <c r="FU81" t="s">
        <v>122</v>
      </c>
      <c r="FX81">
        <v>108</v>
      </c>
      <c r="FY81">
        <v>55.25</v>
      </c>
      <c r="GA81" t="s">
        <v>174</v>
      </c>
      <c r="GD81">
        <v>1</v>
      </c>
      <c r="GF81">
        <v>2120758438</v>
      </c>
      <c r="GG81">
        <v>2</v>
      </c>
      <c r="GH81">
        <v>0</v>
      </c>
      <c r="GI81">
        <v>-2</v>
      </c>
      <c r="GJ81">
        <v>0</v>
      </c>
      <c r="GK81">
        <v>0</v>
      </c>
      <c r="GL81">
        <f t="shared" si="99"/>
        <v>0</v>
      </c>
      <c r="GM81">
        <f t="shared" si="100"/>
        <v>1664.01</v>
      </c>
      <c r="GN81">
        <f t="shared" si="101"/>
        <v>1664.01</v>
      </c>
      <c r="GO81">
        <f t="shared" si="102"/>
        <v>0</v>
      </c>
      <c r="GP81">
        <f t="shared" si="103"/>
        <v>0</v>
      </c>
      <c r="GR81">
        <v>0</v>
      </c>
      <c r="GS81">
        <v>4</v>
      </c>
      <c r="GT81">
        <v>0</v>
      </c>
      <c r="GU81" t="s">
        <v>3</v>
      </c>
      <c r="GV81">
        <f t="shared" si="104"/>
        <v>0</v>
      </c>
      <c r="GW81">
        <v>1</v>
      </c>
      <c r="GX81">
        <f t="shared" si="105"/>
        <v>0</v>
      </c>
      <c r="HA81">
        <v>0</v>
      </c>
      <c r="HB81">
        <v>0</v>
      </c>
      <c r="HC81">
        <f t="shared" si="106"/>
        <v>0</v>
      </c>
      <c r="HE81" t="s">
        <v>3</v>
      </c>
      <c r="HF81" t="s">
        <v>3</v>
      </c>
      <c r="HM81" t="s">
        <v>3</v>
      </c>
      <c r="IK81">
        <v>0</v>
      </c>
    </row>
    <row r="82" spans="1:245">
      <c r="A82">
        <v>17</v>
      </c>
      <c r="B82">
        <v>1</v>
      </c>
      <c r="C82">
        <f>ROW(SmtRes!A104)</f>
        <v>104</v>
      </c>
      <c r="D82">
        <f>ROW(EtalonRes!A103)</f>
        <v>103</v>
      </c>
      <c r="E82" t="s">
        <v>175</v>
      </c>
      <c r="F82" t="s">
        <v>176</v>
      </c>
      <c r="G82" t="s">
        <v>177</v>
      </c>
      <c r="H82" t="s">
        <v>178</v>
      </c>
      <c r="I82">
        <v>3</v>
      </c>
      <c r="J82">
        <v>0</v>
      </c>
      <c r="K82">
        <v>3</v>
      </c>
      <c r="O82">
        <f t="shared" si="70"/>
        <v>5148.16</v>
      </c>
      <c r="P82">
        <f t="shared" si="71"/>
        <v>1614.28</v>
      </c>
      <c r="Q82">
        <f t="shared" si="72"/>
        <v>358.18</v>
      </c>
      <c r="R82">
        <f t="shared" si="73"/>
        <v>0</v>
      </c>
      <c r="S82">
        <f t="shared" si="74"/>
        <v>3175.7</v>
      </c>
      <c r="T82">
        <f t="shared" si="75"/>
        <v>0</v>
      </c>
      <c r="U82">
        <f t="shared" si="76"/>
        <v>9.5909999999999993</v>
      </c>
      <c r="V82">
        <f t="shared" si="77"/>
        <v>0</v>
      </c>
      <c r="W82">
        <f t="shared" si="78"/>
        <v>0</v>
      </c>
      <c r="X82">
        <f t="shared" si="79"/>
        <v>2572.3200000000002</v>
      </c>
      <c r="Y82">
        <f t="shared" si="80"/>
        <v>2286.5</v>
      </c>
      <c r="AA82">
        <v>35683522</v>
      </c>
      <c r="AB82">
        <f t="shared" si="81"/>
        <v>99.4255</v>
      </c>
      <c r="AC82">
        <f t="shared" si="107"/>
        <v>52.91</v>
      </c>
      <c r="AD82">
        <f>ROUND(((((ET82*1.25))-((EU82*1.25)))+AE82),6)</f>
        <v>14.35</v>
      </c>
      <c r="AE82">
        <f>ROUND(((EU82*1.25)),6)</f>
        <v>0</v>
      </c>
      <c r="AF82">
        <f>ROUND(((EV82*1.15)),6)</f>
        <v>32.165500000000002</v>
      </c>
      <c r="AG82">
        <f t="shared" si="84"/>
        <v>0</v>
      </c>
      <c r="AH82">
        <f>((EW82*1.15))</f>
        <v>3.1969999999999996</v>
      </c>
      <c r="AI82">
        <f>((EX82*1.25))</f>
        <v>0</v>
      </c>
      <c r="AJ82">
        <f t="shared" si="86"/>
        <v>0</v>
      </c>
      <c r="AK82">
        <v>92.36</v>
      </c>
      <c r="AL82">
        <v>52.91</v>
      </c>
      <c r="AM82">
        <v>11.48</v>
      </c>
      <c r="AN82">
        <v>0</v>
      </c>
      <c r="AO82">
        <v>27.97</v>
      </c>
      <c r="AP82">
        <v>0</v>
      </c>
      <c r="AQ82">
        <v>2.78</v>
      </c>
      <c r="AR82">
        <v>0</v>
      </c>
      <c r="AS82">
        <v>0</v>
      </c>
      <c r="AT82">
        <v>81</v>
      </c>
      <c r="AU82">
        <v>72</v>
      </c>
      <c r="AV82">
        <v>1</v>
      </c>
      <c r="AW82">
        <v>1</v>
      </c>
      <c r="AZ82">
        <v>1</v>
      </c>
      <c r="BA82">
        <v>32.909999999999997</v>
      </c>
      <c r="BB82">
        <v>8.32</v>
      </c>
      <c r="BC82">
        <v>10.17</v>
      </c>
      <c r="BD82" t="s">
        <v>3</v>
      </c>
      <c r="BE82" t="s">
        <v>3</v>
      </c>
      <c r="BF82" t="s">
        <v>3</v>
      </c>
      <c r="BG82" t="s">
        <v>3</v>
      </c>
      <c r="BH82">
        <v>0</v>
      </c>
      <c r="BI82">
        <v>1</v>
      </c>
      <c r="BJ82" t="s">
        <v>179</v>
      </c>
      <c r="BM82">
        <v>9001</v>
      </c>
      <c r="BN82">
        <v>0</v>
      </c>
      <c r="BO82" t="s">
        <v>176</v>
      </c>
      <c r="BP82">
        <v>1</v>
      </c>
      <c r="BQ82">
        <v>2</v>
      </c>
      <c r="BR82">
        <v>0</v>
      </c>
      <c r="BS82">
        <v>32.909999999999997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90</v>
      </c>
      <c r="CA82">
        <v>85</v>
      </c>
      <c r="CB82" t="s">
        <v>3</v>
      </c>
      <c r="CE82">
        <v>0</v>
      </c>
      <c r="CF82">
        <v>0</v>
      </c>
      <c r="CG82">
        <v>0</v>
      </c>
      <c r="CM82">
        <v>0</v>
      </c>
      <c r="CN82" t="s">
        <v>611</v>
      </c>
      <c r="CO82">
        <v>0</v>
      </c>
      <c r="CP82">
        <f t="shared" si="87"/>
        <v>5148.16</v>
      </c>
      <c r="CQ82">
        <f t="shared" si="88"/>
        <v>538.09469999999999</v>
      </c>
      <c r="CR82">
        <f t="shared" si="89"/>
        <v>119.392</v>
      </c>
      <c r="CS82">
        <f t="shared" si="90"/>
        <v>0</v>
      </c>
      <c r="CT82">
        <f t="shared" si="91"/>
        <v>1058.566605</v>
      </c>
      <c r="CU82">
        <f t="shared" si="92"/>
        <v>0</v>
      </c>
      <c r="CV82">
        <f t="shared" si="93"/>
        <v>3.1969999999999996</v>
      </c>
      <c r="CW82">
        <f t="shared" si="94"/>
        <v>0</v>
      </c>
      <c r="CX82">
        <f t="shared" si="95"/>
        <v>0</v>
      </c>
      <c r="CY82">
        <f t="shared" si="96"/>
        <v>2572.317</v>
      </c>
      <c r="CZ82">
        <f t="shared" si="97"/>
        <v>2286.5039999999999</v>
      </c>
      <c r="DC82" t="s">
        <v>3</v>
      </c>
      <c r="DD82" t="s">
        <v>3</v>
      </c>
      <c r="DE82" t="s">
        <v>143</v>
      </c>
      <c r="DF82" t="s">
        <v>143</v>
      </c>
      <c r="DG82" t="s">
        <v>144</v>
      </c>
      <c r="DH82" t="s">
        <v>3</v>
      </c>
      <c r="DI82" t="s">
        <v>144</v>
      </c>
      <c r="DJ82" t="s">
        <v>143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1013</v>
      </c>
      <c r="DV82" t="s">
        <v>178</v>
      </c>
      <c r="DW82" t="s">
        <v>178</v>
      </c>
      <c r="DX82">
        <v>1</v>
      </c>
      <c r="DZ82" t="s">
        <v>3</v>
      </c>
      <c r="EA82" t="s">
        <v>3</v>
      </c>
      <c r="EB82" t="s">
        <v>3</v>
      </c>
      <c r="EC82" t="s">
        <v>3</v>
      </c>
      <c r="EE82">
        <v>36260425</v>
      </c>
      <c r="EF82">
        <v>2</v>
      </c>
      <c r="EG82" t="s">
        <v>118</v>
      </c>
      <c r="EH82">
        <v>0</v>
      </c>
      <c r="EI82" t="s">
        <v>3</v>
      </c>
      <c r="EJ82">
        <v>1</v>
      </c>
      <c r="EK82">
        <v>9001</v>
      </c>
      <c r="EL82" t="s">
        <v>127</v>
      </c>
      <c r="EM82" t="s">
        <v>128</v>
      </c>
      <c r="EO82" t="s">
        <v>145</v>
      </c>
      <c r="EQ82">
        <v>0</v>
      </c>
      <c r="ER82">
        <v>92.36</v>
      </c>
      <c r="ES82">
        <v>52.91</v>
      </c>
      <c r="ET82">
        <v>11.48</v>
      </c>
      <c r="EU82">
        <v>0</v>
      </c>
      <c r="EV82">
        <v>27.97</v>
      </c>
      <c r="EW82">
        <v>2.78</v>
      </c>
      <c r="EX82">
        <v>0</v>
      </c>
      <c r="EY82">
        <v>0</v>
      </c>
      <c r="FQ82">
        <v>0</v>
      </c>
      <c r="FR82">
        <f t="shared" si="98"/>
        <v>0</v>
      </c>
      <c r="FS82">
        <v>0</v>
      </c>
      <c r="FT82" t="s">
        <v>121</v>
      </c>
      <c r="FU82" t="s">
        <v>122</v>
      </c>
      <c r="FX82">
        <v>81</v>
      </c>
      <c r="FY82">
        <v>72.25</v>
      </c>
      <c r="GA82" t="s">
        <v>3</v>
      </c>
      <c r="GD82">
        <v>1</v>
      </c>
      <c r="GF82">
        <v>1443116531</v>
      </c>
      <c r="GG82">
        <v>2</v>
      </c>
      <c r="GH82">
        <v>1</v>
      </c>
      <c r="GI82">
        <v>2</v>
      </c>
      <c r="GJ82">
        <v>0</v>
      </c>
      <c r="GK82">
        <v>0</v>
      </c>
      <c r="GL82">
        <f t="shared" si="99"/>
        <v>0</v>
      </c>
      <c r="GM82">
        <f t="shared" si="100"/>
        <v>10006.98</v>
      </c>
      <c r="GN82">
        <f t="shared" si="101"/>
        <v>10006.98</v>
      </c>
      <c r="GO82">
        <f t="shared" si="102"/>
        <v>0</v>
      </c>
      <c r="GP82">
        <f t="shared" si="103"/>
        <v>0</v>
      </c>
      <c r="GR82">
        <v>0</v>
      </c>
      <c r="GS82">
        <v>3</v>
      </c>
      <c r="GT82">
        <v>0</v>
      </c>
      <c r="GU82" t="s">
        <v>3</v>
      </c>
      <c r="GV82">
        <f t="shared" si="104"/>
        <v>0</v>
      </c>
      <c r="GW82">
        <v>1</v>
      </c>
      <c r="GX82">
        <f t="shared" si="105"/>
        <v>0</v>
      </c>
      <c r="HA82">
        <v>0</v>
      </c>
      <c r="HB82">
        <v>0</v>
      </c>
      <c r="HC82">
        <f t="shared" si="106"/>
        <v>0</v>
      </c>
      <c r="HE82" t="s">
        <v>3</v>
      </c>
      <c r="HF82" t="s">
        <v>3</v>
      </c>
      <c r="HM82" t="s">
        <v>3</v>
      </c>
      <c r="IK82">
        <v>0</v>
      </c>
    </row>
    <row r="83" spans="1:245">
      <c r="A83">
        <v>18</v>
      </c>
      <c r="B83">
        <v>1</v>
      </c>
      <c r="C83">
        <v>103</v>
      </c>
      <c r="E83" t="s">
        <v>180</v>
      </c>
      <c r="F83" t="s">
        <v>181</v>
      </c>
      <c r="G83" t="s">
        <v>182</v>
      </c>
      <c r="H83" t="s">
        <v>23</v>
      </c>
      <c r="I83">
        <f>I82*J83</f>
        <v>0</v>
      </c>
      <c r="J83">
        <v>0</v>
      </c>
      <c r="K83">
        <v>0</v>
      </c>
      <c r="O83">
        <f t="shared" si="70"/>
        <v>0</v>
      </c>
      <c r="P83">
        <f t="shared" si="71"/>
        <v>0</v>
      </c>
      <c r="Q83">
        <f t="shared" si="72"/>
        <v>0</v>
      </c>
      <c r="R83">
        <f t="shared" si="73"/>
        <v>0</v>
      </c>
      <c r="S83">
        <f t="shared" si="74"/>
        <v>0</v>
      </c>
      <c r="T83">
        <f t="shared" si="75"/>
        <v>0</v>
      </c>
      <c r="U83">
        <f t="shared" si="76"/>
        <v>0</v>
      </c>
      <c r="V83">
        <f t="shared" si="77"/>
        <v>0</v>
      </c>
      <c r="W83">
        <f t="shared" si="78"/>
        <v>0</v>
      </c>
      <c r="X83">
        <f t="shared" si="79"/>
        <v>0</v>
      </c>
      <c r="Y83">
        <f t="shared" si="80"/>
        <v>0</v>
      </c>
      <c r="AA83">
        <v>35683522</v>
      </c>
      <c r="AB83">
        <f t="shared" si="81"/>
        <v>4729.26</v>
      </c>
      <c r="AC83">
        <f t="shared" si="107"/>
        <v>4729.26</v>
      </c>
      <c r="AD83">
        <f>ROUND((((ET83)-(EU83))+AE83),6)</f>
        <v>0</v>
      </c>
      <c r="AE83">
        <f t="shared" ref="AE83:AF85" si="108">ROUND((EU83),6)</f>
        <v>0</v>
      </c>
      <c r="AF83">
        <f t="shared" si="108"/>
        <v>0</v>
      </c>
      <c r="AG83">
        <f t="shared" si="84"/>
        <v>0</v>
      </c>
      <c r="AH83">
        <f t="shared" ref="AH83:AI85" si="109">(EW83)</f>
        <v>0</v>
      </c>
      <c r="AI83">
        <f t="shared" si="109"/>
        <v>0</v>
      </c>
      <c r="AJ83">
        <f t="shared" si="86"/>
        <v>0</v>
      </c>
      <c r="AK83">
        <v>4729.26</v>
      </c>
      <c r="AL83">
        <v>4729.26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81</v>
      </c>
      <c r="AU83">
        <v>72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3.1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183</v>
      </c>
      <c r="BM83">
        <v>9001</v>
      </c>
      <c r="BN83">
        <v>0</v>
      </c>
      <c r="BO83" t="s">
        <v>181</v>
      </c>
      <c r="BP83">
        <v>1</v>
      </c>
      <c r="BQ83">
        <v>2</v>
      </c>
      <c r="BR83">
        <v>1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90</v>
      </c>
      <c r="CA83">
        <v>85</v>
      </c>
      <c r="CB83" t="s">
        <v>3</v>
      </c>
      <c r="CE83">
        <v>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87"/>
        <v>0</v>
      </c>
      <c r="CQ83">
        <f t="shared" si="88"/>
        <v>14660.706000000002</v>
      </c>
      <c r="CR83">
        <f t="shared" si="89"/>
        <v>0</v>
      </c>
      <c r="CS83">
        <f t="shared" si="90"/>
        <v>0</v>
      </c>
      <c r="CT83">
        <f t="shared" si="91"/>
        <v>0</v>
      </c>
      <c r="CU83">
        <f t="shared" si="92"/>
        <v>0</v>
      </c>
      <c r="CV83">
        <f t="shared" si="93"/>
        <v>0</v>
      </c>
      <c r="CW83">
        <f t="shared" si="94"/>
        <v>0</v>
      </c>
      <c r="CX83">
        <f t="shared" si="95"/>
        <v>0</v>
      </c>
      <c r="CY83">
        <f t="shared" si="96"/>
        <v>0</v>
      </c>
      <c r="CZ83">
        <f t="shared" si="97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1010</v>
      </c>
      <c r="DV83" t="s">
        <v>23</v>
      </c>
      <c r="DW83" t="s">
        <v>23</v>
      </c>
      <c r="DX83">
        <v>1</v>
      </c>
      <c r="DZ83" t="s">
        <v>3</v>
      </c>
      <c r="EA83" t="s">
        <v>3</v>
      </c>
      <c r="EB83" t="s">
        <v>3</v>
      </c>
      <c r="EC83" t="s">
        <v>3</v>
      </c>
      <c r="EE83">
        <v>36260425</v>
      </c>
      <c r="EF83">
        <v>2</v>
      </c>
      <c r="EG83" t="s">
        <v>118</v>
      </c>
      <c r="EH83">
        <v>0</v>
      </c>
      <c r="EI83" t="s">
        <v>3</v>
      </c>
      <c r="EJ83">
        <v>1</v>
      </c>
      <c r="EK83">
        <v>9001</v>
      </c>
      <c r="EL83" t="s">
        <v>127</v>
      </c>
      <c r="EM83" t="s">
        <v>128</v>
      </c>
      <c r="EO83" t="s">
        <v>3</v>
      </c>
      <c r="EQ83">
        <v>0</v>
      </c>
      <c r="ER83">
        <v>4729.26</v>
      </c>
      <c r="ES83">
        <v>4729.26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98"/>
        <v>0</v>
      </c>
      <c r="FS83">
        <v>0</v>
      </c>
      <c r="FT83" t="s">
        <v>121</v>
      </c>
      <c r="FU83" t="s">
        <v>122</v>
      </c>
      <c r="FX83">
        <v>81</v>
      </c>
      <c r="FY83">
        <v>72.25</v>
      </c>
      <c r="GA83" t="s">
        <v>3</v>
      </c>
      <c r="GD83">
        <v>1</v>
      </c>
      <c r="GF83">
        <v>-629368040</v>
      </c>
      <c r="GG83">
        <v>2</v>
      </c>
      <c r="GH83">
        <v>1</v>
      </c>
      <c r="GI83">
        <v>2</v>
      </c>
      <c r="GJ83">
        <v>0</v>
      </c>
      <c r="GK83">
        <v>0</v>
      </c>
      <c r="GL83">
        <f t="shared" si="99"/>
        <v>0</v>
      </c>
      <c r="GM83">
        <f t="shared" si="100"/>
        <v>0</v>
      </c>
      <c r="GN83">
        <f t="shared" si="101"/>
        <v>0</v>
      </c>
      <c r="GO83">
        <f t="shared" si="102"/>
        <v>0</v>
      </c>
      <c r="GP83">
        <f t="shared" si="103"/>
        <v>0</v>
      </c>
      <c r="GR83">
        <v>0</v>
      </c>
      <c r="GS83">
        <v>3</v>
      </c>
      <c r="GT83">
        <v>0</v>
      </c>
      <c r="GU83" t="s">
        <v>3</v>
      </c>
      <c r="GV83">
        <f t="shared" si="104"/>
        <v>0</v>
      </c>
      <c r="GW83">
        <v>1</v>
      </c>
      <c r="GX83">
        <f t="shared" si="105"/>
        <v>0</v>
      </c>
      <c r="HA83">
        <v>0</v>
      </c>
      <c r="HB83">
        <v>0</v>
      </c>
      <c r="HC83">
        <f t="shared" si="106"/>
        <v>0</v>
      </c>
      <c r="HE83" t="s">
        <v>3</v>
      </c>
      <c r="HF83" t="s">
        <v>3</v>
      </c>
      <c r="HM83" t="s">
        <v>3</v>
      </c>
      <c r="IK83">
        <v>0</v>
      </c>
    </row>
    <row r="84" spans="1:245">
      <c r="A84">
        <v>18</v>
      </c>
      <c r="B84">
        <v>1</v>
      </c>
      <c r="C84">
        <v>104</v>
      </c>
      <c r="E84" t="s">
        <v>184</v>
      </c>
      <c r="F84" t="s">
        <v>185</v>
      </c>
      <c r="G84" t="s">
        <v>186</v>
      </c>
      <c r="H84" t="s">
        <v>23</v>
      </c>
      <c r="I84">
        <f>I82*J84</f>
        <v>1</v>
      </c>
      <c r="J84">
        <v>0.33333333333333331</v>
      </c>
      <c r="K84">
        <v>0.33333299999999999</v>
      </c>
      <c r="O84">
        <f t="shared" si="70"/>
        <v>17974.59</v>
      </c>
      <c r="P84">
        <f t="shared" si="71"/>
        <v>17974.59</v>
      </c>
      <c r="Q84">
        <f t="shared" si="72"/>
        <v>0</v>
      </c>
      <c r="R84">
        <f t="shared" si="73"/>
        <v>0</v>
      </c>
      <c r="S84">
        <f t="shared" si="74"/>
        <v>0</v>
      </c>
      <c r="T84">
        <f t="shared" si="75"/>
        <v>0</v>
      </c>
      <c r="U84">
        <f t="shared" si="76"/>
        <v>0</v>
      </c>
      <c r="V84">
        <f t="shared" si="77"/>
        <v>0</v>
      </c>
      <c r="W84">
        <f t="shared" si="78"/>
        <v>4.4800000000000004</v>
      </c>
      <c r="X84">
        <f t="shared" si="79"/>
        <v>0</v>
      </c>
      <c r="Y84">
        <f t="shared" si="80"/>
        <v>0</v>
      </c>
      <c r="AA84">
        <v>35683522</v>
      </c>
      <c r="AB84">
        <f t="shared" si="81"/>
        <v>5688.16</v>
      </c>
      <c r="AC84">
        <f t="shared" si="107"/>
        <v>5688.16</v>
      </c>
      <c r="AD84">
        <f>ROUND((((ET84)-(EU84))+AE84),6)</f>
        <v>0</v>
      </c>
      <c r="AE84">
        <f t="shared" si="108"/>
        <v>0</v>
      </c>
      <c r="AF84">
        <f t="shared" si="108"/>
        <v>0</v>
      </c>
      <c r="AG84">
        <f t="shared" si="84"/>
        <v>0</v>
      </c>
      <c r="AH84">
        <f t="shared" si="109"/>
        <v>0</v>
      </c>
      <c r="AI84">
        <f t="shared" si="109"/>
        <v>0</v>
      </c>
      <c r="AJ84">
        <f t="shared" si="86"/>
        <v>4.4800000000000004</v>
      </c>
      <c r="AK84">
        <v>5688.16</v>
      </c>
      <c r="AL84">
        <v>5688.16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4.4800000000000004</v>
      </c>
      <c r="AT84">
        <v>81</v>
      </c>
      <c r="AU84">
        <v>72</v>
      </c>
      <c r="AV84">
        <v>1</v>
      </c>
      <c r="AW84">
        <v>1</v>
      </c>
      <c r="AZ84">
        <v>1</v>
      </c>
      <c r="BA84">
        <v>1</v>
      </c>
      <c r="BB84">
        <v>1</v>
      </c>
      <c r="BC84">
        <v>3.16</v>
      </c>
      <c r="BD84" t="s">
        <v>3</v>
      </c>
      <c r="BE84" t="s">
        <v>3</v>
      </c>
      <c r="BF84" t="s">
        <v>3</v>
      </c>
      <c r="BG84" t="s">
        <v>3</v>
      </c>
      <c r="BH84">
        <v>3</v>
      </c>
      <c r="BI84">
        <v>1</v>
      </c>
      <c r="BJ84" t="s">
        <v>187</v>
      </c>
      <c r="BM84">
        <v>9001</v>
      </c>
      <c r="BN84">
        <v>0</v>
      </c>
      <c r="BO84" t="s">
        <v>185</v>
      </c>
      <c r="BP84">
        <v>1</v>
      </c>
      <c r="BQ84">
        <v>2</v>
      </c>
      <c r="BR84">
        <v>0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90</v>
      </c>
      <c r="CA84">
        <v>85</v>
      </c>
      <c r="CB84" t="s">
        <v>3</v>
      </c>
      <c r="CE84">
        <v>0</v>
      </c>
      <c r="CF84">
        <v>0</v>
      </c>
      <c r="CG84">
        <v>0</v>
      </c>
      <c r="CM84">
        <v>0</v>
      </c>
      <c r="CN84" t="s">
        <v>3</v>
      </c>
      <c r="CO84">
        <v>0</v>
      </c>
      <c r="CP84">
        <f t="shared" si="87"/>
        <v>17974.59</v>
      </c>
      <c r="CQ84">
        <f t="shared" si="88"/>
        <v>17974.585600000002</v>
      </c>
      <c r="CR84">
        <f t="shared" si="89"/>
        <v>0</v>
      </c>
      <c r="CS84">
        <f t="shared" si="90"/>
        <v>0</v>
      </c>
      <c r="CT84">
        <f t="shared" si="91"/>
        <v>0</v>
      </c>
      <c r="CU84">
        <f t="shared" si="92"/>
        <v>0</v>
      </c>
      <c r="CV84">
        <f t="shared" si="93"/>
        <v>0</v>
      </c>
      <c r="CW84">
        <f t="shared" si="94"/>
        <v>0</v>
      </c>
      <c r="CX84">
        <f t="shared" si="95"/>
        <v>4.4800000000000004</v>
      </c>
      <c r="CY84">
        <f t="shared" si="96"/>
        <v>0</v>
      </c>
      <c r="CZ84">
        <f t="shared" si="97"/>
        <v>0</v>
      </c>
      <c r="DC84" t="s">
        <v>3</v>
      </c>
      <c r="DD84" t="s">
        <v>3</v>
      </c>
      <c r="DE84" t="s">
        <v>3</v>
      </c>
      <c r="DF84" t="s">
        <v>3</v>
      </c>
      <c r="DG84" t="s">
        <v>3</v>
      </c>
      <c r="DH84" t="s">
        <v>3</v>
      </c>
      <c r="DI84" t="s">
        <v>3</v>
      </c>
      <c r="DJ84" t="s">
        <v>3</v>
      </c>
      <c r="DK84" t="s">
        <v>3</v>
      </c>
      <c r="DL84" t="s">
        <v>3</v>
      </c>
      <c r="DM84" t="s">
        <v>3</v>
      </c>
      <c r="DN84">
        <v>0</v>
      </c>
      <c r="DO84">
        <v>0</v>
      </c>
      <c r="DP84">
        <v>1</v>
      </c>
      <c r="DQ84">
        <v>1</v>
      </c>
      <c r="DU84">
        <v>1010</v>
      </c>
      <c r="DV84" t="s">
        <v>23</v>
      </c>
      <c r="DW84" t="s">
        <v>23</v>
      </c>
      <c r="DX84">
        <v>1</v>
      </c>
      <c r="DZ84" t="s">
        <v>3</v>
      </c>
      <c r="EA84" t="s">
        <v>3</v>
      </c>
      <c r="EB84" t="s">
        <v>3</v>
      </c>
      <c r="EC84" t="s">
        <v>3</v>
      </c>
      <c r="EE84">
        <v>36260425</v>
      </c>
      <c r="EF84">
        <v>2</v>
      </c>
      <c r="EG84" t="s">
        <v>118</v>
      </c>
      <c r="EH84">
        <v>0</v>
      </c>
      <c r="EI84" t="s">
        <v>3</v>
      </c>
      <c r="EJ84">
        <v>1</v>
      </c>
      <c r="EK84">
        <v>9001</v>
      </c>
      <c r="EL84" t="s">
        <v>127</v>
      </c>
      <c r="EM84" t="s">
        <v>128</v>
      </c>
      <c r="EO84" t="s">
        <v>3</v>
      </c>
      <c r="EQ84">
        <v>0</v>
      </c>
      <c r="ER84">
        <v>5688.16</v>
      </c>
      <c r="ES84">
        <v>5688.16</v>
      </c>
      <c r="ET84">
        <v>0</v>
      </c>
      <c r="EU84">
        <v>0</v>
      </c>
      <c r="EV84">
        <v>0</v>
      </c>
      <c r="EW84">
        <v>0</v>
      </c>
      <c r="EX84">
        <v>0</v>
      </c>
      <c r="FQ84">
        <v>0</v>
      </c>
      <c r="FR84">
        <f t="shared" si="98"/>
        <v>0</v>
      </c>
      <c r="FS84">
        <v>0</v>
      </c>
      <c r="FT84" t="s">
        <v>121</v>
      </c>
      <c r="FU84" t="s">
        <v>122</v>
      </c>
      <c r="FX84">
        <v>81</v>
      </c>
      <c r="FY84">
        <v>72.25</v>
      </c>
      <c r="GA84" t="s">
        <v>3</v>
      </c>
      <c r="GD84">
        <v>1</v>
      </c>
      <c r="GF84">
        <v>594655363</v>
      </c>
      <c r="GG84">
        <v>2</v>
      </c>
      <c r="GH84">
        <v>1</v>
      </c>
      <c r="GI84">
        <v>2</v>
      </c>
      <c r="GJ84">
        <v>0</v>
      </c>
      <c r="GK84">
        <v>0</v>
      </c>
      <c r="GL84">
        <f t="shared" si="99"/>
        <v>0</v>
      </c>
      <c r="GM84">
        <f t="shared" si="100"/>
        <v>17974.59</v>
      </c>
      <c r="GN84">
        <f t="shared" si="101"/>
        <v>17974.59</v>
      </c>
      <c r="GO84">
        <f t="shared" si="102"/>
        <v>0</v>
      </c>
      <c r="GP84">
        <f t="shared" si="103"/>
        <v>0</v>
      </c>
      <c r="GR84">
        <v>0</v>
      </c>
      <c r="GS84">
        <v>3</v>
      </c>
      <c r="GT84">
        <v>0</v>
      </c>
      <c r="GU84" t="s">
        <v>3</v>
      </c>
      <c r="GV84">
        <f t="shared" si="104"/>
        <v>0</v>
      </c>
      <c r="GW84">
        <v>1</v>
      </c>
      <c r="GX84">
        <f t="shared" si="105"/>
        <v>0</v>
      </c>
      <c r="HA84">
        <v>0</v>
      </c>
      <c r="HB84">
        <v>0</v>
      </c>
      <c r="HC84">
        <f t="shared" si="106"/>
        <v>0</v>
      </c>
      <c r="HE84" t="s">
        <v>3</v>
      </c>
      <c r="HF84" t="s">
        <v>3</v>
      </c>
      <c r="HM84" t="s">
        <v>3</v>
      </c>
      <c r="IK84">
        <v>0</v>
      </c>
    </row>
    <row r="85" spans="1:245">
      <c r="A85">
        <v>18</v>
      </c>
      <c r="B85">
        <v>1</v>
      </c>
      <c r="C85">
        <v>99</v>
      </c>
      <c r="E85" t="s">
        <v>188</v>
      </c>
      <c r="F85" t="s">
        <v>189</v>
      </c>
      <c r="G85" t="s">
        <v>190</v>
      </c>
      <c r="H85" t="s">
        <v>191</v>
      </c>
      <c r="I85">
        <f>I82*J85</f>
        <v>1</v>
      </c>
      <c r="J85">
        <v>0.33333333333333331</v>
      </c>
      <c r="K85">
        <v>0.33333299999999999</v>
      </c>
      <c r="O85">
        <f t="shared" si="70"/>
        <v>612.64</v>
      </c>
      <c r="P85">
        <f t="shared" si="71"/>
        <v>612.64</v>
      </c>
      <c r="Q85">
        <f t="shared" si="72"/>
        <v>0</v>
      </c>
      <c r="R85">
        <f t="shared" si="73"/>
        <v>0</v>
      </c>
      <c r="S85">
        <f t="shared" si="74"/>
        <v>0</v>
      </c>
      <c r="T85">
        <f t="shared" si="75"/>
        <v>0</v>
      </c>
      <c r="U85">
        <f t="shared" si="76"/>
        <v>0</v>
      </c>
      <c r="V85">
        <f t="shared" si="77"/>
        <v>0</v>
      </c>
      <c r="W85">
        <f t="shared" si="78"/>
        <v>0.08</v>
      </c>
      <c r="X85">
        <f t="shared" si="79"/>
        <v>0</v>
      </c>
      <c r="Y85">
        <f t="shared" si="80"/>
        <v>0</v>
      </c>
      <c r="AA85">
        <v>35683522</v>
      </c>
      <c r="AB85">
        <f t="shared" si="81"/>
        <v>94.69</v>
      </c>
      <c r="AC85">
        <f t="shared" si="107"/>
        <v>94.69</v>
      </c>
      <c r="AD85">
        <f>ROUND((((ET85)-(EU85))+AE85),6)</f>
        <v>0</v>
      </c>
      <c r="AE85">
        <f t="shared" si="108"/>
        <v>0</v>
      </c>
      <c r="AF85">
        <f t="shared" si="108"/>
        <v>0</v>
      </c>
      <c r="AG85">
        <f t="shared" si="84"/>
        <v>0</v>
      </c>
      <c r="AH85">
        <f t="shared" si="109"/>
        <v>0</v>
      </c>
      <c r="AI85">
        <f t="shared" si="109"/>
        <v>0</v>
      </c>
      <c r="AJ85">
        <f t="shared" si="86"/>
        <v>0.08</v>
      </c>
      <c r="AK85">
        <v>94.69</v>
      </c>
      <c r="AL85">
        <v>94.69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0.08</v>
      </c>
      <c r="AT85">
        <v>81</v>
      </c>
      <c r="AU85">
        <v>72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6.47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192</v>
      </c>
      <c r="BM85">
        <v>9001</v>
      </c>
      <c r="BN85">
        <v>0</v>
      </c>
      <c r="BO85" t="s">
        <v>189</v>
      </c>
      <c r="BP85">
        <v>1</v>
      </c>
      <c r="BQ85">
        <v>2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90</v>
      </c>
      <c r="CA85">
        <v>85</v>
      </c>
      <c r="CB85" t="s">
        <v>3</v>
      </c>
      <c r="CE85">
        <v>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87"/>
        <v>612.64</v>
      </c>
      <c r="CQ85">
        <f t="shared" si="88"/>
        <v>612.64429999999993</v>
      </c>
      <c r="CR85">
        <f t="shared" si="89"/>
        <v>0</v>
      </c>
      <c r="CS85">
        <f t="shared" si="90"/>
        <v>0</v>
      </c>
      <c r="CT85">
        <f t="shared" si="91"/>
        <v>0</v>
      </c>
      <c r="CU85">
        <f t="shared" si="92"/>
        <v>0</v>
      </c>
      <c r="CV85">
        <f t="shared" si="93"/>
        <v>0</v>
      </c>
      <c r="CW85">
        <f t="shared" si="94"/>
        <v>0</v>
      </c>
      <c r="CX85">
        <f t="shared" si="95"/>
        <v>0.08</v>
      </c>
      <c r="CY85">
        <f t="shared" si="96"/>
        <v>0</v>
      </c>
      <c r="CZ85">
        <f t="shared" si="97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1013</v>
      </c>
      <c r="DV85" t="s">
        <v>191</v>
      </c>
      <c r="DW85" t="s">
        <v>191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36260425</v>
      </c>
      <c r="EF85">
        <v>2</v>
      </c>
      <c r="EG85" t="s">
        <v>118</v>
      </c>
      <c r="EH85">
        <v>0</v>
      </c>
      <c r="EI85" t="s">
        <v>3</v>
      </c>
      <c r="EJ85">
        <v>1</v>
      </c>
      <c r="EK85">
        <v>9001</v>
      </c>
      <c r="EL85" t="s">
        <v>127</v>
      </c>
      <c r="EM85" t="s">
        <v>128</v>
      </c>
      <c r="EO85" t="s">
        <v>3</v>
      </c>
      <c r="EQ85">
        <v>0</v>
      </c>
      <c r="ER85">
        <v>94.69</v>
      </c>
      <c r="ES85">
        <v>94.69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f t="shared" si="98"/>
        <v>0</v>
      </c>
      <c r="FS85">
        <v>0</v>
      </c>
      <c r="FT85" t="s">
        <v>121</v>
      </c>
      <c r="FU85" t="s">
        <v>122</v>
      </c>
      <c r="FX85">
        <v>81</v>
      </c>
      <c r="FY85">
        <v>72.25</v>
      </c>
      <c r="GA85" t="s">
        <v>3</v>
      </c>
      <c r="GD85">
        <v>1</v>
      </c>
      <c r="GF85">
        <v>1265058672</v>
      </c>
      <c r="GG85">
        <v>2</v>
      </c>
      <c r="GH85">
        <v>1</v>
      </c>
      <c r="GI85">
        <v>2</v>
      </c>
      <c r="GJ85">
        <v>0</v>
      </c>
      <c r="GK85">
        <v>0</v>
      </c>
      <c r="GL85">
        <f t="shared" si="99"/>
        <v>0</v>
      </c>
      <c r="GM85">
        <f t="shared" si="100"/>
        <v>612.64</v>
      </c>
      <c r="GN85">
        <f t="shared" si="101"/>
        <v>612.64</v>
      </c>
      <c r="GO85">
        <f t="shared" si="102"/>
        <v>0</v>
      </c>
      <c r="GP85">
        <f t="shared" si="103"/>
        <v>0</v>
      </c>
      <c r="GR85">
        <v>0</v>
      </c>
      <c r="GS85">
        <v>3</v>
      </c>
      <c r="GT85">
        <v>0</v>
      </c>
      <c r="GU85" t="s">
        <v>3</v>
      </c>
      <c r="GV85">
        <f t="shared" si="104"/>
        <v>0</v>
      </c>
      <c r="GW85">
        <v>1</v>
      </c>
      <c r="GX85">
        <f t="shared" si="105"/>
        <v>0</v>
      </c>
      <c r="HA85">
        <v>0</v>
      </c>
      <c r="HB85">
        <v>0</v>
      </c>
      <c r="HC85">
        <f t="shared" si="106"/>
        <v>0</v>
      </c>
      <c r="HE85" t="s">
        <v>3</v>
      </c>
      <c r="HF85" t="s">
        <v>3</v>
      </c>
      <c r="HM85" t="s">
        <v>3</v>
      </c>
      <c r="IK85">
        <v>0</v>
      </c>
    </row>
    <row r="86" spans="1:245">
      <c r="A86">
        <v>17</v>
      </c>
      <c r="B86">
        <v>1</v>
      </c>
      <c r="C86">
        <f>ROW(SmtRes!A112)</f>
        <v>112</v>
      </c>
      <c r="D86">
        <f>ROW(EtalonRes!A111)</f>
        <v>111</v>
      </c>
      <c r="E86" t="s">
        <v>193</v>
      </c>
      <c r="F86" t="s">
        <v>194</v>
      </c>
      <c r="G86" t="s">
        <v>195</v>
      </c>
      <c r="H86" t="s">
        <v>196</v>
      </c>
      <c r="I86">
        <v>1</v>
      </c>
      <c r="J86">
        <v>0</v>
      </c>
      <c r="K86">
        <v>1</v>
      </c>
      <c r="O86">
        <f t="shared" si="70"/>
        <v>446.46</v>
      </c>
      <c r="P86">
        <f t="shared" si="71"/>
        <v>6.31</v>
      </c>
      <c r="Q86">
        <f t="shared" si="72"/>
        <v>23.46</v>
      </c>
      <c r="R86">
        <f t="shared" si="73"/>
        <v>0</v>
      </c>
      <c r="S86">
        <f t="shared" si="74"/>
        <v>416.69</v>
      </c>
      <c r="T86">
        <f t="shared" si="75"/>
        <v>0</v>
      </c>
      <c r="U86">
        <f t="shared" si="76"/>
        <v>1.2765</v>
      </c>
      <c r="V86">
        <f t="shared" si="77"/>
        <v>0</v>
      </c>
      <c r="W86">
        <f t="shared" si="78"/>
        <v>0</v>
      </c>
      <c r="X86">
        <f t="shared" si="79"/>
        <v>337.52</v>
      </c>
      <c r="Y86">
        <f t="shared" si="80"/>
        <v>300.02</v>
      </c>
      <c r="AA86">
        <v>35683522</v>
      </c>
      <c r="AB86">
        <f t="shared" si="81"/>
        <v>16.928999999999998</v>
      </c>
      <c r="AC86">
        <f t="shared" si="107"/>
        <v>0.68</v>
      </c>
      <c r="AD86">
        <f>ROUND(((((ET86*1.25))-((EU86*1.25)))+AE86),6)</f>
        <v>3.5874999999999999</v>
      </c>
      <c r="AE86">
        <f>ROUND(((EU86*1.25)),6)</f>
        <v>0</v>
      </c>
      <c r="AF86">
        <f>ROUND(((EV86*1.15)),6)</f>
        <v>12.6615</v>
      </c>
      <c r="AG86">
        <f t="shared" si="84"/>
        <v>0</v>
      </c>
      <c r="AH86">
        <f>((EW86*1.15))</f>
        <v>1.2765</v>
      </c>
      <c r="AI86">
        <f>((EX86*1.25))</f>
        <v>0</v>
      </c>
      <c r="AJ86">
        <f t="shared" si="86"/>
        <v>0</v>
      </c>
      <c r="AK86">
        <v>14.56</v>
      </c>
      <c r="AL86">
        <v>0.68</v>
      </c>
      <c r="AM86">
        <v>2.87</v>
      </c>
      <c r="AN86">
        <v>0</v>
      </c>
      <c r="AO86">
        <v>11.01</v>
      </c>
      <c r="AP86">
        <v>0</v>
      </c>
      <c r="AQ86">
        <v>1.1100000000000001</v>
      </c>
      <c r="AR86">
        <v>0</v>
      </c>
      <c r="AS86">
        <v>0</v>
      </c>
      <c r="AT86">
        <v>81</v>
      </c>
      <c r="AU86">
        <v>72</v>
      </c>
      <c r="AV86">
        <v>1</v>
      </c>
      <c r="AW86">
        <v>1</v>
      </c>
      <c r="AZ86">
        <v>1</v>
      </c>
      <c r="BA86">
        <v>32.909999999999997</v>
      </c>
      <c r="BB86">
        <v>6.54</v>
      </c>
      <c r="BC86">
        <v>9.2799999999999994</v>
      </c>
      <c r="BD86" t="s">
        <v>3</v>
      </c>
      <c r="BE86" t="s">
        <v>3</v>
      </c>
      <c r="BF86" t="s">
        <v>3</v>
      </c>
      <c r="BG86" t="s">
        <v>3</v>
      </c>
      <c r="BH86">
        <v>0</v>
      </c>
      <c r="BI86">
        <v>1</v>
      </c>
      <c r="BJ86" t="s">
        <v>197</v>
      </c>
      <c r="BM86">
        <v>9001</v>
      </c>
      <c r="BN86">
        <v>0</v>
      </c>
      <c r="BO86" t="s">
        <v>194</v>
      </c>
      <c r="BP86">
        <v>1</v>
      </c>
      <c r="BQ86">
        <v>2</v>
      </c>
      <c r="BR86">
        <v>0</v>
      </c>
      <c r="BS86">
        <v>32.909999999999997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90</v>
      </c>
      <c r="CA86">
        <v>85</v>
      </c>
      <c r="CB86" t="s">
        <v>3</v>
      </c>
      <c r="CE86">
        <v>0</v>
      </c>
      <c r="CF86">
        <v>0</v>
      </c>
      <c r="CG86">
        <v>0</v>
      </c>
      <c r="CM86">
        <v>0</v>
      </c>
      <c r="CN86" t="s">
        <v>611</v>
      </c>
      <c r="CO86">
        <v>0</v>
      </c>
      <c r="CP86">
        <f t="shared" si="87"/>
        <v>446.46</v>
      </c>
      <c r="CQ86">
        <f t="shared" si="88"/>
        <v>6.3104000000000005</v>
      </c>
      <c r="CR86">
        <f t="shared" si="89"/>
        <v>23.462250000000001</v>
      </c>
      <c r="CS86">
        <f t="shared" si="90"/>
        <v>0</v>
      </c>
      <c r="CT86">
        <f t="shared" si="91"/>
        <v>416.68996499999997</v>
      </c>
      <c r="CU86">
        <f t="shared" si="92"/>
        <v>0</v>
      </c>
      <c r="CV86">
        <f t="shared" si="93"/>
        <v>1.2765</v>
      </c>
      <c r="CW86">
        <f t="shared" si="94"/>
        <v>0</v>
      </c>
      <c r="CX86">
        <f t="shared" si="95"/>
        <v>0</v>
      </c>
      <c r="CY86">
        <f t="shared" si="96"/>
        <v>337.51889999999997</v>
      </c>
      <c r="CZ86">
        <f t="shared" si="97"/>
        <v>300.01679999999999</v>
      </c>
      <c r="DC86" t="s">
        <v>3</v>
      </c>
      <c r="DD86" t="s">
        <v>3</v>
      </c>
      <c r="DE86" t="s">
        <v>143</v>
      </c>
      <c r="DF86" t="s">
        <v>143</v>
      </c>
      <c r="DG86" t="s">
        <v>144</v>
      </c>
      <c r="DH86" t="s">
        <v>3</v>
      </c>
      <c r="DI86" t="s">
        <v>144</v>
      </c>
      <c r="DJ86" t="s">
        <v>143</v>
      </c>
      <c r="DK86" t="s">
        <v>3</v>
      </c>
      <c r="DL86" t="s">
        <v>3</v>
      </c>
      <c r="DM86" t="s">
        <v>3</v>
      </c>
      <c r="DN86">
        <v>0</v>
      </c>
      <c r="DO86">
        <v>0</v>
      </c>
      <c r="DP86">
        <v>1</v>
      </c>
      <c r="DQ86">
        <v>1</v>
      </c>
      <c r="DU86">
        <v>1013</v>
      </c>
      <c r="DV86" t="s">
        <v>196</v>
      </c>
      <c r="DW86" t="s">
        <v>196</v>
      </c>
      <c r="DX86">
        <v>1</v>
      </c>
      <c r="DZ86" t="s">
        <v>3</v>
      </c>
      <c r="EA86" t="s">
        <v>3</v>
      </c>
      <c r="EB86" t="s">
        <v>3</v>
      </c>
      <c r="EC86" t="s">
        <v>3</v>
      </c>
      <c r="EE86">
        <v>36260425</v>
      </c>
      <c r="EF86">
        <v>2</v>
      </c>
      <c r="EG86" t="s">
        <v>118</v>
      </c>
      <c r="EH86">
        <v>0</v>
      </c>
      <c r="EI86" t="s">
        <v>3</v>
      </c>
      <c r="EJ86">
        <v>1</v>
      </c>
      <c r="EK86">
        <v>9001</v>
      </c>
      <c r="EL86" t="s">
        <v>127</v>
      </c>
      <c r="EM86" t="s">
        <v>128</v>
      </c>
      <c r="EO86" t="s">
        <v>145</v>
      </c>
      <c r="EQ86">
        <v>0</v>
      </c>
      <c r="ER86">
        <v>14.56</v>
      </c>
      <c r="ES86">
        <v>0.68</v>
      </c>
      <c r="ET86">
        <v>2.87</v>
      </c>
      <c r="EU86">
        <v>0</v>
      </c>
      <c r="EV86">
        <v>11.01</v>
      </c>
      <c r="EW86">
        <v>1.1100000000000001</v>
      </c>
      <c r="EX86">
        <v>0</v>
      </c>
      <c r="EY86">
        <v>0</v>
      </c>
      <c r="FQ86">
        <v>0</v>
      </c>
      <c r="FR86">
        <f t="shared" si="98"/>
        <v>0</v>
      </c>
      <c r="FS86">
        <v>0</v>
      </c>
      <c r="FT86" t="s">
        <v>121</v>
      </c>
      <c r="FU86" t="s">
        <v>122</v>
      </c>
      <c r="FX86">
        <v>81</v>
      </c>
      <c r="FY86">
        <v>72.25</v>
      </c>
      <c r="GA86" t="s">
        <v>3</v>
      </c>
      <c r="GD86">
        <v>1</v>
      </c>
      <c r="GF86">
        <v>-829130922</v>
      </c>
      <c r="GG86">
        <v>2</v>
      </c>
      <c r="GH86">
        <v>1</v>
      </c>
      <c r="GI86">
        <v>2</v>
      </c>
      <c r="GJ86">
        <v>0</v>
      </c>
      <c r="GK86">
        <v>0</v>
      </c>
      <c r="GL86">
        <f t="shared" si="99"/>
        <v>0</v>
      </c>
      <c r="GM86">
        <f t="shared" si="100"/>
        <v>1084</v>
      </c>
      <c r="GN86">
        <f t="shared" si="101"/>
        <v>1084</v>
      </c>
      <c r="GO86">
        <f t="shared" si="102"/>
        <v>0</v>
      </c>
      <c r="GP86">
        <f t="shared" si="103"/>
        <v>0</v>
      </c>
      <c r="GR86">
        <v>0</v>
      </c>
      <c r="GS86">
        <v>3</v>
      </c>
      <c r="GT86">
        <v>0</v>
      </c>
      <c r="GU86" t="s">
        <v>3</v>
      </c>
      <c r="GV86">
        <f t="shared" si="104"/>
        <v>0</v>
      </c>
      <c r="GW86">
        <v>1</v>
      </c>
      <c r="GX86">
        <f t="shared" si="105"/>
        <v>0</v>
      </c>
      <c r="HA86">
        <v>0</v>
      </c>
      <c r="HB86">
        <v>0</v>
      </c>
      <c r="HC86">
        <f t="shared" si="106"/>
        <v>0</v>
      </c>
      <c r="HE86" t="s">
        <v>3</v>
      </c>
      <c r="HF86" t="s">
        <v>3</v>
      </c>
      <c r="HM86" t="s">
        <v>3</v>
      </c>
      <c r="IK86">
        <v>0</v>
      </c>
    </row>
    <row r="87" spans="1:245">
      <c r="A87">
        <v>18</v>
      </c>
      <c r="B87">
        <v>1</v>
      </c>
      <c r="C87">
        <v>112</v>
      </c>
      <c r="E87" t="s">
        <v>198</v>
      </c>
      <c r="F87" t="s">
        <v>199</v>
      </c>
      <c r="G87" t="s">
        <v>200</v>
      </c>
      <c r="H87" t="s">
        <v>3</v>
      </c>
      <c r="I87">
        <f>I86*J87</f>
        <v>1</v>
      </c>
      <c r="J87">
        <v>1</v>
      </c>
      <c r="K87">
        <v>1</v>
      </c>
      <c r="O87">
        <f t="shared" si="70"/>
        <v>2458.33</v>
      </c>
      <c r="P87">
        <f t="shared" si="71"/>
        <v>2458.33</v>
      </c>
      <c r="Q87">
        <f t="shared" si="72"/>
        <v>0</v>
      </c>
      <c r="R87">
        <f t="shared" si="73"/>
        <v>0</v>
      </c>
      <c r="S87">
        <f t="shared" si="74"/>
        <v>0</v>
      </c>
      <c r="T87">
        <f t="shared" si="75"/>
        <v>0</v>
      </c>
      <c r="U87">
        <f t="shared" si="76"/>
        <v>0</v>
      </c>
      <c r="V87">
        <f t="shared" si="77"/>
        <v>0</v>
      </c>
      <c r="W87">
        <f t="shared" si="78"/>
        <v>0</v>
      </c>
      <c r="X87">
        <f t="shared" si="79"/>
        <v>0</v>
      </c>
      <c r="Y87">
        <f t="shared" si="80"/>
        <v>0</v>
      </c>
      <c r="AA87">
        <v>35683522</v>
      </c>
      <c r="AB87">
        <f t="shared" si="81"/>
        <v>2458.33</v>
      </c>
      <c r="AC87">
        <f t="shared" si="107"/>
        <v>2458.33</v>
      </c>
      <c r="AD87">
        <f>ROUND((((ET87)-(EU87))+AE87),6)</f>
        <v>0</v>
      </c>
      <c r="AE87">
        <f>ROUND((EU87),6)</f>
        <v>0</v>
      </c>
      <c r="AF87">
        <f>ROUND((EV87),6)</f>
        <v>0</v>
      </c>
      <c r="AG87">
        <f t="shared" si="84"/>
        <v>0</v>
      </c>
      <c r="AH87">
        <f>(EW87)</f>
        <v>0</v>
      </c>
      <c r="AI87">
        <f>(EX87)</f>
        <v>0</v>
      </c>
      <c r="AJ87">
        <f t="shared" si="86"/>
        <v>0</v>
      </c>
      <c r="AK87">
        <v>2458.33</v>
      </c>
      <c r="AL87">
        <v>2458.33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81</v>
      </c>
      <c r="AU87">
        <v>72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3</v>
      </c>
      <c r="BI87">
        <v>1</v>
      </c>
      <c r="BJ87" t="s">
        <v>3</v>
      </c>
      <c r="BM87">
        <v>9001</v>
      </c>
      <c r="BN87">
        <v>0</v>
      </c>
      <c r="BO87" t="s">
        <v>3</v>
      </c>
      <c r="BP87">
        <v>0</v>
      </c>
      <c r="BQ87">
        <v>2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90</v>
      </c>
      <c r="CA87">
        <v>85</v>
      </c>
      <c r="CB87" t="s">
        <v>3</v>
      </c>
      <c r="CE87">
        <v>0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87"/>
        <v>2458.33</v>
      </c>
      <c r="CQ87">
        <f t="shared" si="88"/>
        <v>2458.33</v>
      </c>
      <c r="CR87">
        <f t="shared" si="89"/>
        <v>0</v>
      </c>
      <c r="CS87">
        <f t="shared" si="90"/>
        <v>0</v>
      </c>
      <c r="CT87">
        <f t="shared" si="91"/>
        <v>0</v>
      </c>
      <c r="CU87">
        <f t="shared" si="92"/>
        <v>0</v>
      </c>
      <c r="CV87">
        <f t="shared" si="93"/>
        <v>0</v>
      </c>
      <c r="CW87">
        <f t="shared" si="94"/>
        <v>0</v>
      </c>
      <c r="CX87">
        <f t="shared" si="95"/>
        <v>0</v>
      </c>
      <c r="CY87">
        <f t="shared" si="96"/>
        <v>0</v>
      </c>
      <c r="CZ87">
        <f t="shared" si="97"/>
        <v>0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Z87" t="s">
        <v>3</v>
      </c>
      <c r="EA87" t="s">
        <v>3</v>
      </c>
      <c r="EB87" t="s">
        <v>3</v>
      </c>
      <c r="EC87" t="s">
        <v>3</v>
      </c>
      <c r="EE87">
        <v>36260425</v>
      </c>
      <c r="EF87">
        <v>2</v>
      </c>
      <c r="EG87" t="s">
        <v>118</v>
      </c>
      <c r="EH87">
        <v>0</v>
      </c>
      <c r="EI87" t="s">
        <v>3</v>
      </c>
      <c r="EJ87">
        <v>1</v>
      </c>
      <c r="EK87">
        <v>9001</v>
      </c>
      <c r="EL87" t="s">
        <v>127</v>
      </c>
      <c r="EM87" t="s">
        <v>128</v>
      </c>
      <c r="EO87" t="s">
        <v>3</v>
      </c>
      <c r="EQ87">
        <v>0</v>
      </c>
      <c r="ER87">
        <v>2458.33</v>
      </c>
      <c r="ES87">
        <v>2458.33</v>
      </c>
      <c r="ET87">
        <v>0</v>
      </c>
      <c r="EU87">
        <v>0</v>
      </c>
      <c r="EV87">
        <v>0</v>
      </c>
      <c r="EW87">
        <v>0</v>
      </c>
      <c r="EX87">
        <v>0</v>
      </c>
      <c r="FQ87">
        <v>0</v>
      </c>
      <c r="FR87">
        <f t="shared" si="98"/>
        <v>0</v>
      </c>
      <c r="FS87">
        <v>0</v>
      </c>
      <c r="FT87" t="s">
        <v>121</v>
      </c>
      <c r="FU87" t="s">
        <v>122</v>
      </c>
      <c r="FX87">
        <v>81</v>
      </c>
      <c r="FY87">
        <v>72.25</v>
      </c>
      <c r="GA87" t="s">
        <v>174</v>
      </c>
      <c r="GD87">
        <v>1</v>
      </c>
      <c r="GF87">
        <v>555867216</v>
      </c>
      <c r="GG87">
        <v>2</v>
      </c>
      <c r="GH87">
        <v>0</v>
      </c>
      <c r="GI87">
        <v>-2</v>
      </c>
      <c r="GJ87">
        <v>0</v>
      </c>
      <c r="GK87">
        <v>0</v>
      </c>
      <c r="GL87">
        <f t="shared" si="99"/>
        <v>0</v>
      </c>
      <c r="GM87">
        <f t="shared" si="100"/>
        <v>2458.33</v>
      </c>
      <c r="GN87">
        <f t="shared" si="101"/>
        <v>2458.33</v>
      </c>
      <c r="GO87">
        <f t="shared" si="102"/>
        <v>0</v>
      </c>
      <c r="GP87">
        <f t="shared" si="103"/>
        <v>0</v>
      </c>
      <c r="GR87">
        <v>0</v>
      </c>
      <c r="GS87">
        <v>4</v>
      </c>
      <c r="GT87">
        <v>0</v>
      </c>
      <c r="GU87" t="s">
        <v>3</v>
      </c>
      <c r="GV87">
        <f t="shared" si="104"/>
        <v>0</v>
      </c>
      <c r="GW87">
        <v>1</v>
      </c>
      <c r="GX87">
        <f t="shared" si="105"/>
        <v>0</v>
      </c>
      <c r="HA87">
        <v>0</v>
      </c>
      <c r="HB87">
        <v>0</v>
      </c>
      <c r="HC87">
        <f t="shared" si="106"/>
        <v>0</v>
      </c>
      <c r="HE87" t="s">
        <v>3</v>
      </c>
      <c r="HF87" t="s">
        <v>3</v>
      </c>
      <c r="HM87" t="s">
        <v>3</v>
      </c>
      <c r="IK87">
        <v>0</v>
      </c>
    </row>
    <row r="88" spans="1:245">
      <c r="A88">
        <v>17</v>
      </c>
      <c r="B88">
        <v>1</v>
      </c>
      <c r="C88">
        <f>ROW(SmtRes!A123)</f>
        <v>123</v>
      </c>
      <c r="D88">
        <f>ROW(EtalonRes!A121)</f>
        <v>121</v>
      </c>
      <c r="E88" t="s">
        <v>201</v>
      </c>
      <c r="F88" t="s">
        <v>202</v>
      </c>
      <c r="G88" t="s">
        <v>203</v>
      </c>
      <c r="H88" t="s">
        <v>204</v>
      </c>
      <c r="I88">
        <f>ROUND(3/100,9)</f>
        <v>0.03</v>
      </c>
      <c r="J88">
        <v>0</v>
      </c>
      <c r="K88">
        <f>ROUND(3/100,9)</f>
        <v>0.03</v>
      </c>
      <c r="O88">
        <f t="shared" si="70"/>
        <v>28159.41</v>
      </c>
      <c r="P88">
        <f t="shared" si="71"/>
        <v>26417.1</v>
      </c>
      <c r="Q88">
        <f t="shared" si="72"/>
        <v>167.64</v>
      </c>
      <c r="R88">
        <f t="shared" si="73"/>
        <v>17.5</v>
      </c>
      <c r="S88">
        <f t="shared" si="74"/>
        <v>1574.67</v>
      </c>
      <c r="T88">
        <f t="shared" si="75"/>
        <v>0</v>
      </c>
      <c r="U88">
        <f t="shared" si="76"/>
        <v>5.537939999999999</v>
      </c>
      <c r="V88">
        <f t="shared" si="77"/>
        <v>3.9375E-2</v>
      </c>
      <c r="W88">
        <f t="shared" si="78"/>
        <v>0</v>
      </c>
      <c r="X88">
        <f t="shared" si="79"/>
        <v>1687.7</v>
      </c>
      <c r="Y88">
        <f t="shared" si="80"/>
        <v>859.77</v>
      </c>
      <c r="AA88">
        <v>35683522</v>
      </c>
      <c r="AB88">
        <f t="shared" si="81"/>
        <v>160629.00349999999</v>
      </c>
      <c r="AC88">
        <f t="shared" si="107"/>
        <v>158375.88</v>
      </c>
      <c r="AD88">
        <f>ROUND(((((ET88*1.25))-((EU88*1.25)))+AE88),6)</f>
        <v>658.2</v>
      </c>
      <c r="AE88">
        <f>ROUND(((EU88*1.25)),6)</f>
        <v>17.725000000000001</v>
      </c>
      <c r="AF88">
        <f>ROUND(((EV88*1.15)),6)</f>
        <v>1594.9235000000001</v>
      </c>
      <c r="AG88">
        <f t="shared" si="84"/>
        <v>0</v>
      </c>
      <c r="AH88">
        <f>((EW88*1.15))</f>
        <v>184.59799999999998</v>
      </c>
      <c r="AI88">
        <f>((EX88*1.25))</f>
        <v>1.3125</v>
      </c>
      <c r="AJ88">
        <f t="shared" si="86"/>
        <v>0</v>
      </c>
      <c r="AK88">
        <v>160289.32999999999</v>
      </c>
      <c r="AL88">
        <v>158375.88</v>
      </c>
      <c r="AM88">
        <v>526.55999999999995</v>
      </c>
      <c r="AN88">
        <v>14.18</v>
      </c>
      <c r="AO88">
        <v>1386.89</v>
      </c>
      <c r="AP88">
        <v>0</v>
      </c>
      <c r="AQ88">
        <v>160.52000000000001</v>
      </c>
      <c r="AR88">
        <v>1.05</v>
      </c>
      <c r="AS88">
        <v>0</v>
      </c>
      <c r="AT88">
        <v>106</v>
      </c>
      <c r="AU88">
        <v>54</v>
      </c>
      <c r="AV88">
        <v>1</v>
      </c>
      <c r="AW88">
        <v>1</v>
      </c>
      <c r="AZ88">
        <v>1</v>
      </c>
      <c r="BA88">
        <v>32.909999999999997</v>
      </c>
      <c r="BB88">
        <v>8.49</v>
      </c>
      <c r="BC88">
        <v>5.56</v>
      </c>
      <c r="BD88" t="s">
        <v>3</v>
      </c>
      <c r="BE88" t="s">
        <v>3</v>
      </c>
      <c r="BF88" t="s">
        <v>3</v>
      </c>
      <c r="BG88" t="s">
        <v>3</v>
      </c>
      <c r="BH88">
        <v>0</v>
      </c>
      <c r="BI88">
        <v>1</v>
      </c>
      <c r="BJ88" t="s">
        <v>205</v>
      </c>
      <c r="BM88">
        <v>10001</v>
      </c>
      <c r="BN88">
        <v>0</v>
      </c>
      <c r="BO88" t="s">
        <v>202</v>
      </c>
      <c r="BP88">
        <v>1</v>
      </c>
      <c r="BQ88">
        <v>2</v>
      </c>
      <c r="BR88">
        <v>0</v>
      </c>
      <c r="BS88">
        <v>32.909999999999997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118</v>
      </c>
      <c r="CA88">
        <v>63</v>
      </c>
      <c r="CB88" t="s">
        <v>3</v>
      </c>
      <c r="CE88">
        <v>0</v>
      </c>
      <c r="CF88">
        <v>0</v>
      </c>
      <c r="CG88">
        <v>0</v>
      </c>
      <c r="CM88">
        <v>0</v>
      </c>
      <c r="CN88" t="s">
        <v>611</v>
      </c>
      <c r="CO88">
        <v>0</v>
      </c>
      <c r="CP88">
        <f t="shared" si="87"/>
        <v>28159.409999999996</v>
      </c>
      <c r="CQ88">
        <f t="shared" si="88"/>
        <v>880569.89279999991</v>
      </c>
      <c r="CR88">
        <f t="shared" si="89"/>
        <v>5588.1180000000004</v>
      </c>
      <c r="CS88">
        <f t="shared" si="90"/>
        <v>583.32974999999999</v>
      </c>
      <c r="CT88">
        <f t="shared" si="91"/>
        <v>52488.932385</v>
      </c>
      <c r="CU88">
        <f t="shared" si="92"/>
        <v>0</v>
      </c>
      <c r="CV88">
        <f t="shared" si="93"/>
        <v>184.59799999999998</v>
      </c>
      <c r="CW88">
        <f t="shared" si="94"/>
        <v>1.3125</v>
      </c>
      <c r="CX88">
        <f t="shared" si="95"/>
        <v>0</v>
      </c>
      <c r="CY88">
        <f t="shared" si="96"/>
        <v>1687.7002000000002</v>
      </c>
      <c r="CZ88">
        <f t="shared" si="97"/>
        <v>859.7718000000001</v>
      </c>
      <c r="DC88" t="s">
        <v>3</v>
      </c>
      <c r="DD88" t="s">
        <v>3</v>
      </c>
      <c r="DE88" t="s">
        <v>143</v>
      </c>
      <c r="DF88" t="s">
        <v>143</v>
      </c>
      <c r="DG88" t="s">
        <v>144</v>
      </c>
      <c r="DH88" t="s">
        <v>3</v>
      </c>
      <c r="DI88" t="s">
        <v>144</v>
      </c>
      <c r="DJ88" t="s">
        <v>143</v>
      </c>
      <c r="DK88" t="s">
        <v>3</v>
      </c>
      <c r="DL88" t="s">
        <v>3</v>
      </c>
      <c r="DM88" t="s">
        <v>3</v>
      </c>
      <c r="DN88">
        <v>0</v>
      </c>
      <c r="DO88">
        <v>0</v>
      </c>
      <c r="DP88">
        <v>1</v>
      </c>
      <c r="DQ88">
        <v>1</v>
      </c>
      <c r="DU88">
        <v>1013</v>
      </c>
      <c r="DV88" t="s">
        <v>204</v>
      </c>
      <c r="DW88" t="s">
        <v>204</v>
      </c>
      <c r="DX88">
        <v>1</v>
      </c>
      <c r="DZ88" t="s">
        <v>3</v>
      </c>
      <c r="EA88" t="s">
        <v>3</v>
      </c>
      <c r="EB88" t="s">
        <v>3</v>
      </c>
      <c r="EC88" t="s">
        <v>3</v>
      </c>
      <c r="EE88">
        <v>36260426</v>
      </c>
      <c r="EF88">
        <v>2</v>
      </c>
      <c r="EG88" t="s">
        <v>118</v>
      </c>
      <c r="EH88">
        <v>0</v>
      </c>
      <c r="EI88" t="s">
        <v>3</v>
      </c>
      <c r="EJ88">
        <v>1</v>
      </c>
      <c r="EK88">
        <v>10001</v>
      </c>
      <c r="EL88" t="s">
        <v>206</v>
      </c>
      <c r="EM88" t="s">
        <v>207</v>
      </c>
      <c r="EO88" t="s">
        <v>145</v>
      </c>
      <c r="EQ88">
        <v>0</v>
      </c>
      <c r="ER88">
        <v>160289.32999999999</v>
      </c>
      <c r="ES88">
        <v>158375.88</v>
      </c>
      <c r="ET88">
        <v>526.55999999999995</v>
      </c>
      <c r="EU88">
        <v>14.18</v>
      </c>
      <c r="EV88">
        <v>1386.89</v>
      </c>
      <c r="EW88">
        <v>160.52000000000001</v>
      </c>
      <c r="EX88">
        <v>1.05</v>
      </c>
      <c r="EY88">
        <v>0</v>
      </c>
      <c r="FQ88">
        <v>0</v>
      </c>
      <c r="FR88">
        <f t="shared" si="98"/>
        <v>0</v>
      </c>
      <c r="FS88">
        <v>0</v>
      </c>
      <c r="FT88" t="s">
        <v>121</v>
      </c>
      <c r="FU88" t="s">
        <v>122</v>
      </c>
      <c r="FX88">
        <v>106.2</v>
      </c>
      <c r="FY88">
        <v>53.55</v>
      </c>
      <c r="GA88" t="s">
        <v>3</v>
      </c>
      <c r="GD88">
        <v>1</v>
      </c>
      <c r="GF88">
        <v>896295378</v>
      </c>
      <c r="GG88">
        <v>2</v>
      </c>
      <c r="GH88">
        <v>1</v>
      </c>
      <c r="GI88">
        <v>2</v>
      </c>
      <c r="GJ88">
        <v>0</v>
      </c>
      <c r="GK88">
        <v>0</v>
      </c>
      <c r="GL88">
        <f t="shared" si="99"/>
        <v>0</v>
      </c>
      <c r="GM88">
        <f t="shared" si="100"/>
        <v>30706.880000000001</v>
      </c>
      <c r="GN88">
        <f t="shared" si="101"/>
        <v>30706.880000000001</v>
      </c>
      <c r="GO88">
        <f t="shared" si="102"/>
        <v>0</v>
      </c>
      <c r="GP88">
        <f t="shared" si="103"/>
        <v>0</v>
      </c>
      <c r="GR88">
        <v>0</v>
      </c>
      <c r="GS88">
        <v>3</v>
      </c>
      <c r="GT88">
        <v>0</v>
      </c>
      <c r="GU88" t="s">
        <v>3</v>
      </c>
      <c r="GV88">
        <f t="shared" si="104"/>
        <v>0</v>
      </c>
      <c r="GW88">
        <v>1</v>
      </c>
      <c r="GX88">
        <f t="shared" si="105"/>
        <v>0</v>
      </c>
      <c r="HA88">
        <v>0</v>
      </c>
      <c r="HB88">
        <v>0</v>
      </c>
      <c r="HC88">
        <f t="shared" si="106"/>
        <v>0</v>
      </c>
      <c r="HE88" t="s">
        <v>3</v>
      </c>
      <c r="HF88" t="s">
        <v>3</v>
      </c>
      <c r="HM88" t="s">
        <v>3</v>
      </c>
      <c r="IK88">
        <v>0</v>
      </c>
    </row>
    <row r="89" spans="1:245">
      <c r="A89">
        <v>18</v>
      </c>
      <c r="B89">
        <v>1</v>
      </c>
      <c r="C89">
        <v>122</v>
      </c>
      <c r="E89" t="s">
        <v>208</v>
      </c>
      <c r="F89" t="s">
        <v>209</v>
      </c>
      <c r="G89" t="s">
        <v>210</v>
      </c>
      <c r="H89" t="s">
        <v>211</v>
      </c>
      <c r="I89">
        <f>I88*J89</f>
        <v>-3</v>
      </c>
      <c r="J89">
        <v>-100</v>
      </c>
      <c r="K89">
        <v>-100</v>
      </c>
      <c r="O89">
        <f t="shared" si="70"/>
        <v>-25720.65</v>
      </c>
      <c r="P89">
        <f t="shared" si="71"/>
        <v>-25720.65</v>
      </c>
      <c r="Q89">
        <f t="shared" si="72"/>
        <v>0</v>
      </c>
      <c r="R89">
        <f t="shared" si="73"/>
        <v>0</v>
      </c>
      <c r="S89">
        <f t="shared" si="74"/>
        <v>0</v>
      </c>
      <c r="T89">
        <f t="shared" si="75"/>
        <v>0</v>
      </c>
      <c r="U89">
        <f t="shared" si="76"/>
        <v>0</v>
      </c>
      <c r="V89">
        <f t="shared" si="77"/>
        <v>0</v>
      </c>
      <c r="W89">
        <f t="shared" si="78"/>
        <v>0</v>
      </c>
      <c r="X89">
        <f t="shared" si="79"/>
        <v>0</v>
      </c>
      <c r="Y89">
        <f t="shared" si="80"/>
        <v>0</v>
      </c>
      <c r="AA89">
        <v>35683522</v>
      </c>
      <c r="AB89">
        <f t="shared" si="81"/>
        <v>1533.73</v>
      </c>
      <c r="AC89">
        <f t="shared" si="107"/>
        <v>1533.73</v>
      </c>
      <c r="AD89">
        <f>ROUND((((ET89)-(EU89))+AE89),6)</f>
        <v>0</v>
      </c>
      <c r="AE89">
        <f>ROUND((EU89),6)</f>
        <v>0</v>
      </c>
      <c r="AF89">
        <f>ROUND((EV89),6)</f>
        <v>0</v>
      </c>
      <c r="AG89">
        <f t="shared" si="84"/>
        <v>0</v>
      </c>
      <c r="AH89">
        <f>(EW89)</f>
        <v>0</v>
      </c>
      <c r="AI89">
        <f>(EX89)</f>
        <v>0</v>
      </c>
      <c r="AJ89">
        <f t="shared" si="86"/>
        <v>0</v>
      </c>
      <c r="AK89">
        <v>1533.73</v>
      </c>
      <c r="AL89">
        <v>1533.73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106</v>
      </c>
      <c r="AU89">
        <v>54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5.59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212</v>
      </c>
      <c r="BM89">
        <v>10001</v>
      </c>
      <c r="BN89">
        <v>0</v>
      </c>
      <c r="BO89" t="s">
        <v>209</v>
      </c>
      <c r="BP89">
        <v>1</v>
      </c>
      <c r="BQ89">
        <v>2</v>
      </c>
      <c r="BR89">
        <v>1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118</v>
      </c>
      <c r="CA89">
        <v>63</v>
      </c>
      <c r="CB89" t="s">
        <v>3</v>
      </c>
      <c r="CE89">
        <v>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87"/>
        <v>-25720.65</v>
      </c>
      <c r="CQ89">
        <f t="shared" si="88"/>
        <v>8573.5506999999998</v>
      </c>
      <c r="CR89">
        <f t="shared" si="89"/>
        <v>0</v>
      </c>
      <c r="CS89">
        <f t="shared" si="90"/>
        <v>0</v>
      </c>
      <c r="CT89">
        <f t="shared" si="91"/>
        <v>0</v>
      </c>
      <c r="CU89">
        <f t="shared" si="92"/>
        <v>0</v>
      </c>
      <c r="CV89">
        <f t="shared" si="93"/>
        <v>0</v>
      </c>
      <c r="CW89">
        <f t="shared" si="94"/>
        <v>0</v>
      </c>
      <c r="CX89">
        <f t="shared" si="95"/>
        <v>0</v>
      </c>
      <c r="CY89">
        <f t="shared" si="96"/>
        <v>0</v>
      </c>
      <c r="CZ89">
        <f t="shared" si="97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1005</v>
      </c>
      <c r="DV89" t="s">
        <v>211</v>
      </c>
      <c r="DW89" t="s">
        <v>211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36260426</v>
      </c>
      <c r="EF89">
        <v>2</v>
      </c>
      <c r="EG89" t="s">
        <v>118</v>
      </c>
      <c r="EH89">
        <v>0</v>
      </c>
      <c r="EI89" t="s">
        <v>3</v>
      </c>
      <c r="EJ89">
        <v>1</v>
      </c>
      <c r="EK89">
        <v>10001</v>
      </c>
      <c r="EL89" t="s">
        <v>206</v>
      </c>
      <c r="EM89" t="s">
        <v>207</v>
      </c>
      <c r="EO89" t="s">
        <v>3</v>
      </c>
      <c r="EQ89">
        <v>0</v>
      </c>
      <c r="ER89">
        <v>1533.73</v>
      </c>
      <c r="ES89">
        <v>1533.73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f t="shared" si="98"/>
        <v>0</v>
      </c>
      <c r="FS89">
        <v>0</v>
      </c>
      <c r="FT89" t="s">
        <v>121</v>
      </c>
      <c r="FU89" t="s">
        <v>122</v>
      </c>
      <c r="FX89">
        <v>106.2</v>
      </c>
      <c r="FY89">
        <v>53.55</v>
      </c>
      <c r="GA89" t="s">
        <v>3</v>
      </c>
      <c r="GD89">
        <v>1</v>
      </c>
      <c r="GF89">
        <v>920196250</v>
      </c>
      <c r="GG89">
        <v>2</v>
      </c>
      <c r="GH89">
        <v>1</v>
      </c>
      <c r="GI89">
        <v>2</v>
      </c>
      <c r="GJ89">
        <v>0</v>
      </c>
      <c r="GK89">
        <v>0</v>
      </c>
      <c r="GL89">
        <f t="shared" si="99"/>
        <v>0</v>
      </c>
      <c r="GM89">
        <f t="shared" si="100"/>
        <v>-25720.65</v>
      </c>
      <c r="GN89">
        <f t="shared" si="101"/>
        <v>-25720.65</v>
      </c>
      <c r="GO89">
        <f t="shared" si="102"/>
        <v>0</v>
      </c>
      <c r="GP89">
        <f t="shared" si="103"/>
        <v>0</v>
      </c>
      <c r="GR89">
        <v>0</v>
      </c>
      <c r="GS89">
        <v>3</v>
      </c>
      <c r="GT89">
        <v>0</v>
      </c>
      <c r="GU89" t="s">
        <v>3</v>
      </c>
      <c r="GV89">
        <f t="shared" si="104"/>
        <v>0</v>
      </c>
      <c r="GW89">
        <v>1</v>
      </c>
      <c r="GX89">
        <f t="shared" si="105"/>
        <v>0</v>
      </c>
      <c r="HA89">
        <v>0</v>
      </c>
      <c r="HB89">
        <v>0</v>
      </c>
      <c r="HC89">
        <f t="shared" si="106"/>
        <v>0</v>
      </c>
      <c r="HE89" t="s">
        <v>3</v>
      </c>
      <c r="HF89" t="s">
        <v>3</v>
      </c>
      <c r="HM89" t="s">
        <v>3</v>
      </c>
      <c r="IK89">
        <v>0</v>
      </c>
    </row>
    <row r="90" spans="1:245">
      <c r="A90">
        <v>18</v>
      </c>
      <c r="B90">
        <v>1</v>
      </c>
      <c r="C90">
        <v>123</v>
      </c>
      <c r="E90" t="s">
        <v>213</v>
      </c>
      <c r="F90" t="s">
        <v>199</v>
      </c>
      <c r="G90" t="s">
        <v>214</v>
      </c>
      <c r="H90" t="s">
        <v>3</v>
      </c>
      <c r="I90">
        <f>I88*J90</f>
        <v>1</v>
      </c>
      <c r="J90">
        <v>33.333333333333336</v>
      </c>
      <c r="K90">
        <v>33.333333000000003</v>
      </c>
      <c r="O90">
        <f t="shared" si="70"/>
        <v>50000</v>
      </c>
      <c r="P90">
        <f t="shared" si="71"/>
        <v>50000</v>
      </c>
      <c r="Q90">
        <f t="shared" si="72"/>
        <v>0</v>
      </c>
      <c r="R90">
        <f t="shared" si="73"/>
        <v>0</v>
      </c>
      <c r="S90">
        <f t="shared" si="74"/>
        <v>0</v>
      </c>
      <c r="T90">
        <f t="shared" si="75"/>
        <v>0</v>
      </c>
      <c r="U90">
        <f t="shared" si="76"/>
        <v>0</v>
      </c>
      <c r="V90">
        <f t="shared" si="77"/>
        <v>0</v>
      </c>
      <c r="W90">
        <f t="shared" si="78"/>
        <v>0</v>
      </c>
      <c r="X90">
        <f t="shared" si="79"/>
        <v>0</v>
      </c>
      <c r="Y90">
        <f t="shared" si="80"/>
        <v>0</v>
      </c>
      <c r="AA90">
        <v>35683522</v>
      </c>
      <c r="AB90">
        <f t="shared" si="81"/>
        <v>50000</v>
      </c>
      <c r="AC90">
        <f t="shared" si="107"/>
        <v>50000</v>
      </c>
      <c r="AD90">
        <f>ROUND((((ET90)-(EU90))+AE90),6)</f>
        <v>0</v>
      </c>
      <c r="AE90">
        <f>ROUND((EU90),6)</f>
        <v>0</v>
      </c>
      <c r="AF90">
        <f>ROUND((EV90),6)</f>
        <v>0</v>
      </c>
      <c r="AG90">
        <f t="shared" si="84"/>
        <v>0</v>
      </c>
      <c r="AH90">
        <f>(EW90)</f>
        <v>0</v>
      </c>
      <c r="AI90">
        <f>(EX90)</f>
        <v>0</v>
      </c>
      <c r="AJ90">
        <f t="shared" si="86"/>
        <v>0</v>
      </c>
      <c r="AK90">
        <v>50000</v>
      </c>
      <c r="AL90">
        <v>50000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106</v>
      </c>
      <c r="AU90">
        <v>54</v>
      </c>
      <c r="AV90">
        <v>1</v>
      </c>
      <c r="AW90">
        <v>1</v>
      </c>
      <c r="AZ90">
        <v>1</v>
      </c>
      <c r="BA90">
        <v>1</v>
      </c>
      <c r="BB90">
        <v>1</v>
      </c>
      <c r="BC90">
        <v>1</v>
      </c>
      <c r="BD90" t="s">
        <v>3</v>
      </c>
      <c r="BE90" t="s">
        <v>3</v>
      </c>
      <c r="BF90" t="s">
        <v>3</v>
      </c>
      <c r="BG90" t="s">
        <v>3</v>
      </c>
      <c r="BH90">
        <v>3</v>
      </c>
      <c r="BI90">
        <v>1</v>
      </c>
      <c r="BJ90" t="s">
        <v>3</v>
      </c>
      <c r="BM90">
        <v>10001</v>
      </c>
      <c r="BN90">
        <v>0</v>
      </c>
      <c r="BO90" t="s">
        <v>3</v>
      </c>
      <c r="BP90">
        <v>0</v>
      </c>
      <c r="BQ90">
        <v>2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118</v>
      </c>
      <c r="CA90">
        <v>63</v>
      </c>
      <c r="CB90" t="s">
        <v>3</v>
      </c>
      <c r="CE90">
        <v>0</v>
      </c>
      <c r="CF90">
        <v>0</v>
      </c>
      <c r="CG90">
        <v>0</v>
      </c>
      <c r="CM90">
        <v>0</v>
      </c>
      <c r="CN90" t="s">
        <v>3</v>
      </c>
      <c r="CO90">
        <v>0</v>
      </c>
      <c r="CP90">
        <f t="shared" si="87"/>
        <v>50000</v>
      </c>
      <c r="CQ90">
        <f t="shared" si="88"/>
        <v>50000</v>
      </c>
      <c r="CR90">
        <f t="shared" si="89"/>
        <v>0</v>
      </c>
      <c r="CS90">
        <f t="shared" si="90"/>
        <v>0</v>
      </c>
      <c r="CT90">
        <f t="shared" si="91"/>
        <v>0</v>
      </c>
      <c r="CU90">
        <f t="shared" si="92"/>
        <v>0</v>
      </c>
      <c r="CV90">
        <f t="shared" si="93"/>
        <v>0</v>
      </c>
      <c r="CW90">
        <f t="shared" si="94"/>
        <v>0</v>
      </c>
      <c r="CX90">
        <f t="shared" si="95"/>
        <v>0</v>
      </c>
      <c r="CY90">
        <f t="shared" si="96"/>
        <v>0</v>
      </c>
      <c r="CZ90">
        <f t="shared" si="97"/>
        <v>0</v>
      </c>
      <c r="DC90" t="s">
        <v>3</v>
      </c>
      <c r="DD90" t="s">
        <v>3</v>
      </c>
      <c r="DE90" t="s">
        <v>3</v>
      </c>
      <c r="DF90" t="s">
        <v>3</v>
      </c>
      <c r="DG90" t="s">
        <v>3</v>
      </c>
      <c r="DH90" t="s">
        <v>3</v>
      </c>
      <c r="DI90" t="s">
        <v>3</v>
      </c>
      <c r="DJ90" t="s">
        <v>3</v>
      </c>
      <c r="DK90" t="s">
        <v>3</v>
      </c>
      <c r="DL90" t="s">
        <v>3</v>
      </c>
      <c r="DM90" t="s">
        <v>3</v>
      </c>
      <c r="DN90">
        <v>0</v>
      </c>
      <c r="DO90">
        <v>0</v>
      </c>
      <c r="DP90">
        <v>1</v>
      </c>
      <c r="DQ90">
        <v>1</v>
      </c>
      <c r="DZ90" t="s">
        <v>3</v>
      </c>
      <c r="EA90" t="s">
        <v>3</v>
      </c>
      <c r="EB90" t="s">
        <v>3</v>
      </c>
      <c r="EC90" t="s">
        <v>3</v>
      </c>
      <c r="EE90">
        <v>36260426</v>
      </c>
      <c r="EF90">
        <v>2</v>
      </c>
      <c r="EG90" t="s">
        <v>118</v>
      </c>
      <c r="EH90">
        <v>0</v>
      </c>
      <c r="EI90" t="s">
        <v>3</v>
      </c>
      <c r="EJ90">
        <v>1</v>
      </c>
      <c r="EK90">
        <v>10001</v>
      </c>
      <c r="EL90" t="s">
        <v>206</v>
      </c>
      <c r="EM90" t="s">
        <v>207</v>
      </c>
      <c r="EO90" t="s">
        <v>3</v>
      </c>
      <c r="EQ90">
        <v>0</v>
      </c>
      <c r="ER90">
        <v>50000</v>
      </c>
      <c r="ES90">
        <v>50000</v>
      </c>
      <c r="ET90">
        <v>0</v>
      </c>
      <c r="EU90">
        <v>0</v>
      </c>
      <c r="EV90">
        <v>0</v>
      </c>
      <c r="EW90">
        <v>0</v>
      </c>
      <c r="EX90">
        <v>0</v>
      </c>
      <c r="FQ90">
        <v>0</v>
      </c>
      <c r="FR90">
        <f t="shared" si="98"/>
        <v>0</v>
      </c>
      <c r="FS90">
        <v>0</v>
      </c>
      <c r="FT90" t="s">
        <v>121</v>
      </c>
      <c r="FU90" t="s">
        <v>122</v>
      </c>
      <c r="FX90">
        <v>106.2</v>
      </c>
      <c r="FY90">
        <v>53.55</v>
      </c>
      <c r="GA90" t="s">
        <v>174</v>
      </c>
      <c r="GD90">
        <v>1</v>
      </c>
      <c r="GF90">
        <v>-750144056</v>
      </c>
      <c r="GG90">
        <v>2</v>
      </c>
      <c r="GH90">
        <v>0</v>
      </c>
      <c r="GI90">
        <v>-2</v>
      </c>
      <c r="GJ90">
        <v>0</v>
      </c>
      <c r="GK90">
        <v>0</v>
      </c>
      <c r="GL90">
        <f t="shared" si="99"/>
        <v>0</v>
      </c>
      <c r="GM90">
        <f t="shared" si="100"/>
        <v>50000</v>
      </c>
      <c r="GN90">
        <f t="shared" si="101"/>
        <v>50000</v>
      </c>
      <c r="GO90">
        <f t="shared" si="102"/>
        <v>0</v>
      </c>
      <c r="GP90">
        <f t="shared" si="103"/>
        <v>0</v>
      </c>
      <c r="GR90">
        <v>0</v>
      </c>
      <c r="GS90">
        <v>4</v>
      </c>
      <c r="GT90">
        <v>0</v>
      </c>
      <c r="GU90" t="s">
        <v>3</v>
      </c>
      <c r="GV90">
        <f t="shared" si="104"/>
        <v>0</v>
      </c>
      <c r="GW90">
        <v>1</v>
      </c>
      <c r="GX90">
        <f t="shared" si="105"/>
        <v>0</v>
      </c>
      <c r="HA90">
        <v>0</v>
      </c>
      <c r="HB90">
        <v>0</v>
      </c>
      <c r="HC90">
        <f t="shared" si="106"/>
        <v>0</v>
      </c>
      <c r="HE90" t="s">
        <v>3</v>
      </c>
      <c r="HF90" t="s">
        <v>3</v>
      </c>
      <c r="HM90" t="s">
        <v>3</v>
      </c>
      <c r="IK90">
        <v>0</v>
      </c>
    </row>
    <row r="91" spans="1:245">
      <c r="A91">
        <v>17</v>
      </c>
      <c r="B91">
        <v>1</v>
      </c>
      <c r="C91">
        <f>ROW(SmtRes!A128)</f>
        <v>128</v>
      </c>
      <c r="D91">
        <f>ROW(EtalonRes!A126)</f>
        <v>126</v>
      </c>
      <c r="E91" t="s">
        <v>215</v>
      </c>
      <c r="F91" t="s">
        <v>216</v>
      </c>
      <c r="G91" t="s">
        <v>217</v>
      </c>
      <c r="H91" t="s">
        <v>218</v>
      </c>
      <c r="I91">
        <f>ROUND(6.2/100,9)</f>
        <v>6.2E-2</v>
      </c>
      <c r="J91">
        <v>0</v>
      </c>
      <c r="K91">
        <f>ROUND(6.2/100,9)</f>
        <v>6.2E-2</v>
      </c>
      <c r="O91">
        <f t="shared" si="70"/>
        <v>5469.22</v>
      </c>
      <c r="P91">
        <f t="shared" si="71"/>
        <v>948.83</v>
      </c>
      <c r="Q91">
        <f t="shared" si="72"/>
        <v>72.12</v>
      </c>
      <c r="R91">
        <f t="shared" si="73"/>
        <v>70.930000000000007</v>
      </c>
      <c r="S91">
        <f t="shared" si="74"/>
        <v>4448.2700000000004</v>
      </c>
      <c r="T91">
        <f t="shared" si="75"/>
        <v>0</v>
      </c>
      <c r="U91">
        <f t="shared" si="76"/>
        <v>14.549477999999999</v>
      </c>
      <c r="V91">
        <f t="shared" si="77"/>
        <v>0.15965000000000001</v>
      </c>
      <c r="W91">
        <f t="shared" si="78"/>
        <v>0</v>
      </c>
      <c r="X91">
        <f t="shared" si="79"/>
        <v>4293.24</v>
      </c>
      <c r="Y91">
        <f t="shared" si="80"/>
        <v>2124.02</v>
      </c>
      <c r="AA91">
        <v>35683522</v>
      </c>
      <c r="AB91">
        <f t="shared" si="81"/>
        <v>4365.6180000000004</v>
      </c>
      <c r="AC91">
        <f t="shared" si="107"/>
        <v>2105.04</v>
      </c>
      <c r="AD91">
        <f>ROUND(((((ET91*1.25))-((EU91*1.25)))+AE91),6)</f>
        <v>80.5</v>
      </c>
      <c r="AE91">
        <f>ROUND(((EU91*1.25)),6)</f>
        <v>34.762500000000003</v>
      </c>
      <c r="AF91">
        <f>ROUND(((EV91*1.15)),6)</f>
        <v>2180.078</v>
      </c>
      <c r="AG91">
        <f t="shared" si="84"/>
        <v>0</v>
      </c>
      <c r="AH91">
        <f>((EW91*1.15))</f>
        <v>234.66899999999998</v>
      </c>
      <c r="AI91">
        <f>((EX91*1.25))</f>
        <v>2.5750000000000002</v>
      </c>
      <c r="AJ91">
        <f t="shared" si="86"/>
        <v>0</v>
      </c>
      <c r="AK91">
        <v>4065.16</v>
      </c>
      <c r="AL91">
        <v>2105.04</v>
      </c>
      <c r="AM91">
        <v>64.400000000000006</v>
      </c>
      <c r="AN91">
        <v>27.81</v>
      </c>
      <c r="AO91">
        <v>1895.72</v>
      </c>
      <c r="AP91">
        <v>0</v>
      </c>
      <c r="AQ91">
        <v>204.06</v>
      </c>
      <c r="AR91">
        <v>2.06</v>
      </c>
      <c r="AS91">
        <v>0</v>
      </c>
      <c r="AT91">
        <v>95</v>
      </c>
      <c r="AU91">
        <v>47</v>
      </c>
      <c r="AV91">
        <v>1</v>
      </c>
      <c r="AW91">
        <v>1</v>
      </c>
      <c r="AZ91">
        <v>1</v>
      </c>
      <c r="BA91">
        <v>32.909999999999997</v>
      </c>
      <c r="BB91">
        <v>14.45</v>
      </c>
      <c r="BC91">
        <v>7.27</v>
      </c>
      <c r="BD91" t="s">
        <v>3</v>
      </c>
      <c r="BE91" t="s">
        <v>3</v>
      </c>
      <c r="BF91" t="s">
        <v>3</v>
      </c>
      <c r="BG91" t="s">
        <v>3</v>
      </c>
      <c r="BH91">
        <v>0</v>
      </c>
      <c r="BI91">
        <v>1</v>
      </c>
      <c r="BJ91" t="s">
        <v>219</v>
      </c>
      <c r="BM91">
        <v>15001</v>
      </c>
      <c r="BN91">
        <v>0</v>
      </c>
      <c r="BO91" t="s">
        <v>216</v>
      </c>
      <c r="BP91">
        <v>1</v>
      </c>
      <c r="BQ91">
        <v>2</v>
      </c>
      <c r="BR91">
        <v>0</v>
      </c>
      <c r="BS91">
        <v>32.909999999999997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105</v>
      </c>
      <c r="CA91">
        <v>55</v>
      </c>
      <c r="CB91" t="s">
        <v>3</v>
      </c>
      <c r="CE91">
        <v>0</v>
      </c>
      <c r="CF91">
        <v>0</v>
      </c>
      <c r="CG91">
        <v>0</v>
      </c>
      <c r="CM91">
        <v>0</v>
      </c>
      <c r="CN91" t="s">
        <v>611</v>
      </c>
      <c r="CO91">
        <v>0</v>
      </c>
      <c r="CP91">
        <f t="shared" si="87"/>
        <v>5469.22</v>
      </c>
      <c r="CQ91">
        <f t="shared" si="88"/>
        <v>15303.640799999999</v>
      </c>
      <c r="CR91">
        <f t="shared" si="89"/>
        <v>1163.2249999999999</v>
      </c>
      <c r="CS91">
        <f t="shared" si="90"/>
        <v>1144.0338750000001</v>
      </c>
      <c r="CT91">
        <f t="shared" si="91"/>
        <v>71746.366979999992</v>
      </c>
      <c r="CU91">
        <f t="shared" si="92"/>
        <v>0</v>
      </c>
      <c r="CV91">
        <f t="shared" si="93"/>
        <v>234.66899999999998</v>
      </c>
      <c r="CW91">
        <f t="shared" si="94"/>
        <v>2.5750000000000002</v>
      </c>
      <c r="CX91">
        <f t="shared" si="95"/>
        <v>0</v>
      </c>
      <c r="CY91">
        <f t="shared" si="96"/>
        <v>4293.2400000000007</v>
      </c>
      <c r="CZ91">
        <f t="shared" si="97"/>
        <v>2124.0240000000003</v>
      </c>
      <c r="DC91" t="s">
        <v>3</v>
      </c>
      <c r="DD91" t="s">
        <v>3</v>
      </c>
      <c r="DE91" t="s">
        <v>143</v>
      </c>
      <c r="DF91" t="s">
        <v>143</v>
      </c>
      <c r="DG91" t="s">
        <v>144</v>
      </c>
      <c r="DH91" t="s">
        <v>3</v>
      </c>
      <c r="DI91" t="s">
        <v>144</v>
      </c>
      <c r="DJ91" t="s">
        <v>143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1013</v>
      </c>
      <c r="DV91" t="s">
        <v>218</v>
      </c>
      <c r="DW91" t="s">
        <v>218</v>
      </c>
      <c r="DX91">
        <v>1</v>
      </c>
      <c r="DZ91" t="s">
        <v>3</v>
      </c>
      <c r="EA91" t="s">
        <v>3</v>
      </c>
      <c r="EB91" t="s">
        <v>3</v>
      </c>
      <c r="EC91" t="s">
        <v>3</v>
      </c>
      <c r="EE91">
        <v>36260452</v>
      </c>
      <c r="EF91">
        <v>2</v>
      </c>
      <c r="EG91" t="s">
        <v>118</v>
      </c>
      <c r="EH91">
        <v>0</v>
      </c>
      <c r="EI91" t="s">
        <v>3</v>
      </c>
      <c r="EJ91">
        <v>1</v>
      </c>
      <c r="EK91">
        <v>15001</v>
      </c>
      <c r="EL91" t="s">
        <v>220</v>
      </c>
      <c r="EM91" t="s">
        <v>221</v>
      </c>
      <c r="EO91" t="s">
        <v>145</v>
      </c>
      <c r="EQ91">
        <v>0</v>
      </c>
      <c r="ER91">
        <v>4065.16</v>
      </c>
      <c r="ES91">
        <v>2105.04</v>
      </c>
      <c r="ET91">
        <v>64.400000000000006</v>
      </c>
      <c r="EU91">
        <v>27.81</v>
      </c>
      <c r="EV91">
        <v>1895.72</v>
      </c>
      <c r="EW91">
        <v>204.06</v>
      </c>
      <c r="EX91">
        <v>2.06</v>
      </c>
      <c r="EY91">
        <v>0</v>
      </c>
      <c r="FQ91">
        <v>0</v>
      </c>
      <c r="FR91">
        <f t="shared" si="98"/>
        <v>0</v>
      </c>
      <c r="FS91">
        <v>0</v>
      </c>
      <c r="FT91" t="s">
        <v>121</v>
      </c>
      <c r="FU91" t="s">
        <v>122</v>
      </c>
      <c r="FX91">
        <v>94.5</v>
      </c>
      <c r="FY91">
        <v>46.75</v>
      </c>
      <c r="GA91" t="s">
        <v>3</v>
      </c>
      <c r="GD91">
        <v>1</v>
      </c>
      <c r="GF91">
        <v>615183920</v>
      </c>
      <c r="GG91">
        <v>2</v>
      </c>
      <c r="GH91">
        <v>1</v>
      </c>
      <c r="GI91">
        <v>2</v>
      </c>
      <c r="GJ91">
        <v>0</v>
      </c>
      <c r="GK91">
        <v>0</v>
      </c>
      <c r="GL91">
        <f t="shared" si="99"/>
        <v>0</v>
      </c>
      <c r="GM91">
        <f t="shared" si="100"/>
        <v>11886.48</v>
      </c>
      <c r="GN91">
        <f t="shared" si="101"/>
        <v>11886.48</v>
      </c>
      <c r="GO91">
        <f t="shared" si="102"/>
        <v>0</v>
      </c>
      <c r="GP91">
        <f t="shared" si="103"/>
        <v>0</v>
      </c>
      <c r="GR91">
        <v>0</v>
      </c>
      <c r="GS91">
        <v>3</v>
      </c>
      <c r="GT91">
        <v>0</v>
      </c>
      <c r="GU91" t="s">
        <v>3</v>
      </c>
      <c r="GV91">
        <f t="shared" si="104"/>
        <v>0</v>
      </c>
      <c r="GW91">
        <v>1</v>
      </c>
      <c r="GX91">
        <f t="shared" si="105"/>
        <v>0</v>
      </c>
      <c r="HA91">
        <v>0</v>
      </c>
      <c r="HB91">
        <v>0</v>
      </c>
      <c r="HC91">
        <f t="shared" si="106"/>
        <v>0</v>
      </c>
      <c r="HE91" t="s">
        <v>3</v>
      </c>
      <c r="HF91" t="s">
        <v>3</v>
      </c>
      <c r="HM91" t="s">
        <v>3</v>
      </c>
      <c r="IK91">
        <v>0</v>
      </c>
    </row>
    <row r="92" spans="1:245">
      <c r="A92">
        <v>17</v>
      </c>
      <c r="B92">
        <v>1</v>
      </c>
      <c r="C92">
        <f>ROW(SmtRes!A137)</f>
        <v>137</v>
      </c>
      <c r="D92">
        <f>ROW(EtalonRes!A135)</f>
        <v>135</v>
      </c>
      <c r="E92" t="s">
        <v>222</v>
      </c>
      <c r="F92" t="s">
        <v>223</v>
      </c>
      <c r="G92" t="s">
        <v>224</v>
      </c>
      <c r="H92" t="s">
        <v>154</v>
      </c>
      <c r="I92">
        <f>ROUND(6.2/100,9)</f>
        <v>6.2E-2</v>
      </c>
      <c r="J92">
        <v>0</v>
      </c>
      <c r="K92">
        <f>ROUND(6.2/100,9)</f>
        <v>6.2E-2</v>
      </c>
      <c r="O92">
        <f t="shared" si="70"/>
        <v>1276.69</v>
      </c>
      <c r="P92">
        <f t="shared" si="71"/>
        <v>372.04</v>
      </c>
      <c r="Q92">
        <f t="shared" si="72"/>
        <v>11.32</v>
      </c>
      <c r="R92">
        <f t="shared" si="73"/>
        <v>0.59</v>
      </c>
      <c r="S92">
        <f t="shared" si="74"/>
        <v>893.33</v>
      </c>
      <c r="T92">
        <f t="shared" si="75"/>
        <v>0</v>
      </c>
      <c r="U92">
        <f t="shared" si="76"/>
        <v>3.1058280000000003</v>
      </c>
      <c r="V92">
        <f t="shared" si="77"/>
        <v>1.5500000000000002E-3</v>
      </c>
      <c r="W92">
        <f t="shared" si="78"/>
        <v>0</v>
      </c>
      <c r="X92">
        <f t="shared" si="79"/>
        <v>849.22</v>
      </c>
      <c r="Y92">
        <f t="shared" si="80"/>
        <v>420.14</v>
      </c>
      <c r="AA92">
        <v>35683522</v>
      </c>
      <c r="AB92">
        <f t="shared" si="81"/>
        <v>1568.134</v>
      </c>
      <c r="AC92">
        <f t="shared" si="107"/>
        <v>1113.28</v>
      </c>
      <c r="AD92">
        <f>ROUND(((((ET92*1.25))-((EU92*1.25)))+AE92),6)</f>
        <v>17.037500000000001</v>
      </c>
      <c r="AE92">
        <f>ROUND(((EU92*1.25)),6)</f>
        <v>0.28749999999999998</v>
      </c>
      <c r="AF92">
        <f>ROUND(((EV92*1.15)),6)</f>
        <v>437.81650000000002</v>
      </c>
      <c r="AG92">
        <f t="shared" si="84"/>
        <v>0</v>
      </c>
      <c r="AH92">
        <f>((EW92*1.15))</f>
        <v>50.094000000000001</v>
      </c>
      <c r="AI92">
        <f>((EX92*1.25))</f>
        <v>2.5000000000000001E-2</v>
      </c>
      <c r="AJ92">
        <f t="shared" si="86"/>
        <v>0</v>
      </c>
      <c r="AK92">
        <v>1507.62</v>
      </c>
      <c r="AL92">
        <v>1113.28</v>
      </c>
      <c r="AM92">
        <v>13.63</v>
      </c>
      <c r="AN92">
        <v>0.23</v>
      </c>
      <c r="AO92">
        <v>380.71</v>
      </c>
      <c r="AP92">
        <v>0</v>
      </c>
      <c r="AQ92">
        <v>43.56</v>
      </c>
      <c r="AR92">
        <v>0.02</v>
      </c>
      <c r="AS92">
        <v>0</v>
      </c>
      <c r="AT92">
        <v>95</v>
      </c>
      <c r="AU92">
        <v>47</v>
      </c>
      <c r="AV92">
        <v>1</v>
      </c>
      <c r="AW92">
        <v>1</v>
      </c>
      <c r="AZ92">
        <v>1</v>
      </c>
      <c r="BA92">
        <v>32.909999999999997</v>
      </c>
      <c r="BB92">
        <v>10.72</v>
      </c>
      <c r="BC92">
        <v>5.39</v>
      </c>
      <c r="BD92" t="s">
        <v>3</v>
      </c>
      <c r="BE92" t="s">
        <v>3</v>
      </c>
      <c r="BF92" t="s">
        <v>3</v>
      </c>
      <c r="BG92" t="s">
        <v>3</v>
      </c>
      <c r="BH92">
        <v>0</v>
      </c>
      <c r="BI92">
        <v>1</v>
      </c>
      <c r="BJ92" t="s">
        <v>225</v>
      </c>
      <c r="BM92">
        <v>15001</v>
      </c>
      <c r="BN92">
        <v>0</v>
      </c>
      <c r="BO92" t="s">
        <v>223</v>
      </c>
      <c r="BP92">
        <v>1</v>
      </c>
      <c r="BQ92">
        <v>2</v>
      </c>
      <c r="BR92">
        <v>0</v>
      </c>
      <c r="BS92">
        <v>32.909999999999997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3</v>
      </c>
      <c r="BZ92">
        <v>105</v>
      </c>
      <c r="CA92">
        <v>55</v>
      </c>
      <c r="CB92" t="s">
        <v>3</v>
      </c>
      <c r="CE92">
        <v>0</v>
      </c>
      <c r="CF92">
        <v>0</v>
      </c>
      <c r="CG92">
        <v>0</v>
      </c>
      <c r="CM92">
        <v>0</v>
      </c>
      <c r="CN92" t="s">
        <v>611</v>
      </c>
      <c r="CO92">
        <v>0</v>
      </c>
      <c r="CP92">
        <f t="shared" si="87"/>
        <v>1276.69</v>
      </c>
      <c r="CQ92">
        <f t="shared" si="88"/>
        <v>6000.5791999999992</v>
      </c>
      <c r="CR92">
        <f t="shared" si="89"/>
        <v>182.64200000000002</v>
      </c>
      <c r="CS92">
        <f t="shared" si="90"/>
        <v>9.461624999999998</v>
      </c>
      <c r="CT92">
        <f t="shared" si="91"/>
        <v>14408.541014999999</v>
      </c>
      <c r="CU92">
        <f t="shared" si="92"/>
        <v>0</v>
      </c>
      <c r="CV92">
        <f t="shared" si="93"/>
        <v>50.094000000000001</v>
      </c>
      <c r="CW92">
        <f t="shared" si="94"/>
        <v>2.5000000000000001E-2</v>
      </c>
      <c r="CX92">
        <f t="shared" si="95"/>
        <v>0</v>
      </c>
      <c r="CY92">
        <f t="shared" si="96"/>
        <v>849.22400000000005</v>
      </c>
      <c r="CZ92">
        <f t="shared" si="97"/>
        <v>420.14240000000007</v>
      </c>
      <c r="DC92" t="s">
        <v>3</v>
      </c>
      <c r="DD92" t="s">
        <v>3</v>
      </c>
      <c r="DE92" t="s">
        <v>143</v>
      </c>
      <c r="DF92" t="s">
        <v>143</v>
      </c>
      <c r="DG92" t="s">
        <v>144</v>
      </c>
      <c r="DH92" t="s">
        <v>3</v>
      </c>
      <c r="DI92" t="s">
        <v>144</v>
      </c>
      <c r="DJ92" t="s">
        <v>143</v>
      </c>
      <c r="DK92" t="s">
        <v>3</v>
      </c>
      <c r="DL92" t="s">
        <v>3</v>
      </c>
      <c r="DM92" t="s">
        <v>3</v>
      </c>
      <c r="DN92">
        <v>0</v>
      </c>
      <c r="DO92">
        <v>0</v>
      </c>
      <c r="DP92">
        <v>1</v>
      </c>
      <c r="DQ92">
        <v>1</v>
      </c>
      <c r="DU92">
        <v>1005</v>
      </c>
      <c r="DV92" t="s">
        <v>154</v>
      </c>
      <c r="DW92" t="s">
        <v>154</v>
      </c>
      <c r="DX92">
        <v>100</v>
      </c>
      <c r="DZ92" t="s">
        <v>3</v>
      </c>
      <c r="EA92" t="s">
        <v>3</v>
      </c>
      <c r="EB92" t="s">
        <v>3</v>
      </c>
      <c r="EC92" t="s">
        <v>3</v>
      </c>
      <c r="EE92">
        <v>36260452</v>
      </c>
      <c r="EF92">
        <v>2</v>
      </c>
      <c r="EG92" t="s">
        <v>118</v>
      </c>
      <c r="EH92">
        <v>0</v>
      </c>
      <c r="EI92" t="s">
        <v>3</v>
      </c>
      <c r="EJ92">
        <v>1</v>
      </c>
      <c r="EK92">
        <v>15001</v>
      </c>
      <c r="EL92" t="s">
        <v>220</v>
      </c>
      <c r="EM92" t="s">
        <v>221</v>
      </c>
      <c r="EO92" t="s">
        <v>145</v>
      </c>
      <c r="EQ92">
        <v>0</v>
      </c>
      <c r="ER92">
        <v>1507.62</v>
      </c>
      <c r="ES92">
        <v>1113.28</v>
      </c>
      <c r="ET92">
        <v>13.63</v>
      </c>
      <c r="EU92">
        <v>0.23</v>
      </c>
      <c r="EV92">
        <v>380.71</v>
      </c>
      <c r="EW92">
        <v>43.56</v>
      </c>
      <c r="EX92">
        <v>0.02</v>
      </c>
      <c r="EY92">
        <v>0</v>
      </c>
      <c r="FQ92">
        <v>0</v>
      </c>
      <c r="FR92">
        <f t="shared" si="98"/>
        <v>0</v>
      </c>
      <c r="FS92">
        <v>0</v>
      </c>
      <c r="FT92" t="s">
        <v>121</v>
      </c>
      <c r="FU92" t="s">
        <v>122</v>
      </c>
      <c r="FX92">
        <v>94.5</v>
      </c>
      <c r="FY92">
        <v>46.75</v>
      </c>
      <c r="GA92" t="s">
        <v>3</v>
      </c>
      <c r="GD92">
        <v>1</v>
      </c>
      <c r="GF92">
        <v>1725986332</v>
      </c>
      <c r="GG92">
        <v>2</v>
      </c>
      <c r="GH92">
        <v>1</v>
      </c>
      <c r="GI92">
        <v>2</v>
      </c>
      <c r="GJ92">
        <v>0</v>
      </c>
      <c r="GK92">
        <v>0</v>
      </c>
      <c r="GL92">
        <f t="shared" si="99"/>
        <v>0</v>
      </c>
      <c r="GM92">
        <f t="shared" si="100"/>
        <v>2546.0500000000002</v>
      </c>
      <c r="GN92">
        <f t="shared" si="101"/>
        <v>2546.0500000000002</v>
      </c>
      <c r="GO92">
        <f t="shared" si="102"/>
        <v>0</v>
      </c>
      <c r="GP92">
        <f t="shared" si="103"/>
        <v>0</v>
      </c>
      <c r="GR92">
        <v>0</v>
      </c>
      <c r="GS92">
        <v>3</v>
      </c>
      <c r="GT92">
        <v>0</v>
      </c>
      <c r="GU92" t="s">
        <v>3</v>
      </c>
      <c r="GV92">
        <f t="shared" si="104"/>
        <v>0</v>
      </c>
      <c r="GW92">
        <v>1</v>
      </c>
      <c r="GX92">
        <f t="shared" si="105"/>
        <v>0</v>
      </c>
      <c r="HA92">
        <v>0</v>
      </c>
      <c r="HB92">
        <v>0</v>
      </c>
      <c r="HC92">
        <f t="shared" si="106"/>
        <v>0</v>
      </c>
      <c r="HE92" t="s">
        <v>3</v>
      </c>
      <c r="HF92" t="s">
        <v>3</v>
      </c>
      <c r="HM92" t="s">
        <v>3</v>
      </c>
      <c r="IK92">
        <v>0</v>
      </c>
    </row>
    <row r="93" spans="1:245">
      <c r="A93">
        <v>17</v>
      </c>
      <c r="B93">
        <v>1</v>
      </c>
      <c r="C93">
        <f>ROW(SmtRes!A143)</f>
        <v>143</v>
      </c>
      <c r="D93">
        <f>ROW(EtalonRes!A141)</f>
        <v>141</v>
      </c>
      <c r="E93" t="s">
        <v>226</v>
      </c>
      <c r="F93" t="s">
        <v>227</v>
      </c>
      <c r="G93" t="s">
        <v>228</v>
      </c>
      <c r="H93" t="s">
        <v>229</v>
      </c>
      <c r="I93">
        <f>ROUND(3/100,9)</f>
        <v>0.03</v>
      </c>
      <c r="J93">
        <v>0</v>
      </c>
      <c r="K93">
        <f>ROUND(3/100,9)</f>
        <v>0.03</v>
      </c>
      <c r="O93">
        <f t="shared" si="70"/>
        <v>589.05999999999995</v>
      </c>
      <c r="P93">
        <f t="shared" si="71"/>
        <v>209.97</v>
      </c>
      <c r="Q93">
        <f t="shared" si="72"/>
        <v>22.91</v>
      </c>
      <c r="R93">
        <f t="shared" si="73"/>
        <v>21.17</v>
      </c>
      <c r="S93">
        <f t="shared" si="74"/>
        <v>356.18</v>
      </c>
      <c r="T93">
        <f t="shared" si="75"/>
        <v>0</v>
      </c>
      <c r="U93">
        <f t="shared" si="76"/>
        <v>1.3630949999999997</v>
      </c>
      <c r="V93">
        <f t="shared" si="77"/>
        <v>4.7624999999999994E-2</v>
      </c>
      <c r="W93">
        <f t="shared" si="78"/>
        <v>0</v>
      </c>
      <c r="X93">
        <f t="shared" si="79"/>
        <v>418.86</v>
      </c>
      <c r="Y93">
        <f t="shared" si="80"/>
        <v>241.5</v>
      </c>
      <c r="AA93">
        <v>35683522</v>
      </c>
      <c r="AB93">
        <f t="shared" si="81"/>
        <v>1543.1365000000001</v>
      </c>
      <c r="AC93">
        <f t="shared" si="107"/>
        <v>1127.07</v>
      </c>
      <c r="AD93">
        <f>ROUND(((((ET93*1.25))-((EU93*1.25)))+AE93),6)</f>
        <v>55.3</v>
      </c>
      <c r="AE93">
        <f>ROUND(((EU93*1.25)),6)</f>
        <v>21.4375</v>
      </c>
      <c r="AF93">
        <f>ROUND(((EV93*1.15)),6)</f>
        <v>360.76650000000001</v>
      </c>
      <c r="AG93">
        <f t="shared" si="84"/>
        <v>0</v>
      </c>
      <c r="AH93">
        <f>((EW93*1.15))</f>
        <v>45.436499999999995</v>
      </c>
      <c r="AI93">
        <f>((EX93*1.25))</f>
        <v>1.5874999999999999</v>
      </c>
      <c r="AJ93">
        <f t="shared" si="86"/>
        <v>0</v>
      </c>
      <c r="AK93">
        <v>1485.02</v>
      </c>
      <c r="AL93">
        <v>1127.07</v>
      </c>
      <c r="AM93">
        <v>44.24</v>
      </c>
      <c r="AN93">
        <v>17.149999999999999</v>
      </c>
      <c r="AO93">
        <v>313.70999999999998</v>
      </c>
      <c r="AP93">
        <v>0</v>
      </c>
      <c r="AQ93">
        <v>39.51</v>
      </c>
      <c r="AR93">
        <v>1.27</v>
      </c>
      <c r="AS93">
        <v>0</v>
      </c>
      <c r="AT93">
        <v>111</v>
      </c>
      <c r="AU93">
        <v>64</v>
      </c>
      <c r="AV93">
        <v>1</v>
      </c>
      <c r="AW93">
        <v>1</v>
      </c>
      <c r="AZ93">
        <v>1</v>
      </c>
      <c r="BA93">
        <v>32.909999999999997</v>
      </c>
      <c r="BB93">
        <v>13.81</v>
      </c>
      <c r="BC93">
        <v>6.21</v>
      </c>
      <c r="BD93" t="s">
        <v>3</v>
      </c>
      <c r="BE93" t="s">
        <v>3</v>
      </c>
      <c r="BF93" t="s">
        <v>3</v>
      </c>
      <c r="BG93" t="s">
        <v>3</v>
      </c>
      <c r="BH93">
        <v>0</v>
      </c>
      <c r="BI93">
        <v>1</v>
      </c>
      <c r="BJ93" t="s">
        <v>230</v>
      </c>
      <c r="BM93">
        <v>11001</v>
      </c>
      <c r="BN93">
        <v>0</v>
      </c>
      <c r="BO93" t="s">
        <v>227</v>
      </c>
      <c r="BP93">
        <v>1</v>
      </c>
      <c r="BQ93">
        <v>2</v>
      </c>
      <c r="BR93">
        <v>0</v>
      </c>
      <c r="BS93">
        <v>32.909999999999997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123</v>
      </c>
      <c r="CA93">
        <v>75</v>
      </c>
      <c r="CB93" t="s">
        <v>3</v>
      </c>
      <c r="CE93">
        <v>0</v>
      </c>
      <c r="CF93">
        <v>0</v>
      </c>
      <c r="CG93">
        <v>0</v>
      </c>
      <c r="CM93">
        <v>0</v>
      </c>
      <c r="CN93" t="s">
        <v>611</v>
      </c>
      <c r="CO93">
        <v>0</v>
      </c>
      <c r="CP93">
        <f t="shared" si="87"/>
        <v>589.05999999999995</v>
      </c>
      <c r="CQ93">
        <f t="shared" si="88"/>
        <v>6999.1046999999999</v>
      </c>
      <c r="CR93">
        <f t="shared" si="89"/>
        <v>763.69299999999998</v>
      </c>
      <c r="CS93">
        <f t="shared" si="90"/>
        <v>705.50812499999995</v>
      </c>
      <c r="CT93">
        <f t="shared" si="91"/>
        <v>11872.825514999999</v>
      </c>
      <c r="CU93">
        <f t="shared" si="92"/>
        <v>0</v>
      </c>
      <c r="CV93">
        <f t="shared" si="93"/>
        <v>45.436499999999995</v>
      </c>
      <c r="CW93">
        <f t="shared" si="94"/>
        <v>1.5874999999999999</v>
      </c>
      <c r="CX93">
        <f t="shared" si="95"/>
        <v>0</v>
      </c>
      <c r="CY93">
        <f t="shared" si="96"/>
        <v>418.85850000000005</v>
      </c>
      <c r="CZ93">
        <f t="shared" si="97"/>
        <v>241.50400000000002</v>
      </c>
      <c r="DC93" t="s">
        <v>3</v>
      </c>
      <c r="DD93" t="s">
        <v>3</v>
      </c>
      <c r="DE93" t="s">
        <v>143</v>
      </c>
      <c r="DF93" t="s">
        <v>143</v>
      </c>
      <c r="DG93" t="s">
        <v>144</v>
      </c>
      <c r="DH93" t="s">
        <v>3</v>
      </c>
      <c r="DI93" t="s">
        <v>144</v>
      </c>
      <c r="DJ93" t="s">
        <v>143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1013</v>
      </c>
      <c r="DV93" t="s">
        <v>229</v>
      </c>
      <c r="DW93" t="s">
        <v>229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36260427</v>
      </c>
      <c r="EF93">
        <v>2</v>
      </c>
      <c r="EG93" t="s">
        <v>118</v>
      </c>
      <c r="EH93">
        <v>0</v>
      </c>
      <c r="EI93" t="s">
        <v>3</v>
      </c>
      <c r="EJ93">
        <v>1</v>
      </c>
      <c r="EK93">
        <v>11001</v>
      </c>
      <c r="EL93" t="s">
        <v>38</v>
      </c>
      <c r="EM93" t="s">
        <v>231</v>
      </c>
      <c r="EO93" t="s">
        <v>145</v>
      </c>
      <c r="EQ93">
        <v>0</v>
      </c>
      <c r="ER93">
        <v>1485.02</v>
      </c>
      <c r="ES93">
        <v>1127.07</v>
      </c>
      <c r="ET93">
        <v>44.24</v>
      </c>
      <c r="EU93">
        <v>17.149999999999999</v>
      </c>
      <c r="EV93">
        <v>313.70999999999998</v>
      </c>
      <c r="EW93">
        <v>39.51</v>
      </c>
      <c r="EX93">
        <v>1.27</v>
      </c>
      <c r="EY93">
        <v>0</v>
      </c>
      <c r="FQ93">
        <v>0</v>
      </c>
      <c r="FR93">
        <f t="shared" si="98"/>
        <v>0</v>
      </c>
      <c r="FS93">
        <v>0</v>
      </c>
      <c r="FT93" t="s">
        <v>121</v>
      </c>
      <c r="FU93" t="s">
        <v>122</v>
      </c>
      <c r="FX93">
        <v>110.7</v>
      </c>
      <c r="FY93">
        <v>63.75</v>
      </c>
      <c r="GA93" t="s">
        <v>3</v>
      </c>
      <c r="GD93">
        <v>1</v>
      </c>
      <c r="GF93">
        <v>1508705477</v>
      </c>
      <c r="GG93">
        <v>2</v>
      </c>
      <c r="GH93">
        <v>1</v>
      </c>
      <c r="GI93">
        <v>2</v>
      </c>
      <c r="GJ93">
        <v>0</v>
      </c>
      <c r="GK93">
        <v>0</v>
      </c>
      <c r="GL93">
        <f t="shared" si="99"/>
        <v>0</v>
      </c>
      <c r="GM93">
        <f t="shared" si="100"/>
        <v>1249.42</v>
      </c>
      <c r="GN93">
        <f t="shared" si="101"/>
        <v>1249.42</v>
      </c>
      <c r="GO93">
        <f t="shared" si="102"/>
        <v>0</v>
      </c>
      <c r="GP93">
        <f t="shared" si="103"/>
        <v>0</v>
      </c>
      <c r="GR93">
        <v>0</v>
      </c>
      <c r="GS93">
        <v>3</v>
      </c>
      <c r="GT93">
        <v>0</v>
      </c>
      <c r="GU93" t="s">
        <v>3</v>
      </c>
      <c r="GV93">
        <f t="shared" si="104"/>
        <v>0</v>
      </c>
      <c r="GW93">
        <v>1</v>
      </c>
      <c r="GX93">
        <f t="shared" si="105"/>
        <v>0</v>
      </c>
      <c r="HA93">
        <v>0</v>
      </c>
      <c r="HB93">
        <v>0</v>
      </c>
      <c r="HC93">
        <f t="shared" si="106"/>
        <v>0</v>
      </c>
      <c r="HE93" t="s">
        <v>3</v>
      </c>
      <c r="HF93" t="s">
        <v>3</v>
      </c>
      <c r="HM93" t="s">
        <v>3</v>
      </c>
      <c r="IK93">
        <v>0</v>
      </c>
    </row>
    <row r="94" spans="1:245">
      <c r="A94">
        <v>17</v>
      </c>
      <c r="B94">
        <v>1</v>
      </c>
      <c r="C94">
        <f>ROW(SmtRes!A148)</f>
        <v>148</v>
      </c>
      <c r="D94">
        <f>ROW(EtalonRes!A146)</f>
        <v>146</v>
      </c>
      <c r="E94" t="s">
        <v>232</v>
      </c>
      <c r="F94" t="s">
        <v>233</v>
      </c>
      <c r="G94" t="s">
        <v>234</v>
      </c>
      <c r="H94" t="s">
        <v>229</v>
      </c>
      <c r="I94">
        <f>ROUND(3/100,9)</f>
        <v>0.03</v>
      </c>
      <c r="J94">
        <v>0</v>
      </c>
      <c r="K94">
        <f>ROUND(3/100,9)</f>
        <v>0.03</v>
      </c>
      <c r="O94">
        <f t="shared" si="70"/>
        <v>60.35</v>
      </c>
      <c r="P94">
        <f t="shared" si="71"/>
        <v>51.93</v>
      </c>
      <c r="Q94">
        <f t="shared" si="72"/>
        <v>3.91</v>
      </c>
      <c r="R94">
        <f t="shared" si="73"/>
        <v>3.5</v>
      </c>
      <c r="S94">
        <f t="shared" si="74"/>
        <v>4.51</v>
      </c>
      <c r="T94">
        <f t="shared" si="75"/>
        <v>0</v>
      </c>
      <c r="U94">
        <f t="shared" si="76"/>
        <v>1.7249999999999998E-2</v>
      </c>
      <c r="V94">
        <f t="shared" si="77"/>
        <v>7.8750000000000001E-3</v>
      </c>
      <c r="W94">
        <f t="shared" si="78"/>
        <v>0</v>
      </c>
      <c r="X94">
        <f t="shared" si="79"/>
        <v>8.89</v>
      </c>
      <c r="Y94">
        <f t="shared" si="80"/>
        <v>5.13</v>
      </c>
      <c r="AA94">
        <v>35683522</v>
      </c>
      <c r="AB94">
        <f t="shared" si="81"/>
        <v>293.84550000000002</v>
      </c>
      <c r="AC94">
        <f t="shared" si="107"/>
        <v>279.63</v>
      </c>
      <c r="AD94">
        <f>ROUND(((((ET94*1.25))-((EU94*1.25)))+AE94),6)</f>
        <v>9.65</v>
      </c>
      <c r="AE94">
        <f>ROUND(((EU94*1.25)),6)</f>
        <v>3.55</v>
      </c>
      <c r="AF94">
        <f>ROUND(((EV94*1.15)),6)</f>
        <v>4.5655000000000001</v>
      </c>
      <c r="AG94">
        <f t="shared" si="84"/>
        <v>0</v>
      </c>
      <c r="AH94">
        <f>((EW94*1.15))</f>
        <v>0.57499999999999996</v>
      </c>
      <c r="AI94">
        <f>((EX94*1.25))</f>
        <v>0.26250000000000001</v>
      </c>
      <c r="AJ94">
        <f t="shared" si="86"/>
        <v>0</v>
      </c>
      <c r="AK94">
        <v>291.32</v>
      </c>
      <c r="AL94">
        <v>279.63</v>
      </c>
      <c r="AM94">
        <v>7.72</v>
      </c>
      <c r="AN94">
        <v>2.84</v>
      </c>
      <c r="AO94">
        <v>3.97</v>
      </c>
      <c r="AP94">
        <v>0</v>
      </c>
      <c r="AQ94">
        <v>0.5</v>
      </c>
      <c r="AR94">
        <v>0.21</v>
      </c>
      <c r="AS94">
        <v>0</v>
      </c>
      <c r="AT94">
        <v>111</v>
      </c>
      <c r="AU94">
        <v>64</v>
      </c>
      <c r="AV94">
        <v>1</v>
      </c>
      <c r="AW94">
        <v>1</v>
      </c>
      <c r="AZ94">
        <v>1</v>
      </c>
      <c r="BA94">
        <v>32.909999999999997</v>
      </c>
      <c r="BB94">
        <v>13.52</v>
      </c>
      <c r="BC94">
        <v>6.19</v>
      </c>
      <c r="BD94" t="s">
        <v>3</v>
      </c>
      <c r="BE94" t="s">
        <v>3</v>
      </c>
      <c r="BF94" t="s">
        <v>3</v>
      </c>
      <c r="BG94" t="s">
        <v>3</v>
      </c>
      <c r="BH94">
        <v>0</v>
      </c>
      <c r="BI94">
        <v>1</v>
      </c>
      <c r="BJ94" t="s">
        <v>235</v>
      </c>
      <c r="BM94">
        <v>11001</v>
      </c>
      <c r="BN94">
        <v>0</v>
      </c>
      <c r="BO94" t="s">
        <v>233</v>
      </c>
      <c r="BP94">
        <v>1</v>
      </c>
      <c r="BQ94">
        <v>2</v>
      </c>
      <c r="BR94">
        <v>0</v>
      </c>
      <c r="BS94">
        <v>32.909999999999997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3</v>
      </c>
      <c r="BZ94">
        <v>123</v>
      </c>
      <c r="CA94">
        <v>75</v>
      </c>
      <c r="CB94" t="s">
        <v>3</v>
      </c>
      <c r="CE94">
        <v>0</v>
      </c>
      <c r="CF94">
        <v>0</v>
      </c>
      <c r="CG94">
        <v>0</v>
      </c>
      <c r="CM94">
        <v>0</v>
      </c>
      <c r="CN94" t="s">
        <v>611</v>
      </c>
      <c r="CO94">
        <v>0</v>
      </c>
      <c r="CP94">
        <f t="shared" si="87"/>
        <v>60.35</v>
      </c>
      <c r="CQ94">
        <f t="shared" si="88"/>
        <v>1730.9097000000002</v>
      </c>
      <c r="CR94">
        <f t="shared" si="89"/>
        <v>130.46799999999999</v>
      </c>
      <c r="CS94">
        <f t="shared" si="90"/>
        <v>116.83049999999999</v>
      </c>
      <c r="CT94">
        <f t="shared" si="91"/>
        <v>150.25060499999998</v>
      </c>
      <c r="CU94">
        <f t="shared" si="92"/>
        <v>0</v>
      </c>
      <c r="CV94">
        <f t="shared" si="93"/>
        <v>0.57499999999999996</v>
      </c>
      <c r="CW94">
        <f t="shared" si="94"/>
        <v>0.26250000000000001</v>
      </c>
      <c r="CX94">
        <f t="shared" si="95"/>
        <v>0</v>
      </c>
      <c r="CY94">
        <f t="shared" si="96"/>
        <v>8.8910999999999998</v>
      </c>
      <c r="CZ94">
        <f t="shared" si="97"/>
        <v>5.1264000000000003</v>
      </c>
      <c r="DC94" t="s">
        <v>3</v>
      </c>
      <c r="DD94" t="s">
        <v>3</v>
      </c>
      <c r="DE94" t="s">
        <v>143</v>
      </c>
      <c r="DF94" t="s">
        <v>143</v>
      </c>
      <c r="DG94" t="s">
        <v>144</v>
      </c>
      <c r="DH94" t="s">
        <v>3</v>
      </c>
      <c r="DI94" t="s">
        <v>144</v>
      </c>
      <c r="DJ94" t="s">
        <v>143</v>
      </c>
      <c r="DK94" t="s">
        <v>3</v>
      </c>
      <c r="DL94" t="s">
        <v>3</v>
      </c>
      <c r="DM94" t="s">
        <v>3</v>
      </c>
      <c r="DN94">
        <v>0</v>
      </c>
      <c r="DO94">
        <v>0</v>
      </c>
      <c r="DP94">
        <v>1</v>
      </c>
      <c r="DQ94">
        <v>1</v>
      </c>
      <c r="DU94">
        <v>1013</v>
      </c>
      <c r="DV94" t="s">
        <v>229</v>
      </c>
      <c r="DW94" t="s">
        <v>229</v>
      </c>
      <c r="DX94">
        <v>1</v>
      </c>
      <c r="DZ94" t="s">
        <v>3</v>
      </c>
      <c r="EA94" t="s">
        <v>3</v>
      </c>
      <c r="EB94" t="s">
        <v>3</v>
      </c>
      <c r="EC94" t="s">
        <v>3</v>
      </c>
      <c r="EE94">
        <v>36260427</v>
      </c>
      <c r="EF94">
        <v>2</v>
      </c>
      <c r="EG94" t="s">
        <v>118</v>
      </c>
      <c r="EH94">
        <v>0</v>
      </c>
      <c r="EI94" t="s">
        <v>3</v>
      </c>
      <c r="EJ94">
        <v>1</v>
      </c>
      <c r="EK94">
        <v>11001</v>
      </c>
      <c r="EL94" t="s">
        <v>38</v>
      </c>
      <c r="EM94" t="s">
        <v>231</v>
      </c>
      <c r="EO94" t="s">
        <v>145</v>
      </c>
      <c r="EQ94">
        <v>0</v>
      </c>
      <c r="ER94">
        <v>291.32</v>
      </c>
      <c r="ES94">
        <v>279.63</v>
      </c>
      <c r="ET94">
        <v>7.72</v>
      </c>
      <c r="EU94">
        <v>2.84</v>
      </c>
      <c r="EV94">
        <v>3.97</v>
      </c>
      <c r="EW94">
        <v>0.5</v>
      </c>
      <c r="EX94">
        <v>0.21</v>
      </c>
      <c r="EY94">
        <v>0</v>
      </c>
      <c r="FQ94">
        <v>0</v>
      </c>
      <c r="FR94">
        <f t="shared" si="98"/>
        <v>0</v>
      </c>
      <c r="FS94">
        <v>0</v>
      </c>
      <c r="FT94" t="s">
        <v>121</v>
      </c>
      <c r="FU94" t="s">
        <v>122</v>
      </c>
      <c r="FX94">
        <v>110.7</v>
      </c>
      <c r="FY94">
        <v>63.75</v>
      </c>
      <c r="GA94" t="s">
        <v>3</v>
      </c>
      <c r="GD94">
        <v>1</v>
      </c>
      <c r="GF94">
        <v>-187078821</v>
      </c>
      <c r="GG94">
        <v>2</v>
      </c>
      <c r="GH94">
        <v>1</v>
      </c>
      <c r="GI94">
        <v>2</v>
      </c>
      <c r="GJ94">
        <v>0</v>
      </c>
      <c r="GK94">
        <v>0</v>
      </c>
      <c r="GL94">
        <f t="shared" si="99"/>
        <v>0</v>
      </c>
      <c r="GM94">
        <f t="shared" si="100"/>
        <v>74.37</v>
      </c>
      <c r="GN94">
        <f t="shared" si="101"/>
        <v>74.37</v>
      </c>
      <c r="GO94">
        <f t="shared" si="102"/>
        <v>0</v>
      </c>
      <c r="GP94">
        <f t="shared" si="103"/>
        <v>0</v>
      </c>
      <c r="GR94">
        <v>0</v>
      </c>
      <c r="GS94">
        <v>3</v>
      </c>
      <c r="GT94">
        <v>0</v>
      </c>
      <c r="GU94" t="s">
        <v>3</v>
      </c>
      <c r="GV94">
        <f t="shared" si="104"/>
        <v>0</v>
      </c>
      <c r="GW94">
        <v>1</v>
      </c>
      <c r="GX94">
        <f t="shared" si="105"/>
        <v>0</v>
      </c>
      <c r="HA94">
        <v>0</v>
      </c>
      <c r="HB94">
        <v>0</v>
      </c>
      <c r="HC94">
        <f t="shared" si="106"/>
        <v>0</v>
      </c>
      <c r="HE94" t="s">
        <v>3</v>
      </c>
      <c r="HF94" t="s">
        <v>3</v>
      </c>
      <c r="HM94" t="s">
        <v>3</v>
      </c>
      <c r="IK94">
        <v>0</v>
      </c>
    </row>
    <row r="95" spans="1:245">
      <c r="A95">
        <v>17</v>
      </c>
      <c r="B95">
        <v>1</v>
      </c>
      <c r="C95">
        <f>ROW(SmtRes!A159)</f>
        <v>159</v>
      </c>
      <c r="D95">
        <f>ROW(EtalonRes!A159)</f>
        <v>159</v>
      </c>
      <c r="E95" t="s">
        <v>236</v>
      </c>
      <c r="F95" t="s">
        <v>237</v>
      </c>
      <c r="G95" t="s">
        <v>238</v>
      </c>
      <c r="H95" t="s">
        <v>36</v>
      </c>
      <c r="I95">
        <f>ROUND(3/100,9)</f>
        <v>0.03</v>
      </c>
      <c r="J95">
        <v>0</v>
      </c>
      <c r="K95">
        <f>ROUND(3/100,9)</f>
        <v>0.03</v>
      </c>
      <c r="O95">
        <f t="shared" si="70"/>
        <v>5417.69</v>
      </c>
      <c r="P95">
        <f t="shared" si="71"/>
        <v>2313.56</v>
      </c>
      <c r="Q95">
        <f t="shared" si="72"/>
        <v>23.72</v>
      </c>
      <c r="R95">
        <f t="shared" si="73"/>
        <v>21.46</v>
      </c>
      <c r="S95">
        <f t="shared" si="74"/>
        <v>3080.41</v>
      </c>
      <c r="T95">
        <f t="shared" si="75"/>
        <v>0</v>
      </c>
      <c r="U95">
        <f t="shared" si="76"/>
        <v>10.709489999999999</v>
      </c>
      <c r="V95">
        <f t="shared" si="77"/>
        <v>6.4500000000000002E-2</v>
      </c>
      <c r="W95">
        <f t="shared" si="78"/>
        <v>0</v>
      </c>
      <c r="X95">
        <f t="shared" si="79"/>
        <v>3443.08</v>
      </c>
      <c r="Y95">
        <f t="shared" si="80"/>
        <v>1985.2</v>
      </c>
      <c r="AA95">
        <v>35683522</v>
      </c>
      <c r="AB95">
        <f t="shared" si="81"/>
        <v>22724.398000000001</v>
      </c>
      <c r="AC95">
        <f t="shared" si="107"/>
        <v>19573.28</v>
      </c>
      <c r="AD95">
        <f>ROUND(((((ET95*1.25))-((EU95*1.25)))+AE95),6)</f>
        <v>31.087499999999999</v>
      </c>
      <c r="AE95">
        <f>ROUND(((EU95*1.25)),6)</f>
        <v>21.737500000000001</v>
      </c>
      <c r="AF95">
        <f>ROUND(((EV95*1.15)),6)</f>
        <v>3120.0304999999998</v>
      </c>
      <c r="AG95">
        <f t="shared" si="84"/>
        <v>0</v>
      </c>
      <c r="AH95">
        <f>((EW95*1.15))</f>
        <v>356.983</v>
      </c>
      <c r="AI95">
        <f>((EX95*1.25))</f>
        <v>2.15</v>
      </c>
      <c r="AJ95">
        <f t="shared" si="86"/>
        <v>0</v>
      </c>
      <c r="AK95">
        <v>22311.22</v>
      </c>
      <c r="AL95">
        <v>19573.28</v>
      </c>
      <c r="AM95">
        <v>24.87</v>
      </c>
      <c r="AN95">
        <v>17.39</v>
      </c>
      <c r="AO95">
        <v>2713.07</v>
      </c>
      <c r="AP95">
        <v>0</v>
      </c>
      <c r="AQ95">
        <v>310.42</v>
      </c>
      <c r="AR95">
        <v>1.72</v>
      </c>
      <c r="AS95">
        <v>0</v>
      </c>
      <c r="AT95">
        <v>111</v>
      </c>
      <c r="AU95">
        <v>64</v>
      </c>
      <c r="AV95">
        <v>1</v>
      </c>
      <c r="AW95">
        <v>1</v>
      </c>
      <c r="AZ95">
        <v>1</v>
      </c>
      <c r="BA95">
        <v>32.909999999999997</v>
      </c>
      <c r="BB95">
        <v>25.43</v>
      </c>
      <c r="BC95">
        <v>3.94</v>
      </c>
      <c r="BD95" t="s">
        <v>3</v>
      </c>
      <c r="BE95" t="s">
        <v>3</v>
      </c>
      <c r="BF95" t="s">
        <v>3</v>
      </c>
      <c r="BG95" t="s">
        <v>3</v>
      </c>
      <c r="BH95">
        <v>0</v>
      </c>
      <c r="BI95">
        <v>1</v>
      </c>
      <c r="BJ95" t="s">
        <v>239</v>
      </c>
      <c r="BM95">
        <v>11001</v>
      </c>
      <c r="BN95">
        <v>0</v>
      </c>
      <c r="BO95" t="s">
        <v>237</v>
      </c>
      <c r="BP95">
        <v>1</v>
      </c>
      <c r="BQ95">
        <v>2</v>
      </c>
      <c r="BR95">
        <v>0</v>
      </c>
      <c r="BS95">
        <v>32.909999999999997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123</v>
      </c>
      <c r="CA95">
        <v>75</v>
      </c>
      <c r="CB95" t="s">
        <v>3</v>
      </c>
      <c r="CE95">
        <v>0</v>
      </c>
      <c r="CF95">
        <v>0</v>
      </c>
      <c r="CG95">
        <v>0</v>
      </c>
      <c r="CM95">
        <v>0</v>
      </c>
      <c r="CN95" t="s">
        <v>611</v>
      </c>
      <c r="CO95">
        <v>0</v>
      </c>
      <c r="CP95">
        <f t="shared" si="87"/>
        <v>5417.69</v>
      </c>
      <c r="CQ95">
        <f t="shared" si="88"/>
        <v>77118.723199999993</v>
      </c>
      <c r="CR95">
        <f t="shared" si="89"/>
        <v>790.55512499999998</v>
      </c>
      <c r="CS95">
        <f t="shared" si="90"/>
        <v>715.381125</v>
      </c>
      <c r="CT95">
        <f t="shared" si="91"/>
        <v>102680.20375499998</v>
      </c>
      <c r="CU95">
        <f t="shared" si="92"/>
        <v>0</v>
      </c>
      <c r="CV95">
        <f t="shared" si="93"/>
        <v>356.983</v>
      </c>
      <c r="CW95">
        <f t="shared" si="94"/>
        <v>2.15</v>
      </c>
      <c r="CX95">
        <f t="shared" si="95"/>
        <v>0</v>
      </c>
      <c r="CY95">
        <f t="shared" si="96"/>
        <v>3443.0756999999999</v>
      </c>
      <c r="CZ95">
        <f t="shared" si="97"/>
        <v>1985.1967999999999</v>
      </c>
      <c r="DC95" t="s">
        <v>3</v>
      </c>
      <c r="DD95" t="s">
        <v>3</v>
      </c>
      <c r="DE95" t="s">
        <v>143</v>
      </c>
      <c r="DF95" t="s">
        <v>143</v>
      </c>
      <c r="DG95" t="s">
        <v>144</v>
      </c>
      <c r="DH95" t="s">
        <v>3</v>
      </c>
      <c r="DI95" t="s">
        <v>144</v>
      </c>
      <c r="DJ95" t="s">
        <v>143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1013</v>
      </c>
      <c r="DV95" t="s">
        <v>36</v>
      </c>
      <c r="DW95" t="s">
        <v>36</v>
      </c>
      <c r="DX95">
        <v>1</v>
      </c>
      <c r="DZ95" t="s">
        <v>3</v>
      </c>
      <c r="EA95" t="s">
        <v>3</v>
      </c>
      <c r="EB95" t="s">
        <v>3</v>
      </c>
      <c r="EC95" t="s">
        <v>3</v>
      </c>
      <c r="EE95">
        <v>36260427</v>
      </c>
      <c r="EF95">
        <v>2</v>
      </c>
      <c r="EG95" t="s">
        <v>118</v>
      </c>
      <c r="EH95">
        <v>0</v>
      </c>
      <c r="EI95" t="s">
        <v>3</v>
      </c>
      <c r="EJ95">
        <v>1</v>
      </c>
      <c r="EK95">
        <v>11001</v>
      </c>
      <c r="EL95" t="s">
        <v>38</v>
      </c>
      <c r="EM95" t="s">
        <v>231</v>
      </c>
      <c r="EO95" t="s">
        <v>145</v>
      </c>
      <c r="EQ95">
        <v>0</v>
      </c>
      <c r="ER95">
        <v>22311.22</v>
      </c>
      <c r="ES95">
        <v>19573.28</v>
      </c>
      <c r="ET95">
        <v>24.87</v>
      </c>
      <c r="EU95">
        <v>17.39</v>
      </c>
      <c r="EV95">
        <v>2713.07</v>
      </c>
      <c r="EW95">
        <v>310.42</v>
      </c>
      <c r="EX95">
        <v>1.72</v>
      </c>
      <c r="EY95">
        <v>0</v>
      </c>
      <c r="FQ95">
        <v>0</v>
      </c>
      <c r="FR95">
        <f t="shared" si="98"/>
        <v>0</v>
      </c>
      <c r="FS95">
        <v>0</v>
      </c>
      <c r="FT95" t="s">
        <v>121</v>
      </c>
      <c r="FU95" t="s">
        <v>122</v>
      </c>
      <c r="FX95">
        <v>110.7</v>
      </c>
      <c r="FY95">
        <v>63.75</v>
      </c>
      <c r="GA95" t="s">
        <v>3</v>
      </c>
      <c r="GD95">
        <v>1</v>
      </c>
      <c r="GF95">
        <v>1494268860</v>
      </c>
      <c r="GG95">
        <v>2</v>
      </c>
      <c r="GH95">
        <v>1</v>
      </c>
      <c r="GI95">
        <v>2</v>
      </c>
      <c r="GJ95">
        <v>0</v>
      </c>
      <c r="GK95">
        <v>0</v>
      </c>
      <c r="GL95">
        <f t="shared" si="99"/>
        <v>0</v>
      </c>
      <c r="GM95">
        <f t="shared" si="100"/>
        <v>10845.97</v>
      </c>
      <c r="GN95">
        <f t="shared" si="101"/>
        <v>10845.97</v>
      </c>
      <c r="GO95">
        <f t="shared" si="102"/>
        <v>0</v>
      </c>
      <c r="GP95">
        <f t="shared" si="103"/>
        <v>0</v>
      </c>
      <c r="GR95">
        <v>0</v>
      </c>
      <c r="GS95">
        <v>3</v>
      </c>
      <c r="GT95">
        <v>0</v>
      </c>
      <c r="GU95" t="s">
        <v>3</v>
      </c>
      <c r="GV95">
        <f t="shared" si="104"/>
        <v>0</v>
      </c>
      <c r="GW95">
        <v>1</v>
      </c>
      <c r="GX95">
        <f t="shared" si="105"/>
        <v>0</v>
      </c>
      <c r="HA95">
        <v>0</v>
      </c>
      <c r="HB95">
        <v>0</v>
      </c>
      <c r="HC95">
        <f t="shared" si="106"/>
        <v>0</v>
      </c>
      <c r="HE95" t="s">
        <v>3</v>
      </c>
      <c r="HF95" t="s">
        <v>3</v>
      </c>
      <c r="HM95" t="s">
        <v>3</v>
      </c>
      <c r="IK95">
        <v>0</v>
      </c>
    </row>
    <row r="96" spans="1:245">
      <c r="A96">
        <v>17</v>
      </c>
      <c r="B96">
        <v>1</v>
      </c>
      <c r="E96" t="s">
        <v>240</v>
      </c>
      <c r="F96" t="s">
        <v>241</v>
      </c>
      <c r="G96" t="s">
        <v>242</v>
      </c>
      <c r="H96" t="s">
        <v>243</v>
      </c>
      <c r="I96">
        <v>0.3</v>
      </c>
      <c r="J96">
        <v>0</v>
      </c>
      <c r="K96">
        <v>0.3</v>
      </c>
      <c r="O96">
        <f t="shared" si="70"/>
        <v>184.51</v>
      </c>
      <c r="P96">
        <f t="shared" si="71"/>
        <v>0</v>
      </c>
      <c r="Q96">
        <f t="shared" si="72"/>
        <v>184.51</v>
      </c>
      <c r="R96">
        <f t="shared" si="73"/>
        <v>0</v>
      </c>
      <c r="S96">
        <f t="shared" si="74"/>
        <v>0</v>
      </c>
      <c r="T96">
        <f t="shared" si="75"/>
        <v>0</v>
      </c>
      <c r="U96">
        <f t="shared" si="76"/>
        <v>0</v>
      </c>
      <c r="V96">
        <f t="shared" si="77"/>
        <v>0</v>
      </c>
      <c r="W96">
        <f t="shared" si="78"/>
        <v>0</v>
      </c>
      <c r="X96">
        <f t="shared" si="79"/>
        <v>0</v>
      </c>
      <c r="Y96">
        <f t="shared" si="80"/>
        <v>0</v>
      </c>
      <c r="AA96">
        <v>35683522</v>
      </c>
      <c r="AB96">
        <f t="shared" si="81"/>
        <v>42.98</v>
      </c>
      <c r="AC96">
        <f t="shared" si="107"/>
        <v>0</v>
      </c>
      <c r="AD96">
        <f>ROUND(((ET96)+ROUND(((EU96)*1.6),2)),6)</f>
        <v>42.98</v>
      </c>
      <c r="AE96">
        <f>ROUND(((EU96)+ROUND(((EU96)*1.6),2)),6)</f>
        <v>0</v>
      </c>
      <c r="AF96">
        <f>ROUND(((EV96)+ROUND(((EV96)*1.6),2)),6)</f>
        <v>0</v>
      </c>
      <c r="AG96">
        <f t="shared" si="84"/>
        <v>0</v>
      </c>
      <c r="AH96">
        <f>(EW96)</f>
        <v>0</v>
      </c>
      <c r="AI96">
        <f>(EX96)</f>
        <v>0</v>
      </c>
      <c r="AJ96">
        <f t="shared" si="86"/>
        <v>0</v>
      </c>
      <c r="AK96">
        <v>42.98</v>
      </c>
      <c r="AL96">
        <v>0</v>
      </c>
      <c r="AM96">
        <v>42.98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1</v>
      </c>
      <c r="AW96">
        <v>1</v>
      </c>
      <c r="AZ96">
        <v>1</v>
      </c>
      <c r="BA96">
        <v>14.31</v>
      </c>
      <c r="BB96">
        <v>14.31</v>
      </c>
      <c r="BC96">
        <v>1</v>
      </c>
      <c r="BD96" t="s">
        <v>3</v>
      </c>
      <c r="BE96" t="s">
        <v>3</v>
      </c>
      <c r="BF96" t="s">
        <v>3</v>
      </c>
      <c r="BG96" t="s">
        <v>3</v>
      </c>
      <c r="BH96">
        <v>0</v>
      </c>
      <c r="BI96">
        <v>1</v>
      </c>
      <c r="BJ96" t="s">
        <v>244</v>
      </c>
      <c r="BM96">
        <v>700004</v>
      </c>
      <c r="BN96">
        <v>0</v>
      </c>
      <c r="BO96" t="s">
        <v>3</v>
      </c>
      <c r="BP96">
        <v>0</v>
      </c>
      <c r="BQ96">
        <v>19</v>
      </c>
      <c r="BR96">
        <v>0</v>
      </c>
      <c r="BS96">
        <v>14.31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3</v>
      </c>
      <c r="BZ96">
        <v>0</v>
      </c>
      <c r="CA96">
        <v>0</v>
      </c>
      <c r="CB96" t="s">
        <v>3</v>
      </c>
      <c r="CE96">
        <v>0</v>
      </c>
      <c r="CF96">
        <v>0</v>
      </c>
      <c r="CG96">
        <v>0</v>
      </c>
      <c r="CM96">
        <v>0</v>
      </c>
      <c r="CN96" t="s">
        <v>3</v>
      </c>
      <c r="CO96">
        <v>0</v>
      </c>
      <c r="CP96">
        <f t="shared" si="87"/>
        <v>184.51</v>
      </c>
      <c r="CQ96">
        <f t="shared" si="88"/>
        <v>0</v>
      </c>
      <c r="CR96">
        <f t="shared" si="89"/>
        <v>615.04380000000003</v>
      </c>
      <c r="CS96">
        <f t="shared" si="90"/>
        <v>0</v>
      </c>
      <c r="CT96">
        <f t="shared" si="91"/>
        <v>0</v>
      </c>
      <c r="CU96">
        <f t="shared" si="92"/>
        <v>0</v>
      </c>
      <c r="CV96">
        <f t="shared" si="93"/>
        <v>0</v>
      </c>
      <c r="CW96">
        <f t="shared" si="94"/>
        <v>0</v>
      </c>
      <c r="CX96">
        <f t="shared" si="95"/>
        <v>0</v>
      </c>
      <c r="CY96">
        <f t="shared" si="96"/>
        <v>0</v>
      </c>
      <c r="CZ96">
        <f t="shared" si="97"/>
        <v>0</v>
      </c>
      <c r="DC96" t="s">
        <v>3</v>
      </c>
      <c r="DD96" t="s">
        <v>3</v>
      </c>
      <c r="DE96" t="s">
        <v>3</v>
      </c>
      <c r="DF96" t="s">
        <v>3</v>
      </c>
      <c r="DG96" t="s">
        <v>3</v>
      </c>
      <c r="DH96" t="s">
        <v>3</v>
      </c>
      <c r="DI96" t="s">
        <v>3</v>
      </c>
      <c r="DJ96" t="s">
        <v>3</v>
      </c>
      <c r="DK96" t="s">
        <v>3</v>
      </c>
      <c r="DL96" t="s">
        <v>3</v>
      </c>
      <c r="DM96" t="s">
        <v>3</v>
      </c>
      <c r="DN96">
        <v>0</v>
      </c>
      <c r="DO96">
        <v>0</v>
      </c>
      <c r="DP96">
        <v>1</v>
      </c>
      <c r="DQ96">
        <v>1</v>
      </c>
      <c r="DU96">
        <v>1013</v>
      </c>
      <c r="DV96" t="s">
        <v>243</v>
      </c>
      <c r="DW96" t="s">
        <v>243</v>
      </c>
      <c r="DX96">
        <v>1</v>
      </c>
      <c r="DZ96" t="s">
        <v>3</v>
      </c>
      <c r="EA96" t="s">
        <v>3</v>
      </c>
      <c r="EB96" t="s">
        <v>3</v>
      </c>
      <c r="EC96" t="s">
        <v>3</v>
      </c>
      <c r="EE96">
        <v>36260614</v>
      </c>
      <c r="EF96">
        <v>19</v>
      </c>
      <c r="EG96" t="s">
        <v>245</v>
      </c>
      <c r="EH96">
        <v>0</v>
      </c>
      <c r="EI96" t="s">
        <v>3</v>
      </c>
      <c r="EJ96">
        <v>1</v>
      </c>
      <c r="EK96">
        <v>700004</v>
      </c>
      <c r="EL96" t="s">
        <v>246</v>
      </c>
      <c r="EM96" t="s">
        <v>247</v>
      </c>
      <c r="EO96" t="s">
        <v>3</v>
      </c>
      <c r="EQ96">
        <v>0</v>
      </c>
      <c r="ER96">
        <v>42.98</v>
      </c>
      <c r="ES96">
        <v>0</v>
      </c>
      <c r="ET96">
        <v>42.98</v>
      </c>
      <c r="EU96">
        <v>0</v>
      </c>
      <c r="EV96">
        <v>0</v>
      </c>
      <c r="EW96">
        <v>0</v>
      </c>
      <c r="EX96">
        <v>0</v>
      </c>
      <c r="EY96">
        <v>0</v>
      </c>
      <c r="FQ96">
        <v>0</v>
      </c>
      <c r="FR96">
        <f t="shared" si="98"/>
        <v>0</v>
      </c>
      <c r="FS96">
        <v>0</v>
      </c>
      <c r="FX96">
        <v>0</v>
      </c>
      <c r="FY96">
        <v>0</v>
      </c>
      <c r="GA96" t="s">
        <v>3</v>
      </c>
      <c r="GD96">
        <v>1</v>
      </c>
      <c r="GF96">
        <v>-772656430</v>
      </c>
      <c r="GG96">
        <v>2</v>
      </c>
      <c r="GH96">
        <v>1</v>
      </c>
      <c r="GI96">
        <v>2</v>
      </c>
      <c r="GJ96">
        <v>0</v>
      </c>
      <c r="GK96">
        <v>0</v>
      </c>
      <c r="GL96">
        <f t="shared" si="99"/>
        <v>0</v>
      </c>
      <c r="GM96">
        <f t="shared" si="100"/>
        <v>184.51</v>
      </c>
      <c r="GN96">
        <f t="shared" si="101"/>
        <v>184.51</v>
      </c>
      <c r="GO96">
        <f t="shared" si="102"/>
        <v>0</v>
      </c>
      <c r="GP96">
        <f t="shared" si="103"/>
        <v>0</v>
      </c>
      <c r="GR96">
        <v>0</v>
      </c>
      <c r="GS96">
        <v>3</v>
      </c>
      <c r="GT96">
        <v>0</v>
      </c>
      <c r="GU96" t="s">
        <v>3</v>
      </c>
      <c r="GV96">
        <f t="shared" si="104"/>
        <v>0</v>
      </c>
      <c r="GW96">
        <v>1</v>
      </c>
      <c r="GX96">
        <f t="shared" si="105"/>
        <v>0</v>
      </c>
      <c r="HA96">
        <v>0</v>
      </c>
      <c r="HB96">
        <v>0</v>
      </c>
      <c r="HC96">
        <f t="shared" si="106"/>
        <v>0</v>
      </c>
      <c r="HD96">
        <f>GM96</f>
        <v>184.51</v>
      </c>
      <c r="HE96" t="s">
        <v>3</v>
      </c>
      <c r="HF96" t="s">
        <v>3</v>
      </c>
      <c r="HM96" t="s">
        <v>3</v>
      </c>
      <c r="IK96">
        <v>0</v>
      </c>
    </row>
    <row r="97" spans="1:245">
      <c r="A97">
        <v>17</v>
      </c>
      <c r="B97">
        <v>1</v>
      </c>
      <c r="E97" t="s">
        <v>248</v>
      </c>
      <c r="F97" t="s">
        <v>249</v>
      </c>
      <c r="G97" t="s">
        <v>250</v>
      </c>
      <c r="H97" t="s">
        <v>243</v>
      </c>
      <c r="I97">
        <v>0.3</v>
      </c>
      <c r="J97">
        <v>0</v>
      </c>
      <c r="K97">
        <v>0.3</v>
      </c>
      <c r="O97">
        <f t="shared" si="70"/>
        <v>61.22</v>
      </c>
      <c r="P97">
        <f t="shared" si="71"/>
        <v>0</v>
      </c>
      <c r="Q97">
        <f t="shared" si="72"/>
        <v>61.22</v>
      </c>
      <c r="R97">
        <f t="shared" si="73"/>
        <v>0</v>
      </c>
      <c r="S97">
        <f t="shared" si="74"/>
        <v>0</v>
      </c>
      <c r="T97">
        <f t="shared" si="75"/>
        <v>0</v>
      </c>
      <c r="U97">
        <f t="shared" si="76"/>
        <v>0</v>
      </c>
      <c r="V97">
        <f t="shared" si="77"/>
        <v>0</v>
      </c>
      <c r="W97">
        <f t="shared" si="78"/>
        <v>0</v>
      </c>
      <c r="X97">
        <f t="shared" si="79"/>
        <v>0</v>
      </c>
      <c r="Y97">
        <f t="shared" si="80"/>
        <v>0</v>
      </c>
      <c r="AA97">
        <v>35683522</v>
      </c>
      <c r="AB97">
        <f t="shared" si="81"/>
        <v>20.91</v>
      </c>
      <c r="AC97">
        <f t="shared" si="107"/>
        <v>0</v>
      </c>
      <c r="AD97">
        <f>ROUND(((ET97)+ROUND(((EU97)*1.85),2)),6)</f>
        <v>20.91</v>
      </c>
      <c r="AE97">
        <f>ROUND(((EU97)+ROUND(((EU97)*1.85),2)),6)</f>
        <v>0</v>
      </c>
      <c r="AF97">
        <f>ROUND(((EV97)+ROUND(((EV97)*1.85),2)),6)</f>
        <v>0</v>
      </c>
      <c r="AG97">
        <f t="shared" si="84"/>
        <v>0</v>
      </c>
      <c r="AH97">
        <f>(EW97)</f>
        <v>0</v>
      </c>
      <c r="AI97">
        <f>(EX97)</f>
        <v>0</v>
      </c>
      <c r="AJ97">
        <f t="shared" si="86"/>
        <v>0</v>
      </c>
      <c r="AK97">
        <v>20.91</v>
      </c>
      <c r="AL97">
        <v>0</v>
      </c>
      <c r="AM97">
        <v>20.91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1</v>
      </c>
      <c r="AW97">
        <v>1</v>
      </c>
      <c r="AZ97">
        <v>1</v>
      </c>
      <c r="BA97">
        <v>9.76</v>
      </c>
      <c r="BB97">
        <v>9.76</v>
      </c>
      <c r="BC97">
        <v>1</v>
      </c>
      <c r="BD97" t="s">
        <v>3</v>
      </c>
      <c r="BE97" t="s">
        <v>3</v>
      </c>
      <c r="BF97" t="s">
        <v>3</v>
      </c>
      <c r="BG97" t="s">
        <v>3</v>
      </c>
      <c r="BH97">
        <v>0</v>
      </c>
      <c r="BI97">
        <v>1</v>
      </c>
      <c r="BJ97" t="s">
        <v>251</v>
      </c>
      <c r="BM97">
        <v>700001</v>
      </c>
      <c r="BN97">
        <v>0</v>
      </c>
      <c r="BO97" t="s">
        <v>3</v>
      </c>
      <c r="BP97">
        <v>0</v>
      </c>
      <c r="BQ97">
        <v>10</v>
      </c>
      <c r="BR97">
        <v>0</v>
      </c>
      <c r="BS97">
        <v>9.76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0</v>
      </c>
      <c r="CA97">
        <v>0</v>
      </c>
      <c r="CB97" t="s">
        <v>3</v>
      </c>
      <c r="CE97">
        <v>0</v>
      </c>
      <c r="CF97">
        <v>0</v>
      </c>
      <c r="CG97">
        <v>0</v>
      </c>
      <c r="CM97">
        <v>0</v>
      </c>
      <c r="CN97" t="s">
        <v>3</v>
      </c>
      <c r="CO97">
        <v>0</v>
      </c>
      <c r="CP97">
        <f t="shared" si="87"/>
        <v>61.22</v>
      </c>
      <c r="CQ97">
        <f t="shared" si="88"/>
        <v>0</v>
      </c>
      <c r="CR97">
        <f t="shared" si="89"/>
        <v>204.08160000000001</v>
      </c>
      <c r="CS97">
        <f t="shared" si="90"/>
        <v>0</v>
      </c>
      <c r="CT97">
        <f t="shared" si="91"/>
        <v>0</v>
      </c>
      <c r="CU97">
        <f t="shared" si="92"/>
        <v>0</v>
      </c>
      <c r="CV97">
        <f t="shared" si="93"/>
        <v>0</v>
      </c>
      <c r="CW97">
        <f t="shared" si="94"/>
        <v>0</v>
      </c>
      <c r="CX97">
        <f t="shared" si="95"/>
        <v>0</v>
      </c>
      <c r="CY97">
        <f t="shared" si="96"/>
        <v>0</v>
      </c>
      <c r="CZ97">
        <f t="shared" si="97"/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243</v>
      </c>
      <c r="DW97" t="s">
        <v>243</v>
      </c>
      <c r="DX97">
        <v>1</v>
      </c>
      <c r="DZ97" t="s">
        <v>3</v>
      </c>
      <c r="EA97" t="s">
        <v>3</v>
      </c>
      <c r="EB97" t="s">
        <v>3</v>
      </c>
      <c r="EC97" t="s">
        <v>3</v>
      </c>
      <c r="EE97">
        <v>36260364</v>
      </c>
      <c r="EF97">
        <v>10</v>
      </c>
      <c r="EG97" t="s">
        <v>252</v>
      </c>
      <c r="EH97">
        <v>0</v>
      </c>
      <c r="EI97" t="s">
        <v>3</v>
      </c>
      <c r="EJ97">
        <v>1</v>
      </c>
      <c r="EK97">
        <v>700001</v>
      </c>
      <c r="EL97" t="s">
        <v>253</v>
      </c>
      <c r="EM97" t="s">
        <v>254</v>
      </c>
      <c r="EO97" t="s">
        <v>3</v>
      </c>
      <c r="EQ97">
        <v>0</v>
      </c>
      <c r="ER97">
        <v>20.91</v>
      </c>
      <c r="ES97">
        <v>0</v>
      </c>
      <c r="ET97">
        <v>20.91</v>
      </c>
      <c r="EU97">
        <v>0</v>
      </c>
      <c r="EV97">
        <v>0</v>
      </c>
      <c r="EW97">
        <v>0</v>
      </c>
      <c r="EX97">
        <v>0</v>
      </c>
      <c r="EY97">
        <v>0</v>
      </c>
      <c r="FQ97">
        <v>0</v>
      </c>
      <c r="FR97">
        <f t="shared" si="98"/>
        <v>0</v>
      </c>
      <c r="FS97">
        <v>0</v>
      </c>
      <c r="FX97">
        <v>0</v>
      </c>
      <c r="FY97">
        <v>0</v>
      </c>
      <c r="GA97" t="s">
        <v>3</v>
      </c>
      <c r="GD97">
        <v>1</v>
      </c>
      <c r="GF97">
        <v>-419364396</v>
      </c>
      <c r="GG97">
        <v>2</v>
      </c>
      <c r="GH97">
        <v>1</v>
      </c>
      <c r="GI97">
        <v>2</v>
      </c>
      <c r="GJ97">
        <v>0</v>
      </c>
      <c r="GK97">
        <v>0</v>
      </c>
      <c r="GL97">
        <f t="shared" si="99"/>
        <v>0</v>
      </c>
      <c r="GM97">
        <f t="shared" si="100"/>
        <v>61.22</v>
      </c>
      <c r="GN97">
        <f t="shared" si="101"/>
        <v>61.22</v>
      </c>
      <c r="GO97">
        <f t="shared" si="102"/>
        <v>0</v>
      </c>
      <c r="GP97">
        <f t="shared" si="103"/>
        <v>0</v>
      </c>
      <c r="GR97">
        <v>0</v>
      </c>
      <c r="GS97">
        <v>3</v>
      </c>
      <c r="GT97">
        <v>0</v>
      </c>
      <c r="GU97" t="s">
        <v>3</v>
      </c>
      <c r="GV97">
        <f t="shared" si="104"/>
        <v>0</v>
      </c>
      <c r="GW97">
        <v>1</v>
      </c>
      <c r="GX97">
        <f t="shared" si="105"/>
        <v>0</v>
      </c>
      <c r="HA97">
        <v>0</v>
      </c>
      <c r="HB97">
        <v>0</v>
      </c>
      <c r="HC97">
        <f t="shared" si="106"/>
        <v>0</v>
      </c>
      <c r="HD97">
        <f>GM97</f>
        <v>61.22</v>
      </c>
      <c r="HE97" t="s">
        <v>3</v>
      </c>
      <c r="HF97" t="s">
        <v>3</v>
      </c>
      <c r="HM97" t="s">
        <v>3</v>
      </c>
      <c r="IK97">
        <v>0</v>
      </c>
    </row>
    <row r="99" spans="1:245">
      <c r="A99" s="2">
        <v>51</v>
      </c>
      <c r="B99" s="2">
        <f>B68</f>
        <v>1</v>
      </c>
      <c r="C99" s="2">
        <f>A68</f>
        <v>4</v>
      </c>
      <c r="D99" s="2">
        <f>ROW(A68)</f>
        <v>68</v>
      </c>
      <c r="E99" s="2"/>
      <c r="F99" s="2" t="str">
        <f>IF(F68&lt;&gt;"",F68,"")</f>
        <v>Новый раздел</v>
      </c>
      <c r="G99" s="2" t="str">
        <f>IF(G68&lt;&gt;"",G68,"")</f>
        <v>Монтаж</v>
      </c>
      <c r="H99" s="2">
        <v>0</v>
      </c>
      <c r="I99" s="2"/>
      <c r="J99" s="2"/>
      <c r="K99" s="2"/>
      <c r="L99" s="2"/>
      <c r="M99" s="2"/>
      <c r="N99" s="2"/>
      <c r="O99" s="2">
        <f t="shared" ref="O99:T99" si="110">ROUND(AB99,2)</f>
        <v>98861.1</v>
      </c>
      <c r="P99" s="2">
        <f t="shared" si="110"/>
        <v>81657.45</v>
      </c>
      <c r="Q99" s="2">
        <f t="shared" si="110"/>
        <v>1791.28</v>
      </c>
      <c r="R99" s="2">
        <f t="shared" si="110"/>
        <v>695.54</v>
      </c>
      <c r="S99" s="2">
        <f t="shared" si="110"/>
        <v>15412.37</v>
      </c>
      <c r="T99" s="2">
        <f t="shared" si="110"/>
        <v>0</v>
      </c>
      <c r="U99" s="2">
        <f>AH99</f>
        <v>50.933545999999993</v>
      </c>
      <c r="V99" s="2">
        <f>AI99</f>
        <v>1.7634999999999998</v>
      </c>
      <c r="W99" s="2">
        <f>ROUND(AJ99,2)</f>
        <v>5.09</v>
      </c>
      <c r="X99" s="2">
        <f>ROUND(AK99,2)</f>
        <v>15497.31</v>
      </c>
      <c r="Y99" s="2">
        <f>ROUND(AL99,2)</f>
        <v>9559.0300000000007</v>
      </c>
      <c r="Z99" s="2"/>
      <c r="AA99" s="2"/>
      <c r="AB99" s="2">
        <f>ROUND(SUMIF(AA72:AA97,"=35683522",O72:O97),2)</f>
        <v>98861.1</v>
      </c>
      <c r="AC99" s="2">
        <f>ROUND(SUMIF(AA72:AA97,"=35683522",P72:P97),2)</f>
        <v>81657.45</v>
      </c>
      <c r="AD99" s="2">
        <f>ROUND(SUMIF(AA72:AA97,"=35683522",Q72:Q97),2)</f>
        <v>1791.28</v>
      </c>
      <c r="AE99" s="2">
        <f>ROUND(SUMIF(AA72:AA97,"=35683522",R72:R97),2)</f>
        <v>695.54</v>
      </c>
      <c r="AF99" s="2">
        <f>ROUND(SUMIF(AA72:AA97,"=35683522",S72:S97),2)</f>
        <v>15412.37</v>
      </c>
      <c r="AG99" s="2">
        <f>ROUND(SUMIF(AA72:AA97,"=35683522",T72:T97),2)</f>
        <v>0</v>
      </c>
      <c r="AH99" s="2">
        <f>SUMIF(AA72:AA97,"=35683522",U72:U97)</f>
        <v>50.933545999999993</v>
      </c>
      <c r="AI99" s="2">
        <f>SUMIF(AA72:AA97,"=35683522",V72:V97)</f>
        <v>1.7634999999999998</v>
      </c>
      <c r="AJ99" s="2">
        <f>ROUND(SUMIF(AA72:AA97,"=35683522",W72:W97),2)</f>
        <v>5.09</v>
      </c>
      <c r="AK99" s="2">
        <f>ROUND(SUMIF(AA72:AA97,"=35683522",X72:X97),2)</f>
        <v>15497.31</v>
      </c>
      <c r="AL99" s="2">
        <f>ROUND(SUMIF(AA72:AA97,"=35683522",Y72:Y97),2)</f>
        <v>9559.0300000000007</v>
      </c>
      <c r="AM99" s="2"/>
      <c r="AN99" s="2"/>
      <c r="AO99" s="2">
        <f t="shared" ref="AO99:BD99" si="111">ROUND(BX99,2)</f>
        <v>0</v>
      </c>
      <c r="AP99" s="2">
        <f t="shared" si="111"/>
        <v>0</v>
      </c>
      <c r="AQ99" s="2">
        <f t="shared" si="111"/>
        <v>0</v>
      </c>
      <c r="AR99" s="2">
        <f t="shared" si="111"/>
        <v>123917.44</v>
      </c>
      <c r="AS99" s="2">
        <f t="shared" si="111"/>
        <v>123917.44</v>
      </c>
      <c r="AT99" s="2">
        <f t="shared" si="111"/>
        <v>0</v>
      </c>
      <c r="AU99" s="2">
        <f t="shared" si="111"/>
        <v>0</v>
      </c>
      <c r="AV99" s="2">
        <f t="shared" si="111"/>
        <v>81657.45</v>
      </c>
      <c r="AW99" s="2">
        <f t="shared" si="111"/>
        <v>81657.45</v>
      </c>
      <c r="AX99" s="2">
        <f t="shared" si="111"/>
        <v>0</v>
      </c>
      <c r="AY99" s="2">
        <f t="shared" si="111"/>
        <v>81657.45</v>
      </c>
      <c r="AZ99" s="2">
        <f t="shared" si="111"/>
        <v>0</v>
      </c>
      <c r="BA99" s="2">
        <f t="shared" si="111"/>
        <v>0</v>
      </c>
      <c r="BB99" s="2">
        <f t="shared" si="111"/>
        <v>0</v>
      </c>
      <c r="BC99" s="2">
        <f t="shared" si="111"/>
        <v>0</v>
      </c>
      <c r="BD99" s="2">
        <f t="shared" si="111"/>
        <v>245.73</v>
      </c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>
        <f>ROUND(SUMIF(AA72:AA97,"=35683522",FQ72:FQ97),2)</f>
        <v>0</v>
      </c>
      <c r="BY99" s="2">
        <f>ROUND(SUMIF(AA72:AA97,"=35683522",FR72:FR97),2)</f>
        <v>0</v>
      </c>
      <c r="BZ99" s="2">
        <f>ROUND(SUMIF(AA72:AA97,"=35683522",GL72:GL97),2)</f>
        <v>0</v>
      </c>
      <c r="CA99" s="2">
        <f>ROUND(SUMIF(AA72:AA97,"=35683522",GM72:GM97),2)</f>
        <v>123917.44</v>
      </c>
      <c r="CB99" s="2">
        <f>ROUND(SUMIF(AA72:AA97,"=35683522",GN72:GN97),2)</f>
        <v>123917.44</v>
      </c>
      <c r="CC99" s="2">
        <f>ROUND(SUMIF(AA72:AA97,"=35683522",GO72:GO97),2)</f>
        <v>0</v>
      </c>
      <c r="CD99" s="2">
        <f>ROUND(SUMIF(AA72:AA97,"=35683522",GP72:GP97),2)</f>
        <v>0</v>
      </c>
      <c r="CE99" s="2">
        <f>AC99-BX99</f>
        <v>81657.45</v>
      </c>
      <c r="CF99" s="2">
        <f>AC99-BY99</f>
        <v>81657.45</v>
      </c>
      <c r="CG99" s="2">
        <f>BX99-BZ99</f>
        <v>0</v>
      </c>
      <c r="CH99" s="2">
        <f>AC99-BX99-BY99+BZ99</f>
        <v>81657.45</v>
      </c>
      <c r="CI99" s="2">
        <f>BY99-BZ99</f>
        <v>0</v>
      </c>
      <c r="CJ99" s="2">
        <f>ROUND(SUMIF(AA72:AA97,"=35683522",GX72:GX97),2)</f>
        <v>0</v>
      </c>
      <c r="CK99" s="2">
        <f>ROUND(SUMIF(AA72:AA97,"=35683522",GY72:GY97),2)</f>
        <v>0</v>
      </c>
      <c r="CL99" s="2">
        <f>ROUND(SUMIF(AA72:AA97,"=35683522",GZ72:GZ97),2)</f>
        <v>0</v>
      </c>
      <c r="CM99" s="2">
        <f>ROUND(SUMIF(AA72:AA97,"=35683522",HD72:HD97),2)</f>
        <v>245.73</v>
      </c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>
        <v>0</v>
      </c>
    </row>
    <row r="101" spans="1:245">
      <c r="A101" s="4">
        <v>50</v>
      </c>
      <c r="B101" s="4">
        <v>0</v>
      </c>
      <c r="C101" s="4">
        <v>0</v>
      </c>
      <c r="D101" s="4">
        <v>1</v>
      </c>
      <c r="E101" s="4">
        <v>201</v>
      </c>
      <c r="F101" s="4">
        <f>ROUND(Source!O99,O101)</f>
        <v>98861.1</v>
      </c>
      <c r="G101" s="4" t="s">
        <v>59</v>
      </c>
      <c r="H101" s="4" t="s">
        <v>60</v>
      </c>
      <c r="I101" s="4"/>
      <c r="J101" s="4"/>
      <c r="K101" s="4">
        <v>201</v>
      </c>
      <c r="L101" s="4">
        <v>1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45">
      <c r="A102" s="4">
        <v>50</v>
      </c>
      <c r="B102" s="4">
        <v>0</v>
      </c>
      <c r="C102" s="4">
        <v>0</v>
      </c>
      <c r="D102" s="4">
        <v>1</v>
      </c>
      <c r="E102" s="4">
        <v>202</v>
      </c>
      <c r="F102" s="4">
        <f>ROUND(Source!P99,O102)</f>
        <v>81657.45</v>
      </c>
      <c r="G102" s="4" t="s">
        <v>61</v>
      </c>
      <c r="H102" s="4" t="s">
        <v>62</v>
      </c>
      <c r="I102" s="4"/>
      <c r="J102" s="4"/>
      <c r="K102" s="4">
        <v>202</v>
      </c>
      <c r="L102" s="4">
        <v>2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45">
      <c r="A103" s="4">
        <v>50</v>
      </c>
      <c r="B103" s="4">
        <v>0</v>
      </c>
      <c r="C103" s="4">
        <v>0</v>
      </c>
      <c r="D103" s="4">
        <v>1</v>
      </c>
      <c r="E103" s="4">
        <v>222</v>
      </c>
      <c r="F103" s="4">
        <f>ROUND(Source!AO99,O103)</f>
        <v>0</v>
      </c>
      <c r="G103" s="4" t="s">
        <v>63</v>
      </c>
      <c r="H103" s="4" t="s">
        <v>64</v>
      </c>
      <c r="I103" s="4"/>
      <c r="J103" s="4"/>
      <c r="K103" s="4">
        <v>222</v>
      </c>
      <c r="L103" s="4">
        <v>3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45">
      <c r="A104" s="4">
        <v>50</v>
      </c>
      <c r="B104" s="4">
        <v>0</v>
      </c>
      <c r="C104" s="4">
        <v>0</v>
      </c>
      <c r="D104" s="4">
        <v>1</v>
      </c>
      <c r="E104" s="4">
        <v>225</v>
      </c>
      <c r="F104" s="4">
        <f>ROUND(Source!AV99,O104)</f>
        <v>81657.45</v>
      </c>
      <c r="G104" s="4" t="s">
        <v>65</v>
      </c>
      <c r="H104" s="4" t="s">
        <v>66</v>
      </c>
      <c r="I104" s="4"/>
      <c r="J104" s="4"/>
      <c r="K104" s="4">
        <v>225</v>
      </c>
      <c r="L104" s="4">
        <v>4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45">
      <c r="A105" s="4">
        <v>50</v>
      </c>
      <c r="B105" s="4">
        <v>0</v>
      </c>
      <c r="C105" s="4">
        <v>0</v>
      </c>
      <c r="D105" s="4">
        <v>1</v>
      </c>
      <c r="E105" s="4">
        <v>226</v>
      </c>
      <c r="F105" s="4">
        <f>ROUND(Source!AW99,O105)</f>
        <v>81657.45</v>
      </c>
      <c r="G105" s="4" t="s">
        <v>67</v>
      </c>
      <c r="H105" s="4" t="s">
        <v>68</v>
      </c>
      <c r="I105" s="4"/>
      <c r="J105" s="4"/>
      <c r="K105" s="4">
        <v>226</v>
      </c>
      <c r="L105" s="4">
        <v>5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45">
      <c r="A106" s="4">
        <v>50</v>
      </c>
      <c r="B106" s="4">
        <v>0</v>
      </c>
      <c r="C106" s="4">
        <v>0</v>
      </c>
      <c r="D106" s="4">
        <v>1</v>
      </c>
      <c r="E106" s="4">
        <v>227</v>
      </c>
      <c r="F106" s="4">
        <f>ROUND(Source!AX99,O106)</f>
        <v>0</v>
      </c>
      <c r="G106" s="4" t="s">
        <v>69</v>
      </c>
      <c r="H106" s="4" t="s">
        <v>70</v>
      </c>
      <c r="I106" s="4"/>
      <c r="J106" s="4"/>
      <c r="K106" s="4">
        <v>227</v>
      </c>
      <c r="L106" s="4">
        <v>6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45">
      <c r="A107" s="4">
        <v>50</v>
      </c>
      <c r="B107" s="4">
        <v>0</v>
      </c>
      <c r="C107" s="4">
        <v>0</v>
      </c>
      <c r="D107" s="4">
        <v>1</v>
      </c>
      <c r="E107" s="4">
        <v>228</v>
      </c>
      <c r="F107" s="4">
        <f>ROUND(Source!AY99,O107)</f>
        <v>81657.45</v>
      </c>
      <c r="G107" s="4" t="s">
        <v>71</v>
      </c>
      <c r="H107" s="4" t="s">
        <v>72</v>
      </c>
      <c r="I107" s="4"/>
      <c r="J107" s="4"/>
      <c r="K107" s="4">
        <v>228</v>
      </c>
      <c r="L107" s="4">
        <v>7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45">
      <c r="A108" s="4">
        <v>50</v>
      </c>
      <c r="B108" s="4">
        <v>0</v>
      </c>
      <c r="C108" s="4">
        <v>0</v>
      </c>
      <c r="D108" s="4">
        <v>1</v>
      </c>
      <c r="E108" s="4">
        <v>216</v>
      </c>
      <c r="F108" s="4">
        <f>ROUND(Source!AP99,O108)</f>
        <v>0</v>
      </c>
      <c r="G108" s="4" t="s">
        <v>73</v>
      </c>
      <c r="H108" s="4" t="s">
        <v>74</v>
      </c>
      <c r="I108" s="4"/>
      <c r="J108" s="4"/>
      <c r="K108" s="4">
        <v>216</v>
      </c>
      <c r="L108" s="4">
        <v>8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45">
      <c r="A109" s="4">
        <v>50</v>
      </c>
      <c r="B109" s="4">
        <v>0</v>
      </c>
      <c r="C109" s="4">
        <v>0</v>
      </c>
      <c r="D109" s="4">
        <v>1</v>
      </c>
      <c r="E109" s="4">
        <v>223</v>
      </c>
      <c r="F109" s="4">
        <f>ROUND(Source!AQ99,O109)</f>
        <v>0</v>
      </c>
      <c r="G109" s="4" t="s">
        <v>75</v>
      </c>
      <c r="H109" s="4" t="s">
        <v>76</v>
      </c>
      <c r="I109" s="4"/>
      <c r="J109" s="4"/>
      <c r="K109" s="4">
        <v>223</v>
      </c>
      <c r="L109" s="4">
        <v>9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45">
      <c r="A110" s="4">
        <v>50</v>
      </c>
      <c r="B110" s="4">
        <v>0</v>
      </c>
      <c r="C110" s="4">
        <v>0</v>
      </c>
      <c r="D110" s="4">
        <v>1</v>
      </c>
      <c r="E110" s="4">
        <v>229</v>
      </c>
      <c r="F110" s="4">
        <f>ROUND(Source!AZ99,O110)</f>
        <v>0</v>
      </c>
      <c r="G110" s="4" t="s">
        <v>77</v>
      </c>
      <c r="H110" s="4" t="s">
        <v>78</v>
      </c>
      <c r="I110" s="4"/>
      <c r="J110" s="4"/>
      <c r="K110" s="4">
        <v>229</v>
      </c>
      <c r="L110" s="4">
        <v>10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45">
      <c r="A111" s="4">
        <v>50</v>
      </c>
      <c r="B111" s="4">
        <v>0</v>
      </c>
      <c r="C111" s="4">
        <v>0</v>
      </c>
      <c r="D111" s="4">
        <v>1</v>
      </c>
      <c r="E111" s="4">
        <v>203</v>
      </c>
      <c r="F111" s="4">
        <f>ROUND(Source!Q99,O111)</f>
        <v>1791.28</v>
      </c>
      <c r="G111" s="4" t="s">
        <v>79</v>
      </c>
      <c r="H111" s="4" t="s">
        <v>80</v>
      </c>
      <c r="I111" s="4"/>
      <c r="J111" s="4"/>
      <c r="K111" s="4">
        <v>203</v>
      </c>
      <c r="L111" s="4">
        <v>11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45">
      <c r="A112" s="4">
        <v>50</v>
      </c>
      <c r="B112" s="4">
        <v>0</v>
      </c>
      <c r="C112" s="4">
        <v>0</v>
      </c>
      <c r="D112" s="4">
        <v>1</v>
      </c>
      <c r="E112" s="4">
        <v>231</v>
      </c>
      <c r="F112" s="4">
        <f>ROUND(Source!BB99,O112)</f>
        <v>0</v>
      </c>
      <c r="G112" s="4" t="s">
        <v>81</v>
      </c>
      <c r="H112" s="4" t="s">
        <v>82</v>
      </c>
      <c r="I112" s="4"/>
      <c r="J112" s="4"/>
      <c r="K112" s="4">
        <v>231</v>
      </c>
      <c r="L112" s="4">
        <v>12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3">
      <c r="A113" s="4">
        <v>50</v>
      </c>
      <c r="B113" s="4">
        <v>0</v>
      </c>
      <c r="C113" s="4">
        <v>0</v>
      </c>
      <c r="D113" s="4">
        <v>1</v>
      </c>
      <c r="E113" s="4">
        <v>204</v>
      </c>
      <c r="F113" s="4">
        <f>ROUND(Source!R99,O113)</f>
        <v>695.54</v>
      </c>
      <c r="G113" s="4" t="s">
        <v>83</v>
      </c>
      <c r="H113" s="4" t="s">
        <v>84</v>
      </c>
      <c r="I113" s="4"/>
      <c r="J113" s="4"/>
      <c r="K113" s="4">
        <v>204</v>
      </c>
      <c r="L113" s="4">
        <v>13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3">
      <c r="A114" s="4">
        <v>50</v>
      </c>
      <c r="B114" s="4">
        <v>0</v>
      </c>
      <c r="C114" s="4">
        <v>0</v>
      </c>
      <c r="D114" s="4">
        <v>1</v>
      </c>
      <c r="E114" s="4">
        <v>205</v>
      </c>
      <c r="F114" s="4">
        <f>ROUND(Source!S99,O114)</f>
        <v>15412.37</v>
      </c>
      <c r="G114" s="4" t="s">
        <v>85</v>
      </c>
      <c r="H114" s="4" t="s">
        <v>86</v>
      </c>
      <c r="I114" s="4"/>
      <c r="J114" s="4"/>
      <c r="K114" s="4">
        <v>205</v>
      </c>
      <c r="L114" s="4">
        <v>14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3">
      <c r="A115" s="4">
        <v>50</v>
      </c>
      <c r="B115" s="4">
        <v>0</v>
      </c>
      <c r="C115" s="4">
        <v>0</v>
      </c>
      <c r="D115" s="4">
        <v>1</v>
      </c>
      <c r="E115" s="4">
        <v>232</v>
      </c>
      <c r="F115" s="4">
        <f>ROUND(Source!BC99,O115)</f>
        <v>0</v>
      </c>
      <c r="G115" s="4" t="s">
        <v>87</v>
      </c>
      <c r="H115" s="4" t="s">
        <v>88</v>
      </c>
      <c r="I115" s="4"/>
      <c r="J115" s="4"/>
      <c r="K115" s="4">
        <v>232</v>
      </c>
      <c r="L115" s="4">
        <v>15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3">
      <c r="A116" s="4">
        <v>50</v>
      </c>
      <c r="B116" s="4">
        <v>0</v>
      </c>
      <c r="C116" s="4">
        <v>0</v>
      </c>
      <c r="D116" s="4">
        <v>1</v>
      </c>
      <c r="E116" s="4">
        <v>214</v>
      </c>
      <c r="F116" s="4">
        <f>ROUND(Source!AS99,O116)</f>
        <v>123917.44</v>
      </c>
      <c r="G116" s="4" t="s">
        <v>89</v>
      </c>
      <c r="H116" s="4" t="s">
        <v>90</v>
      </c>
      <c r="I116" s="4"/>
      <c r="J116" s="4"/>
      <c r="K116" s="4">
        <v>214</v>
      </c>
      <c r="L116" s="4">
        <v>16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3">
      <c r="A117" s="4">
        <v>50</v>
      </c>
      <c r="B117" s="4">
        <v>0</v>
      </c>
      <c r="C117" s="4">
        <v>0</v>
      </c>
      <c r="D117" s="4">
        <v>1</v>
      </c>
      <c r="E117" s="4">
        <v>215</v>
      </c>
      <c r="F117" s="4">
        <f>ROUND(Source!AT99,O117)</f>
        <v>0</v>
      </c>
      <c r="G117" s="4" t="s">
        <v>91</v>
      </c>
      <c r="H117" s="4" t="s">
        <v>92</v>
      </c>
      <c r="I117" s="4"/>
      <c r="J117" s="4"/>
      <c r="K117" s="4">
        <v>215</v>
      </c>
      <c r="L117" s="4">
        <v>17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3">
      <c r="A118" s="4">
        <v>50</v>
      </c>
      <c r="B118" s="4">
        <v>0</v>
      </c>
      <c r="C118" s="4">
        <v>0</v>
      </c>
      <c r="D118" s="4">
        <v>1</v>
      </c>
      <c r="E118" s="4">
        <v>217</v>
      </c>
      <c r="F118" s="4">
        <f>ROUND(Source!AU99,O118)</f>
        <v>0</v>
      </c>
      <c r="G118" s="4" t="s">
        <v>93</v>
      </c>
      <c r="H118" s="4" t="s">
        <v>94</v>
      </c>
      <c r="I118" s="4"/>
      <c r="J118" s="4"/>
      <c r="K118" s="4">
        <v>217</v>
      </c>
      <c r="L118" s="4">
        <v>18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3">
      <c r="A119" s="4">
        <v>50</v>
      </c>
      <c r="B119" s="4">
        <v>0</v>
      </c>
      <c r="C119" s="4">
        <v>0</v>
      </c>
      <c r="D119" s="4">
        <v>1</v>
      </c>
      <c r="E119" s="4">
        <v>230</v>
      </c>
      <c r="F119" s="4">
        <f>ROUND(Source!BA99,O119)</f>
        <v>0</v>
      </c>
      <c r="G119" s="4" t="s">
        <v>95</v>
      </c>
      <c r="H119" s="4" t="s">
        <v>96</v>
      </c>
      <c r="I119" s="4"/>
      <c r="J119" s="4"/>
      <c r="K119" s="4">
        <v>230</v>
      </c>
      <c r="L119" s="4">
        <v>19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3">
      <c r="A120" s="4">
        <v>50</v>
      </c>
      <c r="B120" s="4">
        <v>0</v>
      </c>
      <c r="C120" s="4">
        <v>0</v>
      </c>
      <c r="D120" s="4">
        <v>1</v>
      </c>
      <c r="E120" s="4">
        <v>206</v>
      </c>
      <c r="F120" s="4">
        <f>ROUND(Source!T99,O120)</f>
        <v>0</v>
      </c>
      <c r="G120" s="4" t="s">
        <v>97</v>
      </c>
      <c r="H120" s="4" t="s">
        <v>98</v>
      </c>
      <c r="I120" s="4"/>
      <c r="J120" s="4"/>
      <c r="K120" s="4">
        <v>206</v>
      </c>
      <c r="L120" s="4">
        <v>20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3">
      <c r="A121" s="4">
        <v>50</v>
      </c>
      <c r="B121" s="4">
        <v>0</v>
      </c>
      <c r="C121" s="4">
        <v>0</v>
      </c>
      <c r="D121" s="4">
        <v>1</v>
      </c>
      <c r="E121" s="4">
        <v>207</v>
      </c>
      <c r="F121" s="4">
        <f>Source!U99</f>
        <v>50.933545999999993</v>
      </c>
      <c r="G121" s="4" t="s">
        <v>99</v>
      </c>
      <c r="H121" s="4" t="s">
        <v>100</v>
      </c>
      <c r="I121" s="4"/>
      <c r="J121" s="4"/>
      <c r="K121" s="4">
        <v>207</v>
      </c>
      <c r="L121" s="4">
        <v>21</v>
      </c>
      <c r="M121" s="4">
        <v>3</v>
      </c>
      <c r="N121" s="4" t="s">
        <v>3</v>
      </c>
      <c r="O121" s="4">
        <v>-1</v>
      </c>
      <c r="P121" s="4"/>
      <c r="Q121" s="4"/>
      <c r="R121" s="4"/>
      <c r="S121" s="4"/>
      <c r="T121" s="4"/>
      <c r="U121" s="4"/>
      <c r="V121" s="4"/>
      <c r="W121" s="4"/>
    </row>
    <row r="122" spans="1:23">
      <c r="A122" s="4">
        <v>50</v>
      </c>
      <c r="B122" s="4">
        <v>0</v>
      </c>
      <c r="C122" s="4">
        <v>0</v>
      </c>
      <c r="D122" s="4">
        <v>1</v>
      </c>
      <c r="E122" s="4">
        <v>208</v>
      </c>
      <c r="F122" s="4">
        <f>Source!V99</f>
        <v>1.7634999999999998</v>
      </c>
      <c r="G122" s="4" t="s">
        <v>101</v>
      </c>
      <c r="H122" s="4" t="s">
        <v>102</v>
      </c>
      <c r="I122" s="4"/>
      <c r="J122" s="4"/>
      <c r="K122" s="4">
        <v>208</v>
      </c>
      <c r="L122" s="4">
        <v>22</v>
      </c>
      <c r="M122" s="4">
        <v>3</v>
      </c>
      <c r="N122" s="4" t="s">
        <v>3</v>
      </c>
      <c r="O122" s="4">
        <v>-1</v>
      </c>
      <c r="P122" s="4"/>
      <c r="Q122" s="4"/>
      <c r="R122" s="4"/>
      <c r="S122" s="4"/>
      <c r="T122" s="4"/>
      <c r="U122" s="4"/>
      <c r="V122" s="4"/>
      <c r="W122" s="4"/>
    </row>
    <row r="123" spans="1:23">
      <c r="A123" s="4">
        <v>50</v>
      </c>
      <c r="B123" s="4">
        <v>0</v>
      </c>
      <c r="C123" s="4">
        <v>0</v>
      </c>
      <c r="D123" s="4">
        <v>1</v>
      </c>
      <c r="E123" s="4">
        <v>209</v>
      </c>
      <c r="F123" s="4">
        <f>ROUND(Source!W99,O123)</f>
        <v>5.09</v>
      </c>
      <c r="G123" s="4" t="s">
        <v>103</v>
      </c>
      <c r="H123" s="4" t="s">
        <v>104</v>
      </c>
      <c r="I123" s="4"/>
      <c r="J123" s="4"/>
      <c r="K123" s="4">
        <v>209</v>
      </c>
      <c r="L123" s="4">
        <v>23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3">
      <c r="A124" s="4">
        <v>50</v>
      </c>
      <c r="B124" s="4">
        <v>0</v>
      </c>
      <c r="C124" s="4">
        <v>0</v>
      </c>
      <c r="D124" s="4">
        <v>1</v>
      </c>
      <c r="E124" s="4">
        <v>233</v>
      </c>
      <c r="F124" s="4">
        <f>ROUND(Source!BD99,O124)</f>
        <v>245.73</v>
      </c>
      <c r="G124" s="4" t="s">
        <v>105</v>
      </c>
      <c r="H124" s="4" t="s">
        <v>106</v>
      </c>
      <c r="I124" s="4"/>
      <c r="J124" s="4"/>
      <c r="K124" s="4">
        <v>233</v>
      </c>
      <c r="L124" s="4">
        <v>24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3">
      <c r="A125" s="4">
        <v>50</v>
      </c>
      <c r="B125" s="4">
        <v>0</v>
      </c>
      <c r="C125" s="4">
        <v>0</v>
      </c>
      <c r="D125" s="4">
        <v>1</v>
      </c>
      <c r="E125" s="4">
        <v>210</v>
      </c>
      <c r="F125" s="4">
        <f>ROUND(Source!X99,O125)</f>
        <v>15497.31</v>
      </c>
      <c r="G125" s="4" t="s">
        <v>107</v>
      </c>
      <c r="H125" s="4" t="s">
        <v>108</v>
      </c>
      <c r="I125" s="4"/>
      <c r="J125" s="4"/>
      <c r="K125" s="4">
        <v>210</v>
      </c>
      <c r="L125" s="4">
        <v>25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3">
      <c r="A126" s="4">
        <v>50</v>
      </c>
      <c r="B126" s="4">
        <v>0</v>
      </c>
      <c r="C126" s="4">
        <v>0</v>
      </c>
      <c r="D126" s="4">
        <v>1</v>
      </c>
      <c r="E126" s="4">
        <v>211</v>
      </c>
      <c r="F126" s="4">
        <f>ROUND(Source!Y99,O126)</f>
        <v>9559.0300000000007</v>
      </c>
      <c r="G126" s="4" t="s">
        <v>109</v>
      </c>
      <c r="H126" s="4" t="s">
        <v>110</v>
      </c>
      <c r="I126" s="4"/>
      <c r="J126" s="4"/>
      <c r="K126" s="4">
        <v>211</v>
      </c>
      <c r="L126" s="4">
        <v>26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/>
    </row>
    <row r="127" spans="1:23">
      <c r="A127" s="4">
        <v>50</v>
      </c>
      <c r="B127" s="4">
        <v>0</v>
      </c>
      <c r="C127" s="4">
        <v>0</v>
      </c>
      <c r="D127" s="4">
        <v>1</v>
      </c>
      <c r="E127" s="4">
        <v>224</v>
      </c>
      <c r="F127" s="4">
        <f>ROUND(Source!AR99,O127)</f>
        <v>123917.44</v>
      </c>
      <c r="G127" s="4" t="s">
        <v>111</v>
      </c>
      <c r="H127" s="4" t="s">
        <v>112</v>
      </c>
      <c r="I127" s="4"/>
      <c r="J127" s="4"/>
      <c r="K127" s="4">
        <v>224</v>
      </c>
      <c r="L127" s="4">
        <v>27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9" spans="1:206">
      <c r="A129" s="1">
        <v>4</v>
      </c>
      <c r="B129" s="1">
        <v>0</v>
      </c>
      <c r="C129" s="1"/>
      <c r="D129" s="1">
        <f>ROW(A133)</f>
        <v>133</v>
      </c>
      <c r="E129" s="1"/>
      <c r="F129" s="1" t="s">
        <v>13</v>
      </c>
      <c r="G129" s="1" t="s">
        <v>3</v>
      </c>
      <c r="H129" s="1" t="s">
        <v>3</v>
      </c>
      <c r="I129" s="1">
        <v>0</v>
      </c>
      <c r="J129" s="1"/>
      <c r="K129" s="1">
        <v>-1</v>
      </c>
      <c r="L129" s="1"/>
      <c r="M129" s="1" t="s">
        <v>3</v>
      </c>
      <c r="N129" s="1"/>
      <c r="O129" s="1"/>
      <c r="P129" s="1"/>
      <c r="Q129" s="1"/>
      <c r="R129" s="1"/>
      <c r="S129" s="1">
        <v>0</v>
      </c>
      <c r="T129" s="1"/>
      <c r="U129" s="1" t="s">
        <v>3</v>
      </c>
      <c r="V129" s="1">
        <v>0</v>
      </c>
      <c r="W129" s="1"/>
      <c r="X129" s="1"/>
      <c r="Y129" s="1"/>
      <c r="Z129" s="1"/>
      <c r="AA129" s="1"/>
      <c r="AB129" s="1" t="s">
        <v>3</v>
      </c>
      <c r="AC129" s="1" t="s">
        <v>3</v>
      </c>
      <c r="AD129" s="1" t="s">
        <v>3</v>
      </c>
      <c r="AE129" s="1" t="s">
        <v>3</v>
      </c>
      <c r="AF129" s="1" t="s">
        <v>3</v>
      </c>
      <c r="AG129" s="1" t="s">
        <v>3</v>
      </c>
      <c r="AH129" s="1"/>
      <c r="AI129" s="1"/>
      <c r="AJ129" s="1"/>
      <c r="AK129" s="1"/>
      <c r="AL129" s="1"/>
      <c r="AM129" s="1"/>
      <c r="AN129" s="1"/>
      <c r="AO129" s="1"/>
      <c r="AP129" s="1" t="s">
        <v>3</v>
      </c>
      <c r="AQ129" s="1" t="s">
        <v>3</v>
      </c>
      <c r="AR129" s="1" t="s">
        <v>3</v>
      </c>
      <c r="AS129" s="1"/>
      <c r="AT129" s="1"/>
      <c r="AU129" s="1"/>
      <c r="AV129" s="1"/>
      <c r="AW129" s="1"/>
      <c r="AX129" s="1"/>
      <c r="AY129" s="1"/>
      <c r="AZ129" s="1" t="s">
        <v>3</v>
      </c>
      <c r="BA129" s="1"/>
      <c r="BB129" s="1" t="s">
        <v>3</v>
      </c>
      <c r="BC129" s="1" t="s">
        <v>3</v>
      </c>
      <c r="BD129" s="1" t="s">
        <v>3</v>
      </c>
      <c r="BE129" s="1" t="s">
        <v>3</v>
      </c>
      <c r="BF129" s="1" t="s">
        <v>3</v>
      </c>
      <c r="BG129" s="1" t="s">
        <v>3</v>
      </c>
      <c r="BH129" s="1" t="s">
        <v>3</v>
      </c>
      <c r="BI129" s="1" t="s">
        <v>3</v>
      </c>
      <c r="BJ129" s="1" t="s">
        <v>3</v>
      </c>
      <c r="BK129" s="1" t="s">
        <v>3</v>
      </c>
      <c r="BL129" s="1" t="s">
        <v>3</v>
      </c>
      <c r="BM129" s="1" t="s">
        <v>3</v>
      </c>
      <c r="BN129" s="1" t="s">
        <v>3</v>
      </c>
      <c r="BO129" s="1" t="s">
        <v>3</v>
      </c>
      <c r="BP129" s="1" t="s">
        <v>3</v>
      </c>
      <c r="BQ129" s="1"/>
      <c r="BR129" s="1"/>
      <c r="BS129" s="1"/>
      <c r="BT129" s="1"/>
      <c r="BU129" s="1"/>
      <c r="BV129" s="1"/>
      <c r="BW129" s="1"/>
      <c r="BX129" s="1">
        <v>0</v>
      </c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>
        <v>0</v>
      </c>
    </row>
    <row r="131" spans="1:206">
      <c r="A131" s="2">
        <v>52</v>
      </c>
      <c r="B131" s="2">
        <f t="shared" ref="B131:G131" si="112">B133</f>
        <v>0</v>
      </c>
      <c r="C131" s="2">
        <f t="shared" si="112"/>
        <v>4</v>
      </c>
      <c r="D131" s="2">
        <f t="shared" si="112"/>
        <v>129</v>
      </c>
      <c r="E131" s="2">
        <f t="shared" si="112"/>
        <v>0</v>
      </c>
      <c r="F131" s="2" t="str">
        <f t="shared" si="112"/>
        <v>Новый раздел</v>
      </c>
      <c r="G131" s="2" t="str">
        <f t="shared" si="112"/>
        <v/>
      </c>
      <c r="H131" s="2"/>
      <c r="I131" s="2"/>
      <c r="J131" s="2"/>
      <c r="K131" s="2"/>
      <c r="L131" s="2"/>
      <c r="M131" s="2"/>
      <c r="N131" s="2"/>
      <c r="O131" s="2">
        <f t="shared" ref="O131:AT131" si="113">O133</f>
        <v>0</v>
      </c>
      <c r="P131" s="2">
        <f t="shared" si="113"/>
        <v>0</v>
      </c>
      <c r="Q131" s="2">
        <f t="shared" si="113"/>
        <v>0</v>
      </c>
      <c r="R131" s="2">
        <f t="shared" si="113"/>
        <v>0</v>
      </c>
      <c r="S131" s="2">
        <f t="shared" si="113"/>
        <v>0</v>
      </c>
      <c r="T131" s="2">
        <f t="shared" si="113"/>
        <v>0</v>
      </c>
      <c r="U131" s="2">
        <f t="shared" si="113"/>
        <v>0</v>
      </c>
      <c r="V131" s="2">
        <f t="shared" si="113"/>
        <v>0</v>
      </c>
      <c r="W131" s="2">
        <f t="shared" si="113"/>
        <v>0</v>
      </c>
      <c r="X131" s="2">
        <f t="shared" si="113"/>
        <v>0</v>
      </c>
      <c r="Y131" s="2">
        <f t="shared" si="113"/>
        <v>0</v>
      </c>
      <c r="Z131" s="2">
        <f t="shared" si="113"/>
        <v>0</v>
      </c>
      <c r="AA131" s="2">
        <f t="shared" si="113"/>
        <v>0</v>
      </c>
      <c r="AB131" s="2">
        <f t="shared" si="113"/>
        <v>0</v>
      </c>
      <c r="AC131" s="2">
        <f t="shared" si="113"/>
        <v>0</v>
      </c>
      <c r="AD131" s="2">
        <f t="shared" si="113"/>
        <v>0</v>
      </c>
      <c r="AE131" s="2">
        <f t="shared" si="113"/>
        <v>0</v>
      </c>
      <c r="AF131" s="2">
        <f t="shared" si="113"/>
        <v>0</v>
      </c>
      <c r="AG131" s="2">
        <f t="shared" si="113"/>
        <v>0</v>
      </c>
      <c r="AH131" s="2">
        <f t="shared" si="113"/>
        <v>0</v>
      </c>
      <c r="AI131" s="2">
        <f t="shared" si="113"/>
        <v>0</v>
      </c>
      <c r="AJ131" s="2">
        <f t="shared" si="113"/>
        <v>0</v>
      </c>
      <c r="AK131" s="2">
        <f t="shared" si="113"/>
        <v>0</v>
      </c>
      <c r="AL131" s="2">
        <f t="shared" si="113"/>
        <v>0</v>
      </c>
      <c r="AM131" s="2">
        <f t="shared" si="113"/>
        <v>0</v>
      </c>
      <c r="AN131" s="2">
        <f t="shared" si="113"/>
        <v>0</v>
      </c>
      <c r="AO131" s="2">
        <f t="shared" si="113"/>
        <v>0</v>
      </c>
      <c r="AP131" s="2">
        <f t="shared" si="113"/>
        <v>0</v>
      </c>
      <c r="AQ131" s="2">
        <f t="shared" si="113"/>
        <v>0</v>
      </c>
      <c r="AR131" s="2">
        <f t="shared" si="113"/>
        <v>0</v>
      </c>
      <c r="AS131" s="2">
        <f t="shared" si="113"/>
        <v>0</v>
      </c>
      <c r="AT131" s="2">
        <f t="shared" si="113"/>
        <v>0</v>
      </c>
      <c r="AU131" s="2">
        <f t="shared" ref="AU131:BZ131" si="114">AU133</f>
        <v>0</v>
      </c>
      <c r="AV131" s="2">
        <f t="shared" si="114"/>
        <v>0</v>
      </c>
      <c r="AW131" s="2">
        <f t="shared" si="114"/>
        <v>0</v>
      </c>
      <c r="AX131" s="2">
        <f t="shared" si="114"/>
        <v>0</v>
      </c>
      <c r="AY131" s="2">
        <f t="shared" si="114"/>
        <v>0</v>
      </c>
      <c r="AZ131" s="2">
        <f t="shared" si="114"/>
        <v>0</v>
      </c>
      <c r="BA131" s="2">
        <f t="shared" si="114"/>
        <v>0</v>
      </c>
      <c r="BB131" s="2">
        <f t="shared" si="114"/>
        <v>0</v>
      </c>
      <c r="BC131" s="2">
        <f t="shared" si="114"/>
        <v>0</v>
      </c>
      <c r="BD131" s="2">
        <f t="shared" si="114"/>
        <v>0</v>
      </c>
      <c r="BE131" s="2">
        <f t="shared" si="114"/>
        <v>0</v>
      </c>
      <c r="BF131" s="2">
        <f t="shared" si="114"/>
        <v>0</v>
      </c>
      <c r="BG131" s="2">
        <f t="shared" si="114"/>
        <v>0</v>
      </c>
      <c r="BH131" s="2">
        <f t="shared" si="114"/>
        <v>0</v>
      </c>
      <c r="BI131" s="2">
        <f t="shared" si="114"/>
        <v>0</v>
      </c>
      <c r="BJ131" s="2">
        <f t="shared" si="114"/>
        <v>0</v>
      </c>
      <c r="BK131" s="2">
        <f t="shared" si="114"/>
        <v>0</v>
      </c>
      <c r="BL131" s="2">
        <f t="shared" si="114"/>
        <v>0</v>
      </c>
      <c r="BM131" s="2">
        <f t="shared" si="114"/>
        <v>0</v>
      </c>
      <c r="BN131" s="2">
        <f t="shared" si="114"/>
        <v>0</v>
      </c>
      <c r="BO131" s="2">
        <f t="shared" si="114"/>
        <v>0</v>
      </c>
      <c r="BP131" s="2">
        <f t="shared" si="114"/>
        <v>0</v>
      </c>
      <c r="BQ131" s="2">
        <f t="shared" si="114"/>
        <v>0</v>
      </c>
      <c r="BR131" s="2">
        <f t="shared" si="114"/>
        <v>0</v>
      </c>
      <c r="BS131" s="2">
        <f t="shared" si="114"/>
        <v>0</v>
      </c>
      <c r="BT131" s="2">
        <f t="shared" si="114"/>
        <v>0</v>
      </c>
      <c r="BU131" s="2">
        <f t="shared" si="114"/>
        <v>0</v>
      </c>
      <c r="BV131" s="2">
        <f t="shared" si="114"/>
        <v>0</v>
      </c>
      <c r="BW131" s="2">
        <f t="shared" si="114"/>
        <v>0</v>
      </c>
      <c r="BX131" s="2">
        <f t="shared" si="114"/>
        <v>0</v>
      </c>
      <c r="BY131" s="2">
        <f t="shared" si="114"/>
        <v>0</v>
      </c>
      <c r="BZ131" s="2">
        <f t="shared" si="114"/>
        <v>0</v>
      </c>
      <c r="CA131" s="2">
        <f t="shared" ref="CA131:DF131" si="115">CA133</f>
        <v>0</v>
      </c>
      <c r="CB131" s="2">
        <f t="shared" si="115"/>
        <v>0</v>
      </c>
      <c r="CC131" s="2">
        <f t="shared" si="115"/>
        <v>0</v>
      </c>
      <c r="CD131" s="2">
        <f t="shared" si="115"/>
        <v>0</v>
      </c>
      <c r="CE131" s="2">
        <f t="shared" si="115"/>
        <v>0</v>
      </c>
      <c r="CF131" s="2">
        <f t="shared" si="115"/>
        <v>0</v>
      </c>
      <c r="CG131" s="2">
        <f t="shared" si="115"/>
        <v>0</v>
      </c>
      <c r="CH131" s="2">
        <f t="shared" si="115"/>
        <v>0</v>
      </c>
      <c r="CI131" s="2">
        <f t="shared" si="115"/>
        <v>0</v>
      </c>
      <c r="CJ131" s="2">
        <f t="shared" si="115"/>
        <v>0</v>
      </c>
      <c r="CK131" s="2">
        <f t="shared" si="115"/>
        <v>0</v>
      </c>
      <c r="CL131" s="2">
        <f t="shared" si="115"/>
        <v>0</v>
      </c>
      <c r="CM131" s="2">
        <f t="shared" si="115"/>
        <v>0</v>
      </c>
      <c r="CN131" s="2">
        <f t="shared" si="115"/>
        <v>0</v>
      </c>
      <c r="CO131" s="2">
        <f t="shared" si="115"/>
        <v>0</v>
      </c>
      <c r="CP131" s="2">
        <f t="shared" si="115"/>
        <v>0</v>
      </c>
      <c r="CQ131" s="2">
        <f t="shared" si="115"/>
        <v>0</v>
      </c>
      <c r="CR131" s="2">
        <f t="shared" si="115"/>
        <v>0</v>
      </c>
      <c r="CS131" s="2">
        <f t="shared" si="115"/>
        <v>0</v>
      </c>
      <c r="CT131" s="2">
        <f t="shared" si="115"/>
        <v>0</v>
      </c>
      <c r="CU131" s="2">
        <f t="shared" si="115"/>
        <v>0</v>
      </c>
      <c r="CV131" s="2">
        <f t="shared" si="115"/>
        <v>0</v>
      </c>
      <c r="CW131" s="2">
        <f t="shared" si="115"/>
        <v>0</v>
      </c>
      <c r="CX131" s="2">
        <f t="shared" si="115"/>
        <v>0</v>
      </c>
      <c r="CY131" s="2">
        <f t="shared" si="115"/>
        <v>0</v>
      </c>
      <c r="CZ131" s="2">
        <f t="shared" si="115"/>
        <v>0</v>
      </c>
      <c r="DA131" s="2">
        <f t="shared" si="115"/>
        <v>0</v>
      </c>
      <c r="DB131" s="2">
        <f t="shared" si="115"/>
        <v>0</v>
      </c>
      <c r="DC131" s="2">
        <f t="shared" si="115"/>
        <v>0</v>
      </c>
      <c r="DD131" s="2">
        <f t="shared" si="115"/>
        <v>0</v>
      </c>
      <c r="DE131" s="2">
        <f t="shared" si="115"/>
        <v>0</v>
      </c>
      <c r="DF131" s="2">
        <f t="shared" si="115"/>
        <v>0</v>
      </c>
      <c r="DG131" s="3">
        <f t="shared" ref="DG131:EL131" si="116">DG133</f>
        <v>0</v>
      </c>
      <c r="DH131" s="3">
        <f t="shared" si="116"/>
        <v>0</v>
      </c>
      <c r="DI131" s="3">
        <f t="shared" si="116"/>
        <v>0</v>
      </c>
      <c r="DJ131" s="3">
        <f t="shared" si="116"/>
        <v>0</v>
      </c>
      <c r="DK131" s="3">
        <f t="shared" si="116"/>
        <v>0</v>
      </c>
      <c r="DL131" s="3">
        <f t="shared" si="116"/>
        <v>0</v>
      </c>
      <c r="DM131" s="3">
        <f t="shared" si="116"/>
        <v>0</v>
      </c>
      <c r="DN131" s="3">
        <f t="shared" si="116"/>
        <v>0</v>
      </c>
      <c r="DO131" s="3">
        <f t="shared" si="116"/>
        <v>0</v>
      </c>
      <c r="DP131" s="3">
        <f t="shared" si="116"/>
        <v>0</v>
      </c>
      <c r="DQ131" s="3">
        <f t="shared" si="116"/>
        <v>0</v>
      </c>
      <c r="DR131" s="3">
        <f t="shared" si="116"/>
        <v>0</v>
      </c>
      <c r="DS131" s="3">
        <f t="shared" si="116"/>
        <v>0</v>
      </c>
      <c r="DT131" s="3">
        <f t="shared" si="116"/>
        <v>0</v>
      </c>
      <c r="DU131" s="3">
        <f t="shared" si="116"/>
        <v>0</v>
      </c>
      <c r="DV131" s="3">
        <f t="shared" si="116"/>
        <v>0</v>
      </c>
      <c r="DW131" s="3">
        <f t="shared" si="116"/>
        <v>0</v>
      </c>
      <c r="DX131" s="3">
        <f t="shared" si="116"/>
        <v>0</v>
      </c>
      <c r="DY131" s="3">
        <f t="shared" si="116"/>
        <v>0</v>
      </c>
      <c r="DZ131" s="3">
        <f t="shared" si="116"/>
        <v>0</v>
      </c>
      <c r="EA131" s="3">
        <f t="shared" si="116"/>
        <v>0</v>
      </c>
      <c r="EB131" s="3">
        <f t="shared" si="116"/>
        <v>0</v>
      </c>
      <c r="EC131" s="3">
        <f t="shared" si="116"/>
        <v>0</v>
      </c>
      <c r="ED131" s="3">
        <f t="shared" si="116"/>
        <v>0</v>
      </c>
      <c r="EE131" s="3">
        <f t="shared" si="116"/>
        <v>0</v>
      </c>
      <c r="EF131" s="3">
        <f t="shared" si="116"/>
        <v>0</v>
      </c>
      <c r="EG131" s="3">
        <f t="shared" si="116"/>
        <v>0</v>
      </c>
      <c r="EH131" s="3">
        <f t="shared" si="116"/>
        <v>0</v>
      </c>
      <c r="EI131" s="3">
        <f t="shared" si="116"/>
        <v>0</v>
      </c>
      <c r="EJ131" s="3">
        <f t="shared" si="116"/>
        <v>0</v>
      </c>
      <c r="EK131" s="3">
        <f t="shared" si="116"/>
        <v>0</v>
      </c>
      <c r="EL131" s="3">
        <f t="shared" si="116"/>
        <v>0</v>
      </c>
      <c r="EM131" s="3">
        <f t="shared" ref="EM131:FR131" si="117">EM133</f>
        <v>0</v>
      </c>
      <c r="EN131" s="3">
        <f t="shared" si="117"/>
        <v>0</v>
      </c>
      <c r="EO131" s="3">
        <f t="shared" si="117"/>
        <v>0</v>
      </c>
      <c r="EP131" s="3">
        <f t="shared" si="117"/>
        <v>0</v>
      </c>
      <c r="EQ131" s="3">
        <f t="shared" si="117"/>
        <v>0</v>
      </c>
      <c r="ER131" s="3">
        <f t="shared" si="117"/>
        <v>0</v>
      </c>
      <c r="ES131" s="3">
        <f t="shared" si="117"/>
        <v>0</v>
      </c>
      <c r="ET131" s="3">
        <f t="shared" si="117"/>
        <v>0</v>
      </c>
      <c r="EU131" s="3">
        <f t="shared" si="117"/>
        <v>0</v>
      </c>
      <c r="EV131" s="3">
        <f t="shared" si="117"/>
        <v>0</v>
      </c>
      <c r="EW131" s="3">
        <f t="shared" si="117"/>
        <v>0</v>
      </c>
      <c r="EX131" s="3">
        <f t="shared" si="117"/>
        <v>0</v>
      </c>
      <c r="EY131" s="3">
        <f t="shared" si="117"/>
        <v>0</v>
      </c>
      <c r="EZ131" s="3">
        <f t="shared" si="117"/>
        <v>0</v>
      </c>
      <c r="FA131" s="3">
        <f t="shared" si="117"/>
        <v>0</v>
      </c>
      <c r="FB131" s="3">
        <f t="shared" si="117"/>
        <v>0</v>
      </c>
      <c r="FC131" s="3">
        <f t="shared" si="117"/>
        <v>0</v>
      </c>
      <c r="FD131" s="3">
        <f t="shared" si="117"/>
        <v>0</v>
      </c>
      <c r="FE131" s="3">
        <f t="shared" si="117"/>
        <v>0</v>
      </c>
      <c r="FF131" s="3">
        <f t="shared" si="117"/>
        <v>0</v>
      </c>
      <c r="FG131" s="3">
        <f t="shared" si="117"/>
        <v>0</v>
      </c>
      <c r="FH131" s="3">
        <f t="shared" si="117"/>
        <v>0</v>
      </c>
      <c r="FI131" s="3">
        <f t="shared" si="117"/>
        <v>0</v>
      </c>
      <c r="FJ131" s="3">
        <f t="shared" si="117"/>
        <v>0</v>
      </c>
      <c r="FK131" s="3">
        <f t="shared" si="117"/>
        <v>0</v>
      </c>
      <c r="FL131" s="3">
        <f t="shared" si="117"/>
        <v>0</v>
      </c>
      <c r="FM131" s="3">
        <f t="shared" si="117"/>
        <v>0</v>
      </c>
      <c r="FN131" s="3">
        <f t="shared" si="117"/>
        <v>0</v>
      </c>
      <c r="FO131" s="3">
        <f t="shared" si="117"/>
        <v>0</v>
      </c>
      <c r="FP131" s="3">
        <f t="shared" si="117"/>
        <v>0</v>
      </c>
      <c r="FQ131" s="3">
        <f t="shared" si="117"/>
        <v>0</v>
      </c>
      <c r="FR131" s="3">
        <f t="shared" si="117"/>
        <v>0</v>
      </c>
      <c r="FS131" s="3">
        <f t="shared" ref="FS131:GX131" si="118">FS133</f>
        <v>0</v>
      </c>
      <c r="FT131" s="3">
        <f t="shared" si="118"/>
        <v>0</v>
      </c>
      <c r="FU131" s="3">
        <f t="shared" si="118"/>
        <v>0</v>
      </c>
      <c r="FV131" s="3">
        <f t="shared" si="118"/>
        <v>0</v>
      </c>
      <c r="FW131" s="3">
        <f t="shared" si="118"/>
        <v>0</v>
      </c>
      <c r="FX131" s="3">
        <f t="shared" si="118"/>
        <v>0</v>
      </c>
      <c r="FY131" s="3">
        <f t="shared" si="118"/>
        <v>0</v>
      </c>
      <c r="FZ131" s="3">
        <f t="shared" si="118"/>
        <v>0</v>
      </c>
      <c r="GA131" s="3">
        <f t="shared" si="118"/>
        <v>0</v>
      </c>
      <c r="GB131" s="3">
        <f t="shared" si="118"/>
        <v>0</v>
      </c>
      <c r="GC131" s="3">
        <f t="shared" si="118"/>
        <v>0</v>
      </c>
      <c r="GD131" s="3">
        <f t="shared" si="118"/>
        <v>0</v>
      </c>
      <c r="GE131" s="3">
        <f t="shared" si="118"/>
        <v>0</v>
      </c>
      <c r="GF131" s="3">
        <f t="shared" si="118"/>
        <v>0</v>
      </c>
      <c r="GG131" s="3">
        <f t="shared" si="118"/>
        <v>0</v>
      </c>
      <c r="GH131" s="3">
        <f t="shared" si="118"/>
        <v>0</v>
      </c>
      <c r="GI131" s="3">
        <f t="shared" si="118"/>
        <v>0</v>
      </c>
      <c r="GJ131" s="3">
        <f t="shared" si="118"/>
        <v>0</v>
      </c>
      <c r="GK131" s="3">
        <f t="shared" si="118"/>
        <v>0</v>
      </c>
      <c r="GL131" s="3">
        <f t="shared" si="118"/>
        <v>0</v>
      </c>
      <c r="GM131" s="3">
        <f t="shared" si="118"/>
        <v>0</v>
      </c>
      <c r="GN131" s="3">
        <f t="shared" si="118"/>
        <v>0</v>
      </c>
      <c r="GO131" s="3">
        <f t="shared" si="118"/>
        <v>0</v>
      </c>
      <c r="GP131" s="3">
        <f t="shared" si="118"/>
        <v>0</v>
      </c>
      <c r="GQ131" s="3">
        <f t="shared" si="118"/>
        <v>0</v>
      </c>
      <c r="GR131" s="3">
        <f t="shared" si="118"/>
        <v>0</v>
      </c>
      <c r="GS131" s="3">
        <f t="shared" si="118"/>
        <v>0</v>
      </c>
      <c r="GT131" s="3">
        <f t="shared" si="118"/>
        <v>0</v>
      </c>
      <c r="GU131" s="3">
        <f t="shared" si="118"/>
        <v>0</v>
      </c>
      <c r="GV131" s="3">
        <f t="shared" si="118"/>
        <v>0</v>
      </c>
      <c r="GW131" s="3">
        <f t="shared" si="118"/>
        <v>0</v>
      </c>
      <c r="GX131" s="3">
        <f t="shared" si="118"/>
        <v>0</v>
      </c>
    </row>
    <row r="133" spans="1:206">
      <c r="A133" s="2">
        <v>51</v>
      </c>
      <c r="B133" s="2">
        <f>B129</f>
        <v>0</v>
      </c>
      <c r="C133" s="2">
        <f>A129</f>
        <v>4</v>
      </c>
      <c r="D133" s="2">
        <f>ROW(A129)</f>
        <v>129</v>
      </c>
      <c r="E133" s="2"/>
      <c r="F133" s="2" t="str">
        <f>IF(F129&lt;&gt;"",F129,"")</f>
        <v>Новый раздел</v>
      </c>
      <c r="G133" s="2" t="str">
        <f>IF(G129&lt;&gt;"",G129,"")</f>
        <v/>
      </c>
      <c r="H133" s="2">
        <v>0</v>
      </c>
      <c r="I133" s="2"/>
      <c r="J133" s="2"/>
      <c r="K133" s="2"/>
      <c r="L133" s="2"/>
      <c r="M133" s="2"/>
      <c r="N133" s="2"/>
      <c r="O133" s="2">
        <f t="shared" ref="O133:T133" si="119">ROUND(AB133,2)</f>
        <v>0</v>
      </c>
      <c r="P133" s="2">
        <f t="shared" si="119"/>
        <v>0</v>
      </c>
      <c r="Q133" s="2">
        <f t="shared" si="119"/>
        <v>0</v>
      </c>
      <c r="R133" s="2">
        <f t="shared" si="119"/>
        <v>0</v>
      </c>
      <c r="S133" s="2">
        <f t="shared" si="119"/>
        <v>0</v>
      </c>
      <c r="T133" s="2">
        <f t="shared" si="119"/>
        <v>0</v>
      </c>
      <c r="U133" s="2">
        <f>AH133</f>
        <v>0</v>
      </c>
      <c r="V133" s="2">
        <f>AI133</f>
        <v>0</v>
      </c>
      <c r="W133" s="2">
        <f>ROUND(AJ133,2)</f>
        <v>0</v>
      </c>
      <c r="X133" s="2">
        <f>ROUND(AK133,2)</f>
        <v>0</v>
      </c>
      <c r="Y133" s="2">
        <f>ROUND(AL133,2)</f>
        <v>0</v>
      </c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>
        <f t="shared" ref="AO133:BD133" si="120">ROUND(BX133,2)</f>
        <v>0</v>
      </c>
      <c r="AP133" s="2">
        <f t="shared" si="120"/>
        <v>0</v>
      </c>
      <c r="AQ133" s="2">
        <f t="shared" si="120"/>
        <v>0</v>
      </c>
      <c r="AR133" s="2">
        <f t="shared" si="120"/>
        <v>0</v>
      </c>
      <c r="AS133" s="2">
        <f t="shared" si="120"/>
        <v>0</v>
      </c>
      <c r="AT133" s="2">
        <f t="shared" si="120"/>
        <v>0</v>
      </c>
      <c r="AU133" s="2">
        <f t="shared" si="120"/>
        <v>0</v>
      </c>
      <c r="AV133" s="2">
        <f t="shared" si="120"/>
        <v>0</v>
      </c>
      <c r="AW133" s="2">
        <f t="shared" si="120"/>
        <v>0</v>
      </c>
      <c r="AX133" s="2">
        <f t="shared" si="120"/>
        <v>0</v>
      </c>
      <c r="AY133" s="2">
        <f t="shared" si="120"/>
        <v>0</v>
      </c>
      <c r="AZ133" s="2">
        <f t="shared" si="120"/>
        <v>0</v>
      </c>
      <c r="BA133" s="2">
        <f t="shared" si="120"/>
        <v>0</v>
      </c>
      <c r="BB133" s="2">
        <f t="shared" si="120"/>
        <v>0</v>
      </c>
      <c r="BC133" s="2">
        <f t="shared" si="120"/>
        <v>0</v>
      </c>
      <c r="BD133" s="2">
        <f t="shared" si="120"/>
        <v>0</v>
      </c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>
        <v>0</v>
      </c>
    </row>
    <row r="135" spans="1:206">
      <c r="A135" s="4">
        <v>50</v>
      </c>
      <c r="B135" s="4">
        <v>0</v>
      </c>
      <c r="C135" s="4">
        <v>0</v>
      </c>
      <c r="D135" s="4">
        <v>1</v>
      </c>
      <c r="E135" s="4">
        <v>201</v>
      </c>
      <c r="F135" s="4">
        <f>ROUND(Source!O133,O135)</f>
        <v>0</v>
      </c>
      <c r="G135" s="4" t="s">
        <v>59</v>
      </c>
      <c r="H135" s="4" t="s">
        <v>60</v>
      </c>
      <c r="I135" s="4"/>
      <c r="J135" s="4"/>
      <c r="K135" s="4">
        <v>201</v>
      </c>
      <c r="L135" s="4">
        <v>1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06">
      <c r="A136" s="4">
        <v>50</v>
      </c>
      <c r="B136" s="4">
        <v>0</v>
      </c>
      <c r="C136" s="4">
        <v>0</v>
      </c>
      <c r="D136" s="4">
        <v>1</v>
      </c>
      <c r="E136" s="4">
        <v>202</v>
      </c>
      <c r="F136" s="4">
        <f>ROUND(Source!P133,O136)</f>
        <v>0</v>
      </c>
      <c r="G136" s="4" t="s">
        <v>61</v>
      </c>
      <c r="H136" s="4" t="s">
        <v>62</v>
      </c>
      <c r="I136" s="4"/>
      <c r="J136" s="4"/>
      <c r="K136" s="4">
        <v>202</v>
      </c>
      <c r="L136" s="4">
        <v>2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06">
      <c r="A137" s="4">
        <v>50</v>
      </c>
      <c r="B137" s="4">
        <v>0</v>
      </c>
      <c r="C137" s="4">
        <v>0</v>
      </c>
      <c r="D137" s="4">
        <v>1</v>
      </c>
      <c r="E137" s="4">
        <v>222</v>
      </c>
      <c r="F137" s="4">
        <f>ROUND(Source!AO133,O137)</f>
        <v>0</v>
      </c>
      <c r="G137" s="4" t="s">
        <v>63</v>
      </c>
      <c r="H137" s="4" t="s">
        <v>64</v>
      </c>
      <c r="I137" s="4"/>
      <c r="J137" s="4"/>
      <c r="K137" s="4">
        <v>222</v>
      </c>
      <c r="L137" s="4">
        <v>3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06">
      <c r="A138" s="4">
        <v>50</v>
      </c>
      <c r="B138" s="4">
        <v>0</v>
      </c>
      <c r="C138" s="4">
        <v>0</v>
      </c>
      <c r="D138" s="4">
        <v>1</v>
      </c>
      <c r="E138" s="4">
        <v>225</v>
      </c>
      <c r="F138" s="4">
        <f>ROUND(Source!AV133,O138)</f>
        <v>0</v>
      </c>
      <c r="G138" s="4" t="s">
        <v>65</v>
      </c>
      <c r="H138" s="4" t="s">
        <v>66</v>
      </c>
      <c r="I138" s="4"/>
      <c r="J138" s="4"/>
      <c r="K138" s="4">
        <v>225</v>
      </c>
      <c r="L138" s="4">
        <v>4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06">
      <c r="A139" s="4">
        <v>50</v>
      </c>
      <c r="B139" s="4">
        <v>0</v>
      </c>
      <c r="C139" s="4">
        <v>0</v>
      </c>
      <c r="D139" s="4">
        <v>1</v>
      </c>
      <c r="E139" s="4">
        <v>226</v>
      </c>
      <c r="F139" s="4">
        <f>ROUND(Source!AW133,O139)</f>
        <v>0</v>
      </c>
      <c r="G139" s="4" t="s">
        <v>67</v>
      </c>
      <c r="H139" s="4" t="s">
        <v>68</v>
      </c>
      <c r="I139" s="4"/>
      <c r="J139" s="4"/>
      <c r="K139" s="4">
        <v>226</v>
      </c>
      <c r="L139" s="4">
        <v>5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06">
      <c r="A140" s="4">
        <v>50</v>
      </c>
      <c r="B140" s="4">
        <v>0</v>
      </c>
      <c r="C140" s="4">
        <v>0</v>
      </c>
      <c r="D140" s="4">
        <v>1</v>
      </c>
      <c r="E140" s="4">
        <v>227</v>
      </c>
      <c r="F140" s="4">
        <f>ROUND(Source!AX133,O140)</f>
        <v>0</v>
      </c>
      <c r="G140" s="4" t="s">
        <v>69</v>
      </c>
      <c r="H140" s="4" t="s">
        <v>70</v>
      </c>
      <c r="I140" s="4"/>
      <c r="J140" s="4"/>
      <c r="K140" s="4">
        <v>227</v>
      </c>
      <c r="L140" s="4">
        <v>6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06">
      <c r="A141" s="4">
        <v>50</v>
      </c>
      <c r="B141" s="4">
        <v>0</v>
      </c>
      <c r="C141" s="4">
        <v>0</v>
      </c>
      <c r="D141" s="4">
        <v>1</v>
      </c>
      <c r="E141" s="4">
        <v>228</v>
      </c>
      <c r="F141" s="4">
        <f>ROUND(Source!AY133,O141)</f>
        <v>0</v>
      </c>
      <c r="G141" s="4" t="s">
        <v>71</v>
      </c>
      <c r="H141" s="4" t="s">
        <v>72</v>
      </c>
      <c r="I141" s="4"/>
      <c r="J141" s="4"/>
      <c r="K141" s="4">
        <v>228</v>
      </c>
      <c r="L141" s="4">
        <v>7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06">
      <c r="A142" s="4">
        <v>50</v>
      </c>
      <c r="B142" s="4">
        <v>0</v>
      </c>
      <c r="C142" s="4">
        <v>0</v>
      </c>
      <c r="D142" s="4">
        <v>1</v>
      </c>
      <c r="E142" s="4">
        <v>216</v>
      </c>
      <c r="F142" s="4">
        <f>ROUND(Source!AP133,O142)</f>
        <v>0</v>
      </c>
      <c r="G142" s="4" t="s">
        <v>73</v>
      </c>
      <c r="H142" s="4" t="s">
        <v>74</v>
      </c>
      <c r="I142" s="4"/>
      <c r="J142" s="4"/>
      <c r="K142" s="4">
        <v>216</v>
      </c>
      <c r="L142" s="4">
        <v>8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06">
      <c r="A143" s="4">
        <v>50</v>
      </c>
      <c r="B143" s="4">
        <v>0</v>
      </c>
      <c r="C143" s="4">
        <v>0</v>
      </c>
      <c r="D143" s="4">
        <v>1</v>
      </c>
      <c r="E143" s="4">
        <v>223</v>
      </c>
      <c r="F143" s="4">
        <f>ROUND(Source!AQ133,O143)</f>
        <v>0</v>
      </c>
      <c r="G143" s="4" t="s">
        <v>75</v>
      </c>
      <c r="H143" s="4" t="s">
        <v>76</v>
      </c>
      <c r="I143" s="4"/>
      <c r="J143" s="4"/>
      <c r="K143" s="4">
        <v>223</v>
      </c>
      <c r="L143" s="4">
        <v>9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06">
      <c r="A144" s="4">
        <v>50</v>
      </c>
      <c r="B144" s="4">
        <v>0</v>
      </c>
      <c r="C144" s="4">
        <v>0</v>
      </c>
      <c r="D144" s="4">
        <v>1</v>
      </c>
      <c r="E144" s="4">
        <v>229</v>
      </c>
      <c r="F144" s="4">
        <f>ROUND(Source!AZ133,O144)</f>
        <v>0</v>
      </c>
      <c r="G144" s="4" t="s">
        <v>77</v>
      </c>
      <c r="H144" s="4" t="s">
        <v>78</v>
      </c>
      <c r="I144" s="4"/>
      <c r="J144" s="4"/>
      <c r="K144" s="4">
        <v>229</v>
      </c>
      <c r="L144" s="4">
        <v>10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3">
      <c r="A145" s="4">
        <v>50</v>
      </c>
      <c r="B145" s="4">
        <v>0</v>
      </c>
      <c r="C145" s="4">
        <v>0</v>
      </c>
      <c r="D145" s="4">
        <v>1</v>
      </c>
      <c r="E145" s="4">
        <v>203</v>
      </c>
      <c r="F145" s="4">
        <f>ROUND(Source!Q133,O145)</f>
        <v>0</v>
      </c>
      <c r="G145" s="4" t="s">
        <v>79</v>
      </c>
      <c r="H145" s="4" t="s">
        <v>80</v>
      </c>
      <c r="I145" s="4"/>
      <c r="J145" s="4"/>
      <c r="K145" s="4">
        <v>203</v>
      </c>
      <c r="L145" s="4">
        <v>11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3">
      <c r="A146" s="4">
        <v>50</v>
      </c>
      <c r="B146" s="4">
        <v>0</v>
      </c>
      <c r="C146" s="4">
        <v>0</v>
      </c>
      <c r="D146" s="4">
        <v>1</v>
      </c>
      <c r="E146" s="4">
        <v>231</v>
      </c>
      <c r="F146" s="4">
        <f>ROUND(Source!BB133,O146)</f>
        <v>0</v>
      </c>
      <c r="G146" s="4" t="s">
        <v>81</v>
      </c>
      <c r="H146" s="4" t="s">
        <v>82</v>
      </c>
      <c r="I146" s="4"/>
      <c r="J146" s="4"/>
      <c r="K146" s="4">
        <v>231</v>
      </c>
      <c r="L146" s="4">
        <v>12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3">
      <c r="A147" s="4">
        <v>50</v>
      </c>
      <c r="B147" s="4">
        <v>0</v>
      </c>
      <c r="C147" s="4">
        <v>0</v>
      </c>
      <c r="D147" s="4">
        <v>1</v>
      </c>
      <c r="E147" s="4">
        <v>204</v>
      </c>
      <c r="F147" s="4">
        <f>ROUND(Source!R133,O147)</f>
        <v>0</v>
      </c>
      <c r="G147" s="4" t="s">
        <v>83</v>
      </c>
      <c r="H147" s="4" t="s">
        <v>84</v>
      </c>
      <c r="I147" s="4"/>
      <c r="J147" s="4"/>
      <c r="K147" s="4">
        <v>204</v>
      </c>
      <c r="L147" s="4">
        <v>13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3">
      <c r="A148" s="4">
        <v>50</v>
      </c>
      <c r="B148" s="4">
        <v>0</v>
      </c>
      <c r="C148" s="4">
        <v>0</v>
      </c>
      <c r="D148" s="4">
        <v>1</v>
      </c>
      <c r="E148" s="4">
        <v>205</v>
      </c>
      <c r="F148" s="4">
        <f>ROUND(Source!S133,O148)</f>
        <v>0</v>
      </c>
      <c r="G148" s="4" t="s">
        <v>85</v>
      </c>
      <c r="H148" s="4" t="s">
        <v>86</v>
      </c>
      <c r="I148" s="4"/>
      <c r="J148" s="4"/>
      <c r="K148" s="4">
        <v>205</v>
      </c>
      <c r="L148" s="4">
        <v>14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3">
      <c r="A149" s="4">
        <v>50</v>
      </c>
      <c r="B149" s="4">
        <v>0</v>
      </c>
      <c r="C149" s="4">
        <v>0</v>
      </c>
      <c r="D149" s="4">
        <v>1</v>
      </c>
      <c r="E149" s="4">
        <v>232</v>
      </c>
      <c r="F149" s="4">
        <f>ROUND(Source!BC133,O149)</f>
        <v>0</v>
      </c>
      <c r="G149" s="4" t="s">
        <v>87</v>
      </c>
      <c r="H149" s="4" t="s">
        <v>88</v>
      </c>
      <c r="I149" s="4"/>
      <c r="J149" s="4"/>
      <c r="K149" s="4">
        <v>232</v>
      </c>
      <c r="L149" s="4">
        <v>15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3">
      <c r="A150" s="4">
        <v>50</v>
      </c>
      <c r="B150" s="4">
        <v>0</v>
      </c>
      <c r="C150" s="4">
        <v>0</v>
      </c>
      <c r="D150" s="4">
        <v>1</v>
      </c>
      <c r="E150" s="4">
        <v>214</v>
      </c>
      <c r="F150" s="4">
        <f>ROUND(Source!AS133,O150)</f>
        <v>0</v>
      </c>
      <c r="G150" s="4" t="s">
        <v>89</v>
      </c>
      <c r="H150" s="4" t="s">
        <v>90</v>
      </c>
      <c r="I150" s="4"/>
      <c r="J150" s="4"/>
      <c r="K150" s="4">
        <v>214</v>
      </c>
      <c r="L150" s="4">
        <v>16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3">
      <c r="A151" s="4">
        <v>50</v>
      </c>
      <c r="B151" s="4">
        <v>0</v>
      </c>
      <c r="C151" s="4">
        <v>0</v>
      </c>
      <c r="D151" s="4">
        <v>1</v>
      </c>
      <c r="E151" s="4">
        <v>215</v>
      </c>
      <c r="F151" s="4">
        <f>ROUND(Source!AT133,O151)</f>
        <v>0</v>
      </c>
      <c r="G151" s="4" t="s">
        <v>91</v>
      </c>
      <c r="H151" s="4" t="s">
        <v>92</v>
      </c>
      <c r="I151" s="4"/>
      <c r="J151" s="4"/>
      <c r="K151" s="4">
        <v>215</v>
      </c>
      <c r="L151" s="4">
        <v>17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3">
      <c r="A152" s="4">
        <v>50</v>
      </c>
      <c r="B152" s="4">
        <v>0</v>
      </c>
      <c r="C152" s="4">
        <v>0</v>
      </c>
      <c r="D152" s="4">
        <v>1</v>
      </c>
      <c r="E152" s="4">
        <v>217</v>
      </c>
      <c r="F152" s="4">
        <f>ROUND(Source!AU133,O152)</f>
        <v>0</v>
      </c>
      <c r="G152" s="4" t="s">
        <v>93</v>
      </c>
      <c r="H152" s="4" t="s">
        <v>94</v>
      </c>
      <c r="I152" s="4"/>
      <c r="J152" s="4"/>
      <c r="K152" s="4">
        <v>217</v>
      </c>
      <c r="L152" s="4">
        <v>18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3">
      <c r="A153" s="4">
        <v>50</v>
      </c>
      <c r="B153" s="4">
        <v>0</v>
      </c>
      <c r="C153" s="4">
        <v>0</v>
      </c>
      <c r="D153" s="4">
        <v>1</v>
      </c>
      <c r="E153" s="4">
        <v>230</v>
      </c>
      <c r="F153" s="4">
        <f>ROUND(Source!BA133,O153)</f>
        <v>0</v>
      </c>
      <c r="G153" s="4" t="s">
        <v>95</v>
      </c>
      <c r="H153" s="4" t="s">
        <v>96</v>
      </c>
      <c r="I153" s="4"/>
      <c r="J153" s="4"/>
      <c r="K153" s="4">
        <v>230</v>
      </c>
      <c r="L153" s="4">
        <v>19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3">
      <c r="A154" s="4">
        <v>50</v>
      </c>
      <c r="B154" s="4">
        <v>0</v>
      </c>
      <c r="C154" s="4">
        <v>0</v>
      </c>
      <c r="D154" s="4">
        <v>1</v>
      </c>
      <c r="E154" s="4">
        <v>206</v>
      </c>
      <c r="F154" s="4">
        <f>ROUND(Source!T133,O154)</f>
        <v>0</v>
      </c>
      <c r="G154" s="4" t="s">
        <v>97</v>
      </c>
      <c r="H154" s="4" t="s">
        <v>98</v>
      </c>
      <c r="I154" s="4"/>
      <c r="J154" s="4"/>
      <c r="K154" s="4">
        <v>206</v>
      </c>
      <c r="L154" s="4">
        <v>20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3">
      <c r="A155" s="4">
        <v>50</v>
      </c>
      <c r="B155" s="4">
        <v>0</v>
      </c>
      <c r="C155" s="4">
        <v>0</v>
      </c>
      <c r="D155" s="4">
        <v>1</v>
      </c>
      <c r="E155" s="4">
        <v>207</v>
      </c>
      <c r="F155" s="4">
        <f>Source!U133</f>
        <v>0</v>
      </c>
      <c r="G155" s="4" t="s">
        <v>99</v>
      </c>
      <c r="H155" s="4" t="s">
        <v>100</v>
      </c>
      <c r="I155" s="4"/>
      <c r="J155" s="4"/>
      <c r="K155" s="4">
        <v>207</v>
      </c>
      <c r="L155" s="4">
        <v>21</v>
      </c>
      <c r="M155" s="4">
        <v>3</v>
      </c>
      <c r="N155" s="4" t="s">
        <v>3</v>
      </c>
      <c r="O155" s="4">
        <v>-1</v>
      </c>
      <c r="P155" s="4"/>
      <c r="Q155" s="4"/>
      <c r="R155" s="4"/>
      <c r="S155" s="4"/>
      <c r="T155" s="4"/>
      <c r="U155" s="4"/>
      <c r="V155" s="4"/>
      <c r="W155" s="4"/>
    </row>
    <row r="156" spans="1:23">
      <c r="A156" s="4">
        <v>50</v>
      </c>
      <c r="B156" s="4">
        <v>0</v>
      </c>
      <c r="C156" s="4">
        <v>0</v>
      </c>
      <c r="D156" s="4">
        <v>1</v>
      </c>
      <c r="E156" s="4">
        <v>208</v>
      </c>
      <c r="F156" s="4">
        <f>Source!V133</f>
        <v>0</v>
      </c>
      <c r="G156" s="4" t="s">
        <v>101</v>
      </c>
      <c r="H156" s="4" t="s">
        <v>102</v>
      </c>
      <c r="I156" s="4"/>
      <c r="J156" s="4"/>
      <c r="K156" s="4">
        <v>208</v>
      </c>
      <c r="L156" s="4">
        <v>22</v>
      </c>
      <c r="M156" s="4">
        <v>3</v>
      </c>
      <c r="N156" s="4" t="s">
        <v>3</v>
      </c>
      <c r="O156" s="4">
        <v>-1</v>
      </c>
      <c r="P156" s="4"/>
      <c r="Q156" s="4"/>
      <c r="R156" s="4"/>
      <c r="S156" s="4"/>
      <c r="T156" s="4"/>
      <c r="U156" s="4"/>
      <c r="V156" s="4"/>
      <c r="W156" s="4"/>
    </row>
    <row r="157" spans="1:23">
      <c r="A157" s="4">
        <v>50</v>
      </c>
      <c r="B157" s="4">
        <v>0</v>
      </c>
      <c r="C157" s="4">
        <v>0</v>
      </c>
      <c r="D157" s="4">
        <v>1</v>
      </c>
      <c r="E157" s="4">
        <v>209</v>
      </c>
      <c r="F157" s="4">
        <f>ROUND(Source!W133,O157)</f>
        <v>0</v>
      </c>
      <c r="G157" s="4" t="s">
        <v>103</v>
      </c>
      <c r="H157" s="4" t="s">
        <v>104</v>
      </c>
      <c r="I157" s="4"/>
      <c r="J157" s="4"/>
      <c r="K157" s="4">
        <v>209</v>
      </c>
      <c r="L157" s="4">
        <v>23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8" spans="1:23">
      <c r="A158" s="4">
        <v>50</v>
      </c>
      <c r="B158" s="4">
        <v>0</v>
      </c>
      <c r="C158" s="4">
        <v>0</v>
      </c>
      <c r="D158" s="4">
        <v>1</v>
      </c>
      <c r="E158" s="4">
        <v>233</v>
      </c>
      <c r="F158" s="4">
        <f>ROUND(Source!BD133,O158)</f>
        <v>0</v>
      </c>
      <c r="G158" s="4" t="s">
        <v>105</v>
      </c>
      <c r="H158" s="4" t="s">
        <v>106</v>
      </c>
      <c r="I158" s="4"/>
      <c r="J158" s="4"/>
      <c r="K158" s="4">
        <v>233</v>
      </c>
      <c r="L158" s="4">
        <v>24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3">
      <c r="A159" s="4">
        <v>50</v>
      </c>
      <c r="B159" s="4">
        <v>0</v>
      </c>
      <c r="C159" s="4">
        <v>0</v>
      </c>
      <c r="D159" s="4">
        <v>1</v>
      </c>
      <c r="E159" s="4">
        <v>210</v>
      </c>
      <c r="F159" s="4">
        <f>ROUND(Source!X133,O159)</f>
        <v>0</v>
      </c>
      <c r="G159" s="4" t="s">
        <v>107</v>
      </c>
      <c r="H159" s="4" t="s">
        <v>108</v>
      </c>
      <c r="I159" s="4"/>
      <c r="J159" s="4"/>
      <c r="K159" s="4">
        <v>210</v>
      </c>
      <c r="L159" s="4">
        <v>25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3">
      <c r="A160" s="4">
        <v>50</v>
      </c>
      <c r="B160" s="4">
        <v>0</v>
      </c>
      <c r="C160" s="4">
        <v>0</v>
      </c>
      <c r="D160" s="4">
        <v>1</v>
      </c>
      <c r="E160" s="4">
        <v>211</v>
      </c>
      <c r="F160" s="4">
        <f>ROUND(Source!Y133,O160)</f>
        <v>0</v>
      </c>
      <c r="G160" s="4" t="s">
        <v>109</v>
      </c>
      <c r="H160" s="4" t="s">
        <v>110</v>
      </c>
      <c r="I160" s="4"/>
      <c r="J160" s="4"/>
      <c r="K160" s="4">
        <v>211</v>
      </c>
      <c r="L160" s="4">
        <v>26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06">
      <c r="A161" s="4">
        <v>50</v>
      </c>
      <c r="B161" s="4">
        <v>0</v>
      </c>
      <c r="C161" s="4">
        <v>0</v>
      </c>
      <c r="D161" s="4">
        <v>1</v>
      </c>
      <c r="E161" s="4">
        <v>224</v>
      </c>
      <c r="F161" s="4">
        <f>ROUND(Source!AR133,O161)</f>
        <v>0</v>
      </c>
      <c r="G161" s="4" t="s">
        <v>111</v>
      </c>
      <c r="H161" s="4" t="s">
        <v>112</v>
      </c>
      <c r="I161" s="4"/>
      <c r="J161" s="4"/>
      <c r="K161" s="4">
        <v>224</v>
      </c>
      <c r="L161" s="4">
        <v>27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3" spans="1:206">
      <c r="A163" s="2">
        <v>51</v>
      </c>
      <c r="B163" s="2">
        <f>B20</f>
        <v>1</v>
      </c>
      <c r="C163" s="2">
        <f>A20</f>
        <v>3</v>
      </c>
      <c r="D163" s="2">
        <f>ROW(A20)</f>
        <v>20</v>
      </c>
      <c r="E163" s="2"/>
      <c r="F163" s="2" t="str">
        <f>IF(F20&lt;&gt;"",F20,"")</f>
        <v>Новая локальная смета</v>
      </c>
      <c r="G163" s="2" t="str">
        <f>IF(G20&lt;&gt;"",G20,"")</f>
        <v>Новая локальная смета</v>
      </c>
      <c r="H163" s="2">
        <v>0</v>
      </c>
      <c r="I163" s="2"/>
      <c r="J163" s="2"/>
      <c r="K163" s="2"/>
      <c r="L163" s="2"/>
      <c r="M163" s="2"/>
      <c r="N163" s="2"/>
      <c r="O163" s="2">
        <f t="shared" ref="O163:T163" si="121">ROUND(O38+O99+O133+AB163,2)</f>
        <v>112084.03</v>
      </c>
      <c r="P163" s="2">
        <f t="shared" si="121"/>
        <v>87761.72</v>
      </c>
      <c r="Q163" s="2">
        <f t="shared" si="121"/>
        <v>3694.52</v>
      </c>
      <c r="R163" s="2">
        <f t="shared" si="121"/>
        <v>741.02</v>
      </c>
      <c r="S163" s="2">
        <f t="shared" si="121"/>
        <v>20627.79</v>
      </c>
      <c r="T163" s="2">
        <f t="shared" si="121"/>
        <v>0</v>
      </c>
      <c r="U163" s="2">
        <f>U38+U99+U133+AH163</f>
        <v>67.616805999999997</v>
      </c>
      <c r="V163" s="2">
        <f>V38+V99+V133+AI163</f>
        <v>1.8860999999999999</v>
      </c>
      <c r="W163" s="2">
        <f>ROUND(W38+W99+W133+AJ163,2)</f>
        <v>5.17</v>
      </c>
      <c r="X163" s="2">
        <f>ROUND(X38+X99+X133+AK163,2)</f>
        <v>17445.439999999999</v>
      </c>
      <c r="Y163" s="2">
        <f>ROUND(Y38+Y99+Y133+AL163,2)</f>
        <v>11038.45</v>
      </c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>
        <f t="shared" ref="AO163:BD163" si="122">ROUND(AO38+AO99+AO133+BX163,2)</f>
        <v>0</v>
      </c>
      <c r="AP163" s="2">
        <f t="shared" si="122"/>
        <v>0</v>
      </c>
      <c r="AQ163" s="2">
        <f t="shared" si="122"/>
        <v>0</v>
      </c>
      <c r="AR163" s="2">
        <f t="shared" si="122"/>
        <v>140567.92000000001</v>
      </c>
      <c r="AS163" s="2">
        <f t="shared" si="122"/>
        <v>140567.92000000001</v>
      </c>
      <c r="AT163" s="2">
        <f t="shared" si="122"/>
        <v>0</v>
      </c>
      <c r="AU163" s="2">
        <f t="shared" si="122"/>
        <v>0</v>
      </c>
      <c r="AV163" s="2">
        <f t="shared" si="122"/>
        <v>87761.72</v>
      </c>
      <c r="AW163" s="2">
        <f t="shared" si="122"/>
        <v>87761.72</v>
      </c>
      <c r="AX163" s="2">
        <f t="shared" si="122"/>
        <v>0</v>
      </c>
      <c r="AY163" s="2">
        <f t="shared" si="122"/>
        <v>87761.72</v>
      </c>
      <c r="AZ163" s="2">
        <f t="shared" si="122"/>
        <v>0</v>
      </c>
      <c r="BA163" s="2">
        <f t="shared" si="122"/>
        <v>0</v>
      </c>
      <c r="BB163" s="2">
        <f t="shared" si="122"/>
        <v>0</v>
      </c>
      <c r="BC163" s="2">
        <f t="shared" si="122"/>
        <v>0</v>
      </c>
      <c r="BD163" s="2">
        <f t="shared" si="122"/>
        <v>245.73</v>
      </c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>
        <v>0</v>
      </c>
    </row>
    <row r="165" spans="1:206">
      <c r="A165" s="4">
        <v>50</v>
      </c>
      <c r="B165" s="4">
        <v>0</v>
      </c>
      <c r="C165" s="4">
        <v>0</v>
      </c>
      <c r="D165" s="4">
        <v>1</v>
      </c>
      <c r="E165" s="4">
        <v>201</v>
      </c>
      <c r="F165" s="4">
        <f>ROUND(Source!O163,O165)</f>
        <v>112084.03</v>
      </c>
      <c r="G165" s="4" t="s">
        <v>59</v>
      </c>
      <c r="H165" s="4" t="s">
        <v>60</v>
      </c>
      <c r="I165" s="4"/>
      <c r="J165" s="4"/>
      <c r="K165" s="4">
        <v>201</v>
      </c>
      <c r="L165" s="4">
        <v>1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06">
      <c r="A166" s="4">
        <v>50</v>
      </c>
      <c r="B166" s="4">
        <v>0</v>
      </c>
      <c r="C166" s="4">
        <v>0</v>
      </c>
      <c r="D166" s="4">
        <v>1</v>
      </c>
      <c r="E166" s="4">
        <v>202</v>
      </c>
      <c r="F166" s="4">
        <f>ROUND(Source!P163,O166)</f>
        <v>87761.72</v>
      </c>
      <c r="G166" s="4" t="s">
        <v>61</v>
      </c>
      <c r="H166" s="4" t="s">
        <v>62</v>
      </c>
      <c r="I166" s="4"/>
      <c r="J166" s="4"/>
      <c r="K166" s="4">
        <v>202</v>
      </c>
      <c r="L166" s="4">
        <v>2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06">
      <c r="A167" s="4">
        <v>50</v>
      </c>
      <c r="B167" s="4">
        <v>0</v>
      </c>
      <c r="C167" s="4">
        <v>0</v>
      </c>
      <c r="D167" s="4">
        <v>1</v>
      </c>
      <c r="E167" s="4">
        <v>222</v>
      </c>
      <c r="F167" s="4">
        <f>ROUND(Source!AO163,O167)</f>
        <v>0</v>
      </c>
      <c r="G167" s="4" t="s">
        <v>63</v>
      </c>
      <c r="H167" s="4" t="s">
        <v>64</v>
      </c>
      <c r="I167" s="4"/>
      <c r="J167" s="4"/>
      <c r="K167" s="4">
        <v>222</v>
      </c>
      <c r="L167" s="4">
        <v>3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06">
      <c r="A168" s="4">
        <v>50</v>
      </c>
      <c r="B168" s="4">
        <v>0</v>
      </c>
      <c r="C168" s="4">
        <v>0</v>
      </c>
      <c r="D168" s="4">
        <v>1</v>
      </c>
      <c r="E168" s="4">
        <v>225</v>
      </c>
      <c r="F168" s="4">
        <f>ROUND(Source!AV163,O168)</f>
        <v>87761.72</v>
      </c>
      <c r="G168" s="4" t="s">
        <v>65</v>
      </c>
      <c r="H168" s="4" t="s">
        <v>66</v>
      </c>
      <c r="I168" s="4"/>
      <c r="J168" s="4"/>
      <c r="K168" s="4">
        <v>225</v>
      </c>
      <c r="L168" s="4">
        <v>4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06">
      <c r="A169" s="4">
        <v>50</v>
      </c>
      <c r="B169" s="4">
        <v>0</v>
      </c>
      <c r="C169" s="4">
        <v>0</v>
      </c>
      <c r="D169" s="4">
        <v>1</v>
      </c>
      <c r="E169" s="4">
        <v>226</v>
      </c>
      <c r="F169" s="4">
        <f>ROUND(Source!AW163,O169)</f>
        <v>87761.72</v>
      </c>
      <c r="G169" s="4" t="s">
        <v>67</v>
      </c>
      <c r="H169" s="4" t="s">
        <v>68</v>
      </c>
      <c r="I169" s="4"/>
      <c r="J169" s="4"/>
      <c r="K169" s="4">
        <v>226</v>
      </c>
      <c r="L169" s="4">
        <v>5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0" spans="1:206">
      <c r="A170" s="4">
        <v>50</v>
      </c>
      <c r="B170" s="4">
        <v>0</v>
      </c>
      <c r="C170" s="4">
        <v>0</v>
      </c>
      <c r="D170" s="4">
        <v>1</v>
      </c>
      <c r="E170" s="4">
        <v>227</v>
      </c>
      <c r="F170" s="4">
        <f>ROUND(Source!AX163,O170)</f>
        <v>0</v>
      </c>
      <c r="G170" s="4" t="s">
        <v>69</v>
      </c>
      <c r="H170" s="4" t="s">
        <v>70</v>
      </c>
      <c r="I170" s="4"/>
      <c r="J170" s="4"/>
      <c r="K170" s="4">
        <v>227</v>
      </c>
      <c r="L170" s="4">
        <v>6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</row>
    <row r="171" spans="1:206">
      <c r="A171" s="4">
        <v>50</v>
      </c>
      <c r="B171" s="4">
        <v>0</v>
      </c>
      <c r="C171" s="4">
        <v>0</v>
      </c>
      <c r="D171" s="4">
        <v>1</v>
      </c>
      <c r="E171" s="4">
        <v>228</v>
      </c>
      <c r="F171" s="4">
        <f>ROUND(Source!AY163,O171)</f>
        <v>87761.72</v>
      </c>
      <c r="G171" s="4" t="s">
        <v>71</v>
      </c>
      <c r="H171" s="4" t="s">
        <v>72</v>
      </c>
      <c r="I171" s="4"/>
      <c r="J171" s="4"/>
      <c r="K171" s="4">
        <v>228</v>
      </c>
      <c r="L171" s="4">
        <v>7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06">
      <c r="A172" s="4">
        <v>50</v>
      </c>
      <c r="B172" s="4">
        <v>0</v>
      </c>
      <c r="C172" s="4">
        <v>0</v>
      </c>
      <c r="D172" s="4">
        <v>1</v>
      </c>
      <c r="E172" s="4">
        <v>216</v>
      </c>
      <c r="F172" s="4">
        <f>ROUND(Source!AP163,O172)</f>
        <v>0</v>
      </c>
      <c r="G172" s="4" t="s">
        <v>73</v>
      </c>
      <c r="H172" s="4" t="s">
        <v>74</v>
      </c>
      <c r="I172" s="4"/>
      <c r="J172" s="4"/>
      <c r="K172" s="4">
        <v>216</v>
      </c>
      <c r="L172" s="4">
        <v>8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06">
      <c r="A173" s="4">
        <v>50</v>
      </c>
      <c r="B173" s="4">
        <v>0</v>
      </c>
      <c r="C173" s="4">
        <v>0</v>
      </c>
      <c r="D173" s="4">
        <v>1</v>
      </c>
      <c r="E173" s="4">
        <v>223</v>
      </c>
      <c r="F173" s="4">
        <f>ROUND(Source!AQ163,O173)</f>
        <v>0</v>
      </c>
      <c r="G173" s="4" t="s">
        <v>75</v>
      </c>
      <c r="H173" s="4" t="s">
        <v>76</v>
      </c>
      <c r="I173" s="4"/>
      <c r="J173" s="4"/>
      <c r="K173" s="4">
        <v>223</v>
      </c>
      <c r="L173" s="4">
        <v>9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06">
      <c r="A174" s="4">
        <v>50</v>
      </c>
      <c r="B174" s="4">
        <v>0</v>
      </c>
      <c r="C174" s="4">
        <v>0</v>
      </c>
      <c r="D174" s="4">
        <v>1</v>
      </c>
      <c r="E174" s="4">
        <v>229</v>
      </c>
      <c r="F174" s="4">
        <f>ROUND(Source!AZ163,O174)</f>
        <v>0</v>
      </c>
      <c r="G174" s="4" t="s">
        <v>77</v>
      </c>
      <c r="H174" s="4" t="s">
        <v>78</v>
      </c>
      <c r="I174" s="4"/>
      <c r="J174" s="4"/>
      <c r="K174" s="4">
        <v>229</v>
      </c>
      <c r="L174" s="4">
        <v>10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06">
      <c r="A175" s="4">
        <v>50</v>
      </c>
      <c r="B175" s="4">
        <v>0</v>
      </c>
      <c r="C175" s="4">
        <v>0</v>
      </c>
      <c r="D175" s="4">
        <v>1</v>
      </c>
      <c r="E175" s="4">
        <v>203</v>
      </c>
      <c r="F175" s="4">
        <f>ROUND(Source!Q163,O175)</f>
        <v>3694.52</v>
      </c>
      <c r="G175" s="4" t="s">
        <v>79</v>
      </c>
      <c r="H175" s="4" t="s">
        <v>80</v>
      </c>
      <c r="I175" s="4"/>
      <c r="J175" s="4"/>
      <c r="K175" s="4">
        <v>203</v>
      </c>
      <c r="L175" s="4">
        <v>11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06">
      <c r="A176" s="4">
        <v>50</v>
      </c>
      <c r="B176" s="4">
        <v>0</v>
      </c>
      <c r="C176" s="4">
        <v>0</v>
      </c>
      <c r="D176" s="4">
        <v>1</v>
      </c>
      <c r="E176" s="4">
        <v>231</v>
      </c>
      <c r="F176" s="4">
        <f>ROUND(Source!BB163,O176)</f>
        <v>0</v>
      </c>
      <c r="G176" s="4" t="s">
        <v>81</v>
      </c>
      <c r="H176" s="4" t="s">
        <v>82</v>
      </c>
      <c r="I176" s="4"/>
      <c r="J176" s="4"/>
      <c r="K176" s="4">
        <v>231</v>
      </c>
      <c r="L176" s="4">
        <v>12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3">
      <c r="A177" s="4">
        <v>50</v>
      </c>
      <c r="B177" s="4">
        <v>0</v>
      </c>
      <c r="C177" s="4">
        <v>0</v>
      </c>
      <c r="D177" s="4">
        <v>1</v>
      </c>
      <c r="E177" s="4">
        <v>204</v>
      </c>
      <c r="F177" s="4">
        <f>ROUND(Source!R163,O177)</f>
        <v>741.02</v>
      </c>
      <c r="G177" s="4" t="s">
        <v>83</v>
      </c>
      <c r="H177" s="4" t="s">
        <v>84</v>
      </c>
      <c r="I177" s="4"/>
      <c r="J177" s="4"/>
      <c r="K177" s="4">
        <v>204</v>
      </c>
      <c r="L177" s="4">
        <v>13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3">
      <c r="A178" s="4">
        <v>50</v>
      </c>
      <c r="B178" s="4">
        <v>0</v>
      </c>
      <c r="C178" s="4">
        <v>0</v>
      </c>
      <c r="D178" s="4">
        <v>1</v>
      </c>
      <c r="E178" s="4">
        <v>205</v>
      </c>
      <c r="F178" s="4">
        <f>ROUND(Source!S163,O178)</f>
        <v>20627.79</v>
      </c>
      <c r="G178" s="4" t="s">
        <v>85</v>
      </c>
      <c r="H178" s="4" t="s">
        <v>86</v>
      </c>
      <c r="I178" s="4"/>
      <c r="J178" s="4"/>
      <c r="K178" s="4">
        <v>205</v>
      </c>
      <c r="L178" s="4">
        <v>14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3">
      <c r="A179" s="4">
        <v>50</v>
      </c>
      <c r="B179" s="4">
        <v>0</v>
      </c>
      <c r="C179" s="4">
        <v>0</v>
      </c>
      <c r="D179" s="4">
        <v>1</v>
      </c>
      <c r="E179" s="4">
        <v>232</v>
      </c>
      <c r="F179" s="4">
        <f>ROUND(Source!BC163,O179)</f>
        <v>0</v>
      </c>
      <c r="G179" s="4" t="s">
        <v>87</v>
      </c>
      <c r="H179" s="4" t="s">
        <v>88</v>
      </c>
      <c r="I179" s="4"/>
      <c r="J179" s="4"/>
      <c r="K179" s="4">
        <v>232</v>
      </c>
      <c r="L179" s="4">
        <v>15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3">
      <c r="A180" s="4">
        <v>50</v>
      </c>
      <c r="B180" s="4">
        <v>0</v>
      </c>
      <c r="C180" s="4">
        <v>0</v>
      </c>
      <c r="D180" s="4">
        <v>1</v>
      </c>
      <c r="E180" s="4">
        <v>214</v>
      </c>
      <c r="F180" s="4">
        <f>ROUND(Source!AS163,O180)</f>
        <v>140567.92000000001</v>
      </c>
      <c r="G180" s="4" t="s">
        <v>89</v>
      </c>
      <c r="H180" s="4" t="s">
        <v>90</v>
      </c>
      <c r="I180" s="4"/>
      <c r="J180" s="4"/>
      <c r="K180" s="4">
        <v>214</v>
      </c>
      <c r="L180" s="4">
        <v>16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3">
      <c r="A181" s="4">
        <v>50</v>
      </c>
      <c r="B181" s="4">
        <v>0</v>
      </c>
      <c r="C181" s="4">
        <v>0</v>
      </c>
      <c r="D181" s="4">
        <v>1</v>
      </c>
      <c r="E181" s="4">
        <v>215</v>
      </c>
      <c r="F181" s="4">
        <f>ROUND(Source!AT163,O181)</f>
        <v>0</v>
      </c>
      <c r="G181" s="4" t="s">
        <v>91</v>
      </c>
      <c r="H181" s="4" t="s">
        <v>92</v>
      </c>
      <c r="I181" s="4"/>
      <c r="J181" s="4"/>
      <c r="K181" s="4">
        <v>215</v>
      </c>
      <c r="L181" s="4">
        <v>17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3">
      <c r="A182" s="4">
        <v>50</v>
      </c>
      <c r="B182" s="4">
        <v>0</v>
      </c>
      <c r="C182" s="4">
        <v>0</v>
      </c>
      <c r="D182" s="4">
        <v>1</v>
      </c>
      <c r="E182" s="4">
        <v>217</v>
      </c>
      <c r="F182" s="4">
        <f>ROUND(Source!AU163,O182)</f>
        <v>0</v>
      </c>
      <c r="G182" s="4" t="s">
        <v>93</v>
      </c>
      <c r="H182" s="4" t="s">
        <v>94</v>
      </c>
      <c r="I182" s="4"/>
      <c r="J182" s="4"/>
      <c r="K182" s="4">
        <v>217</v>
      </c>
      <c r="L182" s="4">
        <v>18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3">
      <c r="A183" s="4">
        <v>50</v>
      </c>
      <c r="B183" s="4">
        <v>0</v>
      </c>
      <c r="C183" s="4">
        <v>0</v>
      </c>
      <c r="D183" s="4">
        <v>1</v>
      </c>
      <c r="E183" s="4">
        <v>230</v>
      </c>
      <c r="F183" s="4">
        <f>ROUND(Source!BA163,O183)</f>
        <v>0</v>
      </c>
      <c r="G183" s="4" t="s">
        <v>95</v>
      </c>
      <c r="H183" s="4" t="s">
        <v>96</v>
      </c>
      <c r="I183" s="4"/>
      <c r="J183" s="4"/>
      <c r="K183" s="4">
        <v>230</v>
      </c>
      <c r="L183" s="4">
        <v>19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3">
      <c r="A184" s="4">
        <v>50</v>
      </c>
      <c r="B184" s="4">
        <v>0</v>
      </c>
      <c r="C184" s="4">
        <v>0</v>
      </c>
      <c r="D184" s="4">
        <v>1</v>
      </c>
      <c r="E184" s="4">
        <v>206</v>
      </c>
      <c r="F184" s="4">
        <f>ROUND(Source!T163,O184)</f>
        <v>0</v>
      </c>
      <c r="G184" s="4" t="s">
        <v>97</v>
      </c>
      <c r="H184" s="4" t="s">
        <v>98</v>
      </c>
      <c r="I184" s="4"/>
      <c r="J184" s="4"/>
      <c r="K184" s="4">
        <v>206</v>
      </c>
      <c r="L184" s="4">
        <v>20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3">
      <c r="A185" s="4">
        <v>50</v>
      </c>
      <c r="B185" s="4">
        <v>0</v>
      </c>
      <c r="C185" s="4">
        <v>0</v>
      </c>
      <c r="D185" s="4">
        <v>1</v>
      </c>
      <c r="E185" s="4">
        <v>207</v>
      </c>
      <c r="F185" s="4">
        <f>Source!U163</f>
        <v>67.616805999999997</v>
      </c>
      <c r="G185" s="4" t="s">
        <v>99</v>
      </c>
      <c r="H185" s="4" t="s">
        <v>100</v>
      </c>
      <c r="I185" s="4"/>
      <c r="J185" s="4"/>
      <c r="K185" s="4">
        <v>207</v>
      </c>
      <c r="L185" s="4">
        <v>21</v>
      </c>
      <c r="M185" s="4">
        <v>3</v>
      </c>
      <c r="N185" s="4" t="s">
        <v>3</v>
      </c>
      <c r="O185" s="4">
        <v>-1</v>
      </c>
      <c r="P185" s="4"/>
      <c r="Q185" s="4"/>
      <c r="R185" s="4"/>
      <c r="S185" s="4"/>
      <c r="T185" s="4"/>
      <c r="U185" s="4"/>
      <c r="V185" s="4"/>
      <c r="W185" s="4"/>
    </row>
    <row r="186" spans="1:23">
      <c r="A186" s="4">
        <v>50</v>
      </c>
      <c r="B186" s="4">
        <v>0</v>
      </c>
      <c r="C186" s="4">
        <v>0</v>
      </c>
      <c r="D186" s="4">
        <v>1</v>
      </c>
      <c r="E186" s="4">
        <v>208</v>
      </c>
      <c r="F186" s="4">
        <f>Source!V163</f>
        <v>1.8860999999999999</v>
      </c>
      <c r="G186" s="4" t="s">
        <v>101</v>
      </c>
      <c r="H186" s="4" t="s">
        <v>102</v>
      </c>
      <c r="I186" s="4"/>
      <c r="J186" s="4"/>
      <c r="K186" s="4">
        <v>208</v>
      </c>
      <c r="L186" s="4">
        <v>22</v>
      </c>
      <c r="M186" s="4">
        <v>3</v>
      </c>
      <c r="N186" s="4" t="s">
        <v>3</v>
      </c>
      <c r="O186" s="4">
        <v>-1</v>
      </c>
      <c r="P186" s="4"/>
      <c r="Q186" s="4"/>
      <c r="R186" s="4"/>
      <c r="S186" s="4"/>
      <c r="T186" s="4"/>
      <c r="U186" s="4"/>
      <c r="V186" s="4"/>
      <c r="W186" s="4"/>
    </row>
    <row r="187" spans="1:23">
      <c r="A187" s="4">
        <v>50</v>
      </c>
      <c r="B187" s="4">
        <v>0</v>
      </c>
      <c r="C187" s="4">
        <v>0</v>
      </c>
      <c r="D187" s="4">
        <v>1</v>
      </c>
      <c r="E187" s="4">
        <v>209</v>
      </c>
      <c r="F187" s="4">
        <f>ROUND(Source!W163,O187)</f>
        <v>5.17</v>
      </c>
      <c r="G187" s="4" t="s">
        <v>103</v>
      </c>
      <c r="H187" s="4" t="s">
        <v>104</v>
      </c>
      <c r="I187" s="4"/>
      <c r="J187" s="4"/>
      <c r="K187" s="4">
        <v>209</v>
      </c>
      <c r="L187" s="4">
        <v>23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23">
      <c r="A188" s="4">
        <v>50</v>
      </c>
      <c r="B188" s="4">
        <v>0</v>
      </c>
      <c r="C188" s="4">
        <v>0</v>
      </c>
      <c r="D188" s="4">
        <v>1</v>
      </c>
      <c r="E188" s="4">
        <v>233</v>
      </c>
      <c r="F188" s="4">
        <f>ROUND(Source!BD163,O188)</f>
        <v>245.73</v>
      </c>
      <c r="G188" s="4" t="s">
        <v>105</v>
      </c>
      <c r="H188" s="4" t="s">
        <v>106</v>
      </c>
      <c r="I188" s="4"/>
      <c r="J188" s="4"/>
      <c r="K188" s="4">
        <v>233</v>
      </c>
      <c r="L188" s="4">
        <v>24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3">
      <c r="A189" s="4">
        <v>50</v>
      </c>
      <c r="B189" s="4">
        <v>0</v>
      </c>
      <c r="C189" s="4">
        <v>0</v>
      </c>
      <c r="D189" s="4">
        <v>1</v>
      </c>
      <c r="E189" s="4">
        <v>210</v>
      </c>
      <c r="F189" s="4">
        <f>ROUND(Source!X163,O189)</f>
        <v>17445.439999999999</v>
      </c>
      <c r="G189" s="4" t="s">
        <v>107</v>
      </c>
      <c r="H189" s="4" t="s">
        <v>108</v>
      </c>
      <c r="I189" s="4"/>
      <c r="J189" s="4"/>
      <c r="K189" s="4">
        <v>210</v>
      </c>
      <c r="L189" s="4">
        <v>25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3">
      <c r="A190" s="4">
        <v>50</v>
      </c>
      <c r="B190" s="4">
        <v>0</v>
      </c>
      <c r="C190" s="4">
        <v>0</v>
      </c>
      <c r="D190" s="4">
        <v>1</v>
      </c>
      <c r="E190" s="4">
        <v>211</v>
      </c>
      <c r="F190" s="4">
        <f>ROUND(Source!Y163,O190)</f>
        <v>11038.45</v>
      </c>
      <c r="G190" s="4" t="s">
        <v>109</v>
      </c>
      <c r="H190" s="4" t="s">
        <v>110</v>
      </c>
      <c r="I190" s="4"/>
      <c r="J190" s="4"/>
      <c r="K190" s="4">
        <v>211</v>
      </c>
      <c r="L190" s="4">
        <v>26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3">
      <c r="A191" s="4">
        <v>50</v>
      </c>
      <c r="B191" s="4">
        <v>0</v>
      </c>
      <c r="C191" s="4">
        <v>0</v>
      </c>
      <c r="D191" s="4">
        <v>1</v>
      </c>
      <c r="E191" s="4">
        <v>224</v>
      </c>
      <c r="F191" s="4">
        <f>ROUND(Source!AR163,O191)</f>
        <v>140567.92000000001</v>
      </c>
      <c r="G191" s="4" t="s">
        <v>111</v>
      </c>
      <c r="H191" s="4" t="s">
        <v>112</v>
      </c>
      <c r="I191" s="4"/>
      <c r="J191" s="4"/>
      <c r="K191" s="4">
        <v>224</v>
      </c>
      <c r="L191" s="4">
        <v>27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3" spans="1:206">
      <c r="A193" s="2">
        <v>51</v>
      </c>
      <c r="B193" s="2">
        <f>B12</f>
        <v>254</v>
      </c>
      <c r="C193" s="2">
        <f>A12</f>
        <v>1</v>
      </c>
      <c r="D193" s="2">
        <f>ROW(A12)</f>
        <v>12</v>
      </c>
      <c r="E193" s="2"/>
      <c r="F193" s="2" t="str">
        <f>IF(F12&lt;&gt;"",F12,"")</f>
        <v>Новый объект</v>
      </c>
      <c r="G193" s="2" t="str">
        <f>IF(G12&lt;&gt;"",G12,"")</f>
        <v>Ремонт выхода  запас СРО  ИП 2021</v>
      </c>
      <c r="H193" s="2">
        <v>0</v>
      </c>
      <c r="I193" s="2"/>
      <c r="J193" s="2"/>
      <c r="K193" s="2"/>
      <c r="L193" s="2"/>
      <c r="M193" s="2"/>
      <c r="N193" s="2"/>
      <c r="O193" s="2">
        <f t="shared" ref="O193:T193" si="123">ROUND(O163,2)</f>
        <v>112084.03</v>
      </c>
      <c r="P193" s="2">
        <f t="shared" si="123"/>
        <v>87761.72</v>
      </c>
      <c r="Q193" s="2">
        <f t="shared" si="123"/>
        <v>3694.52</v>
      </c>
      <c r="R193" s="2">
        <f t="shared" si="123"/>
        <v>741.02</v>
      </c>
      <c r="S193" s="2">
        <f t="shared" si="123"/>
        <v>20627.79</v>
      </c>
      <c r="T193" s="2">
        <f t="shared" si="123"/>
        <v>0</v>
      </c>
      <c r="U193" s="2">
        <f>U163</f>
        <v>67.616805999999997</v>
      </c>
      <c r="V193" s="2">
        <f>V163</f>
        <v>1.8860999999999999</v>
      </c>
      <c r="W193" s="2">
        <f>ROUND(W163,2)</f>
        <v>5.17</v>
      </c>
      <c r="X193" s="2">
        <f>ROUND(X163,2)</f>
        <v>17445.439999999999</v>
      </c>
      <c r="Y193" s="2">
        <f>ROUND(Y163,2)</f>
        <v>11038.45</v>
      </c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>
        <f t="shared" ref="AO193:BD193" si="124">ROUND(AO163,2)</f>
        <v>0</v>
      </c>
      <c r="AP193" s="2">
        <f t="shared" si="124"/>
        <v>0</v>
      </c>
      <c r="AQ193" s="2">
        <f t="shared" si="124"/>
        <v>0</v>
      </c>
      <c r="AR193" s="2">
        <f t="shared" si="124"/>
        <v>140567.92000000001</v>
      </c>
      <c r="AS193" s="2">
        <f t="shared" si="124"/>
        <v>140567.92000000001</v>
      </c>
      <c r="AT193" s="2">
        <f t="shared" si="124"/>
        <v>0</v>
      </c>
      <c r="AU193" s="2">
        <f t="shared" si="124"/>
        <v>0</v>
      </c>
      <c r="AV193" s="2">
        <f t="shared" si="124"/>
        <v>87761.72</v>
      </c>
      <c r="AW193" s="2">
        <f t="shared" si="124"/>
        <v>87761.72</v>
      </c>
      <c r="AX193" s="2">
        <f t="shared" si="124"/>
        <v>0</v>
      </c>
      <c r="AY193" s="2">
        <f t="shared" si="124"/>
        <v>87761.72</v>
      </c>
      <c r="AZ193" s="2">
        <f t="shared" si="124"/>
        <v>0</v>
      </c>
      <c r="BA193" s="2">
        <f t="shared" si="124"/>
        <v>0</v>
      </c>
      <c r="BB193" s="2">
        <f t="shared" si="124"/>
        <v>0</v>
      </c>
      <c r="BC193" s="2">
        <f t="shared" si="124"/>
        <v>0</v>
      </c>
      <c r="BD193" s="2">
        <f t="shared" si="124"/>
        <v>245.73</v>
      </c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>
        <v>0</v>
      </c>
    </row>
    <row r="195" spans="1:206">
      <c r="A195" s="4">
        <v>50</v>
      </c>
      <c r="B195" s="4">
        <v>0</v>
      </c>
      <c r="C195" s="4">
        <v>0</v>
      </c>
      <c r="D195" s="4">
        <v>1</v>
      </c>
      <c r="E195" s="4">
        <v>201</v>
      </c>
      <c r="F195" s="4">
        <f>ROUND(Source!O193,O195)</f>
        <v>112084.03</v>
      </c>
      <c r="G195" s="4" t="s">
        <v>59</v>
      </c>
      <c r="H195" s="4" t="s">
        <v>60</v>
      </c>
      <c r="I195" s="4"/>
      <c r="J195" s="4"/>
      <c r="K195" s="4">
        <v>201</v>
      </c>
      <c r="L195" s="4">
        <v>1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06">
      <c r="A196" s="4">
        <v>50</v>
      </c>
      <c r="B196" s="4">
        <v>0</v>
      </c>
      <c r="C196" s="4">
        <v>0</v>
      </c>
      <c r="D196" s="4">
        <v>1</v>
      </c>
      <c r="E196" s="4">
        <v>202</v>
      </c>
      <c r="F196" s="4">
        <f>ROUND(Source!P193,O196)</f>
        <v>87761.72</v>
      </c>
      <c r="G196" s="4" t="s">
        <v>61</v>
      </c>
      <c r="H196" s="4" t="s">
        <v>62</v>
      </c>
      <c r="I196" s="4"/>
      <c r="J196" s="4"/>
      <c r="K196" s="4">
        <v>202</v>
      </c>
      <c r="L196" s="4">
        <v>2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06">
      <c r="A197" s="4">
        <v>50</v>
      </c>
      <c r="B197" s="4">
        <v>0</v>
      </c>
      <c r="C197" s="4">
        <v>0</v>
      </c>
      <c r="D197" s="4">
        <v>1</v>
      </c>
      <c r="E197" s="4">
        <v>222</v>
      </c>
      <c r="F197" s="4">
        <f>ROUND(Source!AO193,O197)</f>
        <v>0</v>
      </c>
      <c r="G197" s="4" t="s">
        <v>63</v>
      </c>
      <c r="H197" s="4" t="s">
        <v>64</v>
      </c>
      <c r="I197" s="4"/>
      <c r="J197" s="4"/>
      <c r="K197" s="4">
        <v>222</v>
      </c>
      <c r="L197" s="4">
        <v>3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8" spans="1:206">
      <c r="A198" s="4">
        <v>50</v>
      </c>
      <c r="B198" s="4">
        <v>0</v>
      </c>
      <c r="C198" s="4">
        <v>0</v>
      </c>
      <c r="D198" s="4">
        <v>1</v>
      </c>
      <c r="E198" s="4">
        <v>225</v>
      </c>
      <c r="F198" s="4">
        <f>ROUND(Source!AV193,O198)</f>
        <v>87761.72</v>
      </c>
      <c r="G198" s="4" t="s">
        <v>65</v>
      </c>
      <c r="H198" s="4" t="s">
        <v>66</v>
      </c>
      <c r="I198" s="4"/>
      <c r="J198" s="4"/>
      <c r="K198" s="4">
        <v>225</v>
      </c>
      <c r="L198" s="4">
        <v>4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06">
      <c r="A199" s="4">
        <v>50</v>
      </c>
      <c r="B199" s="4">
        <v>0</v>
      </c>
      <c r="C199" s="4">
        <v>0</v>
      </c>
      <c r="D199" s="4">
        <v>1</v>
      </c>
      <c r="E199" s="4">
        <v>226</v>
      </c>
      <c r="F199" s="4">
        <f>ROUND(Source!AW193,O199)</f>
        <v>87761.72</v>
      </c>
      <c r="G199" s="4" t="s">
        <v>67</v>
      </c>
      <c r="H199" s="4" t="s">
        <v>68</v>
      </c>
      <c r="I199" s="4"/>
      <c r="J199" s="4"/>
      <c r="K199" s="4">
        <v>226</v>
      </c>
      <c r="L199" s="4">
        <v>5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06">
      <c r="A200" s="4">
        <v>50</v>
      </c>
      <c r="B200" s="4">
        <v>0</v>
      </c>
      <c r="C200" s="4">
        <v>0</v>
      </c>
      <c r="D200" s="4">
        <v>1</v>
      </c>
      <c r="E200" s="4">
        <v>227</v>
      </c>
      <c r="F200" s="4">
        <f>ROUND(Source!AX193,O200)</f>
        <v>0</v>
      </c>
      <c r="G200" s="4" t="s">
        <v>69</v>
      </c>
      <c r="H200" s="4" t="s">
        <v>70</v>
      </c>
      <c r="I200" s="4"/>
      <c r="J200" s="4"/>
      <c r="K200" s="4">
        <v>227</v>
      </c>
      <c r="L200" s="4">
        <v>6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1" spans="1:206">
      <c r="A201" s="4">
        <v>50</v>
      </c>
      <c r="B201" s="4">
        <v>0</v>
      </c>
      <c r="C201" s="4">
        <v>0</v>
      </c>
      <c r="D201" s="4">
        <v>1</v>
      </c>
      <c r="E201" s="4">
        <v>228</v>
      </c>
      <c r="F201" s="4">
        <f>ROUND(Source!AY193,O201)</f>
        <v>87761.72</v>
      </c>
      <c r="G201" s="4" t="s">
        <v>71</v>
      </c>
      <c r="H201" s="4" t="s">
        <v>72</v>
      </c>
      <c r="I201" s="4"/>
      <c r="J201" s="4"/>
      <c r="K201" s="4">
        <v>228</v>
      </c>
      <c r="L201" s="4">
        <v>7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06">
      <c r="A202" s="4">
        <v>50</v>
      </c>
      <c r="B202" s="4">
        <v>0</v>
      </c>
      <c r="C202" s="4">
        <v>0</v>
      </c>
      <c r="D202" s="4">
        <v>1</v>
      </c>
      <c r="E202" s="4">
        <v>216</v>
      </c>
      <c r="F202" s="4">
        <f>ROUND(Source!AP193,O202)</f>
        <v>0</v>
      </c>
      <c r="G202" s="4" t="s">
        <v>73</v>
      </c>
      <c r="H202" s="4" t="s">
        <v>74</v>
      </c>
      <c r="I202" s="4"/>
      <c r="J202" s="4"/>
      <c r="K202" s="4">
        <v>216</v>
      </c>
      <c r="L202" s="4">
        <v>8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3" spans="1:206">
      <c r="A203" s="4">
        <v>50</v>
      </c>
      <c r="B203" s="4">
        <v>0</v>
      </c>
      <c r="C203" s="4">
        <v>0</v>
      </c>
      <c r="D203" s="4">
        <v>1</v>
      </c>
      <c r="E203" s="4">
        <v>223</v>
      </c>
      <c r="F203" s="4">
        <f>ROUND(Source!AQ193,O203)</f>
        <v>0</v>
      </c>
      <c r="G203" s="4" t="s">
        <v>75</v>
      </c>
      <c r="H203" s="4" t="s">
        <v>76</v>
      </c>
      <c r="I203" s="4"/>
      <c r="J203" s="4"/>
      <c r="K203" s="4">
        <v>223</v>
      </c>
      <c r="L203" s="4">
        <v>9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</row>
    <row r="204" spans="1:206">
      <c r="A204" s="4">
        <v>50</v>
      </c>
      <c r="B204" s="4">
        <v>0</v>
      </c>
      <c r="C204" s="4">
        <v>0</v>
      </c>
      <c r="D204" s="4">
        <v>1</v>
      </c>
      <c r="E204" s="4">
        <v>229</v>
      </c>
      <c r="F204" s="4">
        <f>ROUND(Source!AZ193,O204)</f>
        <v>0</v>
      </c>
      <c r="G204" s="4" t="s">
        <v>77</v>
      </c>
      <c r="H204" s="4" t="s">
        <v>78</v>
      </c>
      <c r="I204" s="4"/>
      <c r="J204" s="4"/>
      <c r="K204" s="4">
        <v>229</v>
      </c>
      <c r="L204" s="4">
        <v>10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</row>
    <row r="205" spans="1:206">
      <c r="A205" s="4">
        <v>50</v>
      </c>
      <c r="B205" s="4">
        <v>0</v>
      </c>
      <c r="C205" s="4">
        <v>0</v>
      </c>
      <c r="D205" s="4">
        <v>1</v>
      </c>
      <c r="E205" s="4">
        <v>203</v>
      </c>
      <c r="F205" s="4">
        <f>ROUND(Source!Q193,O205)</f>
        <v>3694.52</v>
      </c>
      <c r="G205" s="4" t="s">
        <v>79</v>
      </c>
      <c r="H205" s="4" t="s">
        <v>80</v>
      </c>
      <c r="I205" s="4"/>
      <c r="J205" s="4"/>
      <c r="K205" s="4">
        <v>203</v>
      </c>
      <c r="L205" s="4">
        <v>11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6" spans="1:206">
      <c r="A206" s="4">
        <v>50</v>
      </c>
      <c r="B206" s="4">
        <v>0</v>
      </c>
      <c r="C206" s="4">
        <v>0</v>
      </c>
      <c r="D206" s="4">
        <v>1</v>
      </c>
      <c r="E206" s="4">
        <v>231</v>
      </c>
      <c r="F206" s="4">
        <f>ROUND(Source!BB193,O206)</f>
        <v>0</v>
      </c>
      <c r="G206" s="4" t="s">
        <v>81</v>
      </c>
      <c r="H206" s="4" t="s">
        <v>82</v>
      </c>
      <c r="I206" s="4"/>
      <c r="J206" s="4"/>
      <c r="K206" s="4">
        <v>231</v>
      </c>
      <c r="L206" s="4">
        <v>12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06">
      <c r="A207" s="4">
        <v>50</v>
      </c>
      <c r="B207" s="4">
        <v>0</v>
      </c>
      <c r="C207" s="4">
        <v>0</v>
      </c>
      <c r="D207" s="4">
        <v>1</v>
      </c>
      <c r="E207" s="4">
        <v>204</v>
      </c>
      <c r="F207" s="4">
        <f>ROUND(Source!R193,O207)</f>
        <v>741.02</v>
      </c>
      <c r="G207" s="4" t="s">
        <v>83</v>
      </c>
      <c r="H207" s="4" t="s">
        <v>84</v>
      </c>
      <c r="I207" s="4"/>
      <c r="J207" s="4"/>
      <c r="K207" s="4">
        <v>204</v>
      </c>
      <c r="L207" s="4">
        <v>13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06">
      <c r="A208" s="4">
        <v>50</v>
      </c>
      <c r="B208" s="4">
        <v>0</v>
      </c>
      <c r="C208" s="4">
        <v>0</v>
      </c>
      <c r="D208" s="4">
        <v>1</v>
      </c>
      <c r="E208" s="4">
        <v>205</v>
      </c>
      <c r="F208" s="4">
        <f>ROUND(Source!S193,O208)</f>
        <v>20627.79</v>
      </c>
      <c r="G208" s="4" t="s">
        <v>85</v>
      </c>
      <c r="H208" s="4" t="s">
        <v>86</v>
      </c>
      <c r="I208" s="4"/>
      <c r="J208" s="4"/>
      <c r="K208" s="4">
        <v>205</v>
      </c>
      <c r="L208" s="4">
        <v>14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3">
      <c r="A209" s="4">
        <v>50</v>
      </c>
      <c r="B209" s="4">
        <v>0</v>
      </c>
      <c r="C209" s="4">
        <v>0</v>
      </c>
      <c r="D209" s="4">
        <v>1</v>
      </c>
      <c r="E209" s="4">
        <v>232</v>
      </c>
      <c r="F209" s="4">
        <f>ROUND(Source!BC193,O209)</f>
        <v>0</v>
      </c>
      <c r="G209" s="4" t="s">
        <v>87</v>
      </c>
      <c r="H209" s="4" t="s">
        <v>88</v>
      </c>
      <c r="I209" s="4"/>
      <c r="J209" s="4"/>
      <c r="K209" s="4">
        <v>232</v>
      </c>
      <c r="L209" s="4">
        <v>15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3">
      <c r="A210" s="4">
        <v>50</v>
      </c>
      <c r="B210" s="4">
        <v>0</v>
      </c>
      <c r="C210" s="4">
        <v>0</v>
      </c>
      <c r="D210" s="4">
        <v>1</v>
      </c>
      <c r="E210" s="4">
        <v>214</v>
      </c>
      <c r="F210" s="4">
        <f>ROUND(Source!AS193,O210)</f>
        <v>140567.92000000001</v>
      </c>
      <c r="G210" s="4" t="s">
        <v>89</v>
      </c>
      <c r="H210" s="4" t="s">
        <v>90</v>
      </c>
      <c r="I210" s="4"/>
      <c r="J210" s="4"/>
      <c r="K210" s="4">
        <v>214</v>
      </c>
      <c r="L210" s="4">
        <v>16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3">
      <c r="A211" s="4">
        <v>50</v>
      </c>
      <c r="B211" s="4">
        <v>0</v>
      </c>
      <c r="C211" s="4">
        <v>0</v>
      </c>
      <c r="D211" s="4">
        <v>1</v>
      </c>
      <c r="E211" s="4">
        <v>215</v>
      </c>
      <c r="F211" s="4">
        <f>ROUND(Source!AT193,O211)</f>
        <v>0</v>
      </c>
      <c r="G211" s="4" t="s">
        <v>91</v>
      </c>
      <c r="H211" s="4" t="s">
        <v>92</v>
      </c>
      <c r="I211" s="4"/>
      <c r="J211" s="4"/>
      <c r="K211" s="4">
        <v>215</v>
      </c>
      <c r="L211" s="4">
        <v>17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</row>
    <row r="212" spans="1:23">
      <c r="A212" s="4">
        <v>50</v>
      </c>
      <c r="B212" s="4">
        <v>0</v>
      </c>
      <c r="C212" s="4">
        <v>0</v>
      </c>
      <c r="D212" s="4">
        <v>1</v>
      </c>
      <c r="E212" s="4">
        <v>217</v>
      </c>
      <c r="F212" s="4">
        <f>ROUND(Source!AU193,O212)</f>
        <v>0</v>
      </c>
      <c r="G212" s="4" t="s">
        <v>93</v>
      </c>
      <c r="H212" s="4" t="s">
        <v>94</v>
      </c>
      <c r="I212" s="4"/>
      <c r="J212" s="4"/>
      <c r="K212" s="4">
        <v>217</v>
      </c>
      <c r="L212" s="4">
        <v>18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3">
      <c r="A213" s="4">
        <v>50</v>
      </c>
      <c r="B213" s="4">
        <v>0</v>
      </c>
      <c r="C213" s="4">
        <v>0</v>
      </c>
      <c r="D213" s="4">
        <v>1</v>
      </c>
      <c r="E213" s="4">
        <v>230</v>
      </c>
      <c r="F213" s="4">
        <f>ROUND(Source!BA193,O213)</f>
        <v>0</v>
      </c>
      <c r="G213" s="4" t="s">
        <v>95</v>
      </c>
      <c r="H213" s="4" t="s">
        <v>96</v>
      </c>
      <c r="I213" s="4"/>
      <c r="J213" s="4"/>
      <c r="K213" s="4">
        <v>230</v>
      </c>
      <c r="L213" s="4">
        <v>19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3">
      <c r="A214" s="4">
        <v>50</v>
      </c>
      <c r="B214" s="4">
        <v>0</v>
      </c>
      <c r="C214" s="4">
        <v>0</v>
      </c>
      <c r="D214" s="4">
        <v>1</v>
      </c>
      <c r="E214" s="4">
        <v>206</v>
      </c>
      <c r="F214" s="4">
        <f>ROUND(Source!T193,O214)</f>
        <v>0</v>
      </c>
      <c r="G214" s="4" t="s">
        <v>97</v>
      </c>
      <c r="H214" s="4" t="s">
        <v>98</v>
      </c>
      <c r="I214" s="4"/>
      <c r="J214" s="4"/>
      <c r="K214" s="4">
        <v>206</v>
      </c>
      <c r="L214" s="4">
        <v>20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3">
      <c r="A215" s="4">
        <v>50</v>
      </c>
      <c r="B215" s="4">
        <v>0</v>
      </c>
      <c r="C215" s="4">
        <v>0</v>
      </c>
      <c r="D215" s="4">
        <v>1</v>
      </c>
      <c r="E215" s="4">
        <v>207</v>
      </c>
      <c r="F215" s="4">
        <f>Source!U193</f>
        <v>67.616805999999997</v>
      </c>
      <c r="G215" s="4" t="s">
        <v>99</v>
      </c>
      <c r="H215" s="4" t="s">
        <v>100</v>
      </c>
      <c r="I215" s="4"/>
      <c r="J215" s="4"/>
      <c r="K215" s="4">
        <v>207</v>
      </c>
      <c r="L215" s="4">
        <v>21</v>
      </c>
      <c r="M215" s="4">
        <v>3</v>
      </c>
      <c r="N215" s="4" t="s">
        <v>3</v>
      </c>
      <c r="O215" s="4">
        <v>-1</v>
      </c>
      <c r="P215" s="4"/>
      <c r="Q215" s="4"/>
      <c r="R215" s="4"/>
      <c r="S215" s="4"/>
      <c r="T215" s="4"/>
      <c r="U215" s="4"/>
      <c r="V215" s="4"/>
      <c r="W215" s="4"/>
    </row>
    <row r="216" spans="1:23">
      <c r="A216" s="4">
        <v>50</v>
      </c>
      <c r="B216" s="4">
        <v>0</v>
      </c>
      <c r="C216" s="4">
        <v>0</v>
      </c>
      <c r="D216" s="4">
        <v>1</v>
      </c>
      <c r="E216" s="4">
        <v>208</v>
      </c>
      <c r="F216" s="4">
        <f>Source!V193</f>
        <v>1.8860999999999999</v>
      </c>
      <c r="G216" s="4" t="s">
        <v>101</v>
      </c>
      <c r="H216" s="4" t="s">
        <v>102</v>
      </c>
      <c r="I216" s="4"/>
      <c r="J216" s="4"/>
      <c r="K216" s="4">
        <v>208</v>
      </c>
      <c r="L216" s="4">
        <v>22</v>
      </c>
      <c r="M216" s="4">
        <v>3</v>
      </c>
      <c r="N216" s="4" t="s">
        <v>3</v>
      </c>
      <c r="O216" s="4">
        <v>-1</v>
      </c>
      <c r="P216" s="4"/>
      <c r="Q216" s="4"/>
      <c r="R216" s="4"/>
      <c r="S216" s="4"/>
      <c r="T216" s="4"/>
      <c r="U216" s="4"/>
      <c r="V216" s="4"/>
      <c r="W216" s="4"/>
    </row>
    <row r="217" spans="1:23">
      <c r="A217" s="4">
        <v>50</v>
      </c>
      <c r="B217" s="4">
        <v>0</v>
      </c>
      <c r="C217" s="4">
        <v>0</v>
      </c>
      <c r="D217" s="4">
        <v>1</v>
      </c>
      <c r="E217" s="4">
        <v>209</v>
      </c>
      <c r="F217" s="4">
        <f>ROUND(Source!W193,O217)</f>
        <v>5.17</v>
      </c>
      <c r="G217" s="4" t="s">
        <v>103</v>
      </c>
      <c r="H217" s="4" t="s">
        <v>104</v>
      </c>
      <c r="I217" s="4"/>
      <c r="J217" s="4"/>
      <c r="K217" s="4">
        <v>209</v>
      </c>
      <c r="L217" s="4">
        <v>23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3">
      <c r="A218" s="4">
        <v>50</v>
      </c>
      <c r="B218" s="4">
        <v>0</v>
      </c>
      <c r="C218" s="4">
        <v>0</v>
      </c>
      <c r="D218" s="4">
        <v>1</v>
      </c>
      <c r="E218" s="4">
        <v>233</v>
      </c>
      <c r="F218" s="4">
        <f>ROUND(Source!BD193,O218)</f>
        <v>245.73</v>
      </c>
      <c r="G218" s="4" t="s">
        <v>105</v>
      </c>
      <c r="H218" s="4" t="s">
        <v>106</v>
      </c>
      <c r="I218" s="4"/>
      <c r="J218" s="4"/>
      <c r="K218" s="4">
        <v>233</v>
      </c>
      <c r="L218" s="4">
        <v>24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3">
      <c r="A219" s="4">
        <v>50</v>
      </c>
      <c r="B219" s="4">
        <v>0</v>
      </c>
      <c r="C219" s="4">
        <v>0</v>
      </c>
      <c r="D219" s="4">
        <v>1</v>
      </c>
      <c r="E219" s="4">
        <v>210</v>
      </c>
      <c r="F219" s="4">
        <f>ROUND(Source!X193,O219)</f>
        <v>17445.439999999999</v>
      </c>
      <c r="G219" s="4" t="s">
        <v>107</v>
      </c>
      <c r="H219" s="4" t="s">
        <v>108</v>
      </c>
      <c r="I219" s="4"/>
      <c r="J219" s="4"/>
      <c r="K219" s="4">
        <v>210</v>
      </c>
      <c r="L219" s="4">
        <v>25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3">
      <c r="A220" s="4">
        <v>50</v>
      </c>
      <c r="B220" s="4">
        <v>0</v>
      </c>
      <c r="C220" s="4">
        <v>0</v>
      </c>
      <c r="D220" s="4">
        <v>1</v>
      </c>
      <c r="E220" s="4">
        <v>211</v>
      </c>
      <c r="F220" s="4">
        <f>ROUND(Source!Y193,O220)</f>
        <v>11038.45</v>
      </c>
      <c r="G220" s="4" t="s">
        <v>109</v>
      </c>
      <c r="H220" s="4" t="s">
        <v>110</v>
      </c>
      <c r="I220" s="4"/>
      <c r="J220" s="4"/>
      <c r="K220" s="4">
        <v>211</v>
      </c>
      <c r="L220" s="4">
        <v>26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3">
      <c r="A221" s="4">
        <v>50</v>
      </c>
      <c r="B221" s="4">
        <v>0</v>
      </c>
      <c r="C221" s="4">
        <v>0</v>
      </c>
      <c r="D221" s="4">
        <v>1</v>
      </c>
      <c r="E221" s="4">
        <v>224</v>
      </c>
      <c r="F221" s="4">
        <f>ROUND(Source!AR193,O221)</f>
        <v>140567.92000000001</v>
      </c>
      <c r="G221" s="4" t="s">
        <v>111</v>
      </c>
      <c r="H221" s="4" t="s">
        <v>112</v>
      </c>
      <c r="I221" s="4"/>
      <c r="J221" s="4"/>
      <c r="K221" s="4">
        <v>224</v>
      </c>
      <c r="L221" s="4">
        <v>27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3">
      <c r="A222" s="4">
        <v>50</v>
      </c>
      <c r="B222" s="4">
        <v>1</v>
      </c>
      <c r="C222" s="4">
        <v>0</v>
      </c>
      <c r="D222" s="4">
        <v>2</v>
      </c>
      <c r="E222" s="4">
        <v>0</v>
      </c>
      <c r="F222" s="4">
        <f>ROUND(F221*0.2,O222)</f>
        <v>28113.58</v>
      </c>
      <c r="G222" s="4" t="s">
        <v>255</v>
      </c>
      <c r="H222" s="4" t="s">
        <v>256</v>
      </c>
      <c r="I222" s="4"/>
      <c r="J222" s="4"/>
      <c r="K222" s="4">
        <v>212</v>
      </c>
      <c r="L222" s="4">
        <v>28</v>
      </c>
      <c r="M222" s="4">
        <v>0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3" spans="1:23">
      <c r="A223" s="4">
        <v>50</v>
      </c>
      <c r="B223" s="4">
        <v>1</v>
      </c>
      <c r="C223" s="4">
        <v>0</v>
      </c>
      <c r="D223" s="4">
        <v>2</v>
      </c>
      <c r="E223" s="4">
        <v>213</v>
      </c>
      <c r="F223" s="4">
        <f>ROUND(F221+F222,O223)</f>
        <v>168681.5</v>
      </c>
      <c r="G223" s="4" t="s">
        <v>257</v>
      </c>
      <c r="H223" s="4" t="s">
        <v>258</v>
      </c>
      <c r="I223" s="4"/>
      <c r="J223" s="4"/>
      <c r="K223" s="4">
        <v>212</v>
      </c>
      <c r="L223" s="4">
        <v>29</v>
      </c>
      <c r="M223" s="4">
        <v>0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/>
    </row>
    <row r="226" spans="1:16">
      <c r="A226">
        <v>70</v>
      </c>
      <c r="B226">
        <v>1</v>
      </c>
      <c r="D226">
        <v>1</v>
      </c>
      <c r="E226" t="s">
        <v>259</v>
      </c>
      <c r="F226" t="s">
        <v>260</v>
      </c>
      <c r="G226">
        <v>0</v>
      </c>
      <c r="H226">
        <v>0</v>
      </c>
      <c r="I226" t="s">
        <v>3</v>
      </c>
      <c r="J226">
        <v>1</v>
      </c>
      <c r="K226">
        <v>0</v>
      </c>
      <c r="L226" t="s">
        <v>3</v>
      </c>
      <c r="M226" t="s">
        <v>3</v>
      </c>
      <c r="N226">
        <v>0</v>
      </c>
      <c r="P226" t="s">
        <v>261</v>
      </c>
    </row>
    <row r="227" spans="1:16">
      <c r="A227">
        <v>70</v>
      </c>
      <c r="B227">
        <v>1</v>
      </c>
      <c r="D227">
        <v>2</v>
      </c>
      <c r="E227" t="s">
        <v>262</v>
      </c>
      <c r="F227" t="s">
        <v>263</v>
      </c>
      <c r="G227">
        <v>1</v>
      </c>
      <c r="H227">
        <v>0</v>
      </c>
      <c r="I227" t="s">
        <v>3</v>
      </c>
      <c r="J227">
        <v>1</v>
      </c>
      <c r="K227">
        <v>0</v>
      </c>
      <c r="L227" t="s">
        <v>3</v>
      </c>
      <c r="M227" t="s">
        <v>3</v>
      </c>
      <c r="N227">
        <v>0</v>
      </c>
      <c r="P227" t="s">
        <v>264</v>
      </c>
    </row>
    <row r="228" spans="1:16">
      <c r="A228">
        <v>70</v>
      </c>
      <c r="B228">
        <v>1</v>
      </c>
      <c r="D228">
        <v>3</v>
      </c>
      <c r="E228" t="s">
        <v>265</v>
      </c>
      <c r="F228" t="s">
        <v>266</v>
      </c>
      <c r="G228">
        <v>0</v>
      </c>
      <c r="H228">
        <v>0</v>
      </c>
      <c r="I228" t="s">
        <v>3</v>
      </c>
      <c r="J228">
        <v>1</v>
      </c>
      <c r="K228">
        <v>0</v>
      </c>
      <c r="L228" t="s">
        <v>3</v>
      </c>
      <c r="M228" t="s">
        <v>3</v>
      </c>
      <c r="N228">
        <v>0</v>
      </c>
      <c r="P228" t="s">
        <v>267</v>
      </c>
    </row>
    <row r="229" spans="1:16">
      <c r="A229">
        <v>70</v>
      </c>
      <c r="B229">
        <v>1</v>
      </c>
      <c r="D229">
        <v>4</v>
      </c>
      <c r="E229" t="s">
        <v>268</v>
      </c>
      <c r="F229" t="s">
        <v>269</v>
      </c>
      <c r="G229">
        <v>0</v>
      </c>
      <c r="H229">
        <v>0</v>
      </c>
      <c r="I229" t="s">
        <v>270</v>
      </c>
      <c r="J229">
        <v>0</v>
      </c>
      <c r="K229">
        <v>0</v>
      </c>
      <c r="L229" t="s">
        <v>3</v>
      </c>
      <c r="M229" t="s">
        <v>3</v>
      </c>
      <c r="N229">
        <v>0</v>
      </c>
      <c r="P229" t="s">
        <v>271</v>
      </c>
    </row>
    <row r="230" spans="1:16">
      <c r="A230">
        <v>70</v>
      </c>
      <c r="B230">
        <v>1</v>
      </c>
      <c r="D230">
        <v>5</v>
      </c>
      <c r="E230" t="s">
        <v>272</v>
      </c>
      <c r="F230" t="s">
        <v>273</v>
      </c>
      <c r="G230">
        <v>0</v>
      </c>
      <c r="H230">
        <v>0</v>
      </c>
      <c r="I230" t="s">
        <v>274</v>
      </c>
      <c r="J230">
        <v>0</v>
      </c>
      <c r="K230">
        <v>0</v>
      </c>
      <c r="L230" t="s">
        <v>3</v>
      </c>
      <c r="M230" t="s">
        <v>3</v>
      </c>
      <c r="N230">
        <v>0</v>
      </c>
      <c r="P230" t="s">
        <v>275</v>
      </c>
    </row>
    <row r="231" spans="1:16">
      <c r="A231">
        <v>70</v>
      </c>
      <c r="B231">
        <v>1</v>
      </c>
      <c r="D231">
        <v>6</v>
      </c>
      <c r="E231" t="s">
        <v>276</v>
      </c>
      <c r="F231" t="s">
        <v>277</v>
      </c>
      <c r="G231">
        <v>0</v>
      </c>
      <c r="H231">
        <v>0</v>
      </c>
      <c r="I231" t="s">
        <v>278</v>
      </c>
      <c r="J231">
        <v>0</v>
      </c>
      <c r="K231">
        <v>0</v>
      </c>
      <c r="L231" t="s">
        <v>3</v>
      </c>
      <c r="M231" t="s">
        <v>3</v>
      </c>
      <c r="N231">
        <v>0</v>
      </c>
      <c r="P231" t="s">
        <v>279</v>
      </c>
    </row>
    <row r="232" spans="1:16">
      <c r="A232">
        <v>70</v>
      </c>
      <c r="B232">
        <v>1</v>
      </c>
      <c r="D232">
        <v>7</v>
      </c>
      <c r="E232" t="s">
        <v>280</v>
      </c>
      <c r="F232" t="s">
        <v>281</v>
      </c>
      <c r="G232">
        <v>1</v>
      </c>
      <c r="H232">
        <v>0</v>
      </c>
      <c r="I232" t="s">
        <v>3</v>
      </c>
      <c r="J232">
        <v>0</v>
      </c>
      <c r="K232">
        <v>0</v>
      </c>
      <c r="L232" t="s">
        <v>3</v>
      </c>
      <c r="M232" t="s">
        <v>3</v>
      </c>
      <c r="N232">
        <v>0</v>
      </c>
      <c r="P232" t="s">
        <v>282</v>
      </c>
    </row>
    <row r="233" spans="1:16">
      <c r="A233">
        <v>70</v>
      </c>
      <c r="B233">
        <v>1</v>
      </c>
      <c r="D233">
        <v>8</v>
      </c>
      <c r="E233" t="s">
        <v>283</v>
      </c>
      <c r="F233" t="s">
        <v>284</v>
      </c>
      <c r="G233">
        <v>0</v>
      </c>
      <c r="H233">
        <v>0</v>
      </c>
      <c r="I233" t="s">
        <v>285</v>
      </c>
      <c r="J233">
        <v>0</v>
      </c>
      <c r="K233">
        <v>0</v>
      </c>
      <c r="L233" t="s">
        <v>3</v>
      </c>
      <c r="M233" t="s">
        <v>3</v>
      </c>
      <c r="N233">
        <v>0</v>
      </c>
      <c r="P233" t="s">
        <v>286</v>
      </c>
    </row>
    <row r="234" spans="1:16">
      <c r="A234">
        <v>70</v>
      </c>
      <c r="B234">
        <v>1</v>
      </c>
      <c r="D234">
        <v>9</v>
      </c>
      <c r="E234" t="s">
        <v>287</v>
      </c>
      <c r="F234" t="s">
        <v>288</v>
      </c>
      <c r="G234">
        <v>0</v>
      </c>
      <c r="H234">
        <v>0</v>
      </c>
      <c r="I234" t="s">
        <v>289</v>
      </c>
      <c r="J234">
        <v>0</v>
      </c>
      <c r="K234">
        <v>0</v>
      </c>
      <c r="L234" t="s">
        <v>3</v>
      </c>
      <c r="M234" t="s">
        <v>3</v>
      </c>
      <c r="N234">
        <v>0</v>
      </c>
      <c r="P234" t="s">
        <v>290</v>
      </c>
    </row>
    <row r="235" spans="1:16">
      <c r="A235">
        <v>70</v>
      </c>
      <c r="B235">
        <v>1</v>
      </c>
      <c r="D235">
        <v>10</v>
      </c>
      <c r="E235" t="s">
        <v>291</v>
      </c>
      <c r="F235" t="s">
        <v>292</v>
      </c>
      <c r="G235">
        <v>0</v>
      </c>
      <c r="H235">
        <v>0</v>
      </c>
      <c r="I235" t="s">
        <v>293</v>
      </c>
      <c r="J235">
        <v>0</v>
      </c>
      <c r="K235">
        <v>0</v>
      </c>
      <c r="L235" t="s">
        <v>3</v>
      </c>
      <c r="M235" t="s">
        <v>3</v>
      </c>
      <c r="N235">
        <v>0</v>
      </c>
      <c r="P235" t="s">
        <v>294</v>
      </c>
    </row>
    <row r="236" spans="1:16">
      <c r="A236">
        <v>70</v>
      </c>
      <c r="B236">
        <v>1</v>
      </c>
      <c r="D236">
        <v>11</v>
      </c>
      <c r="E236" t="s">
        <v>295</v>
      </c>
      <c r="F236" t="s">
        <v>296</v>
      </c>
      <c r="G236">
        <v>0</v>
      </c>
      <c r="H236">
        <v>0</v>
      </c>
      <c r="I236" t="s">
        <v>297</v>
      </c>
      <c r="J236">
        <v>0</v>
      </c>
      <c r="K236">
        <v>0</v>
      </c>
      <c r="L236" t="s">
        <v>3</v>
      </c>
      <c r="M236" t="s">
        <v>3</v>
      </c>
      <c r="N236">
        <v>0</v>
      </c>
      <c r="P236" t="s">
        <v>298</v>
      </c>
    </row>
    <row r="237" spans="1:16">
      <c r="A237">
        <v>70</v>
      </c>
      <c r="B237">
        <v>1</v>
      </c>
      <c r="D237">
        <v>12</v>
      </c>
      <c r="E237" t="s">
        <v>299</v>
      </c>
      <c r="F237" t="s">
        <v>300</v>
      </c>
      <c r="G237">
        <v>0</v>
      </c>
      <c r="H237">
        <v>0</v>
      </c>
      <c r="I237" t="s">
        <v>3</v>
      </c>
      <c r="J237">
        <v>0</v>
      </c>
      <c r="K237">
        <v>0</v>
      </c>
      <c r="L237" t="s">
        <v>3</v>
      </c>
      <c r="M237" t="s">
        <v>3</v>
      </c>
      <c r="N237">
        <v>0</v>
      </c>
      <c r="P237" t="s">
        <v>3</v>
      </c>
    </row>
    <row r="238" spans="1:16">
      <c r="A238">
        <v>70</v>
      </c>
      <c r="B238">
        <v>1</v>
      </c>
      <c r="D238">
        <v>1</v>
      </c>
      <c r="E238" t="s">
        <v>301</v>
      </c>
      <c r="F238" t="s">
        <v>302</v>
      </c>
      <c r="G238">
        <v>0.9</v>
      </c>
      <c r="H238">
        <v>1</v>
      </c>
      <c r="I238" t="s">
        <v>303</v>
      </c>
      <c r="J238">
        <v>0</v>
      </c>
      <c r="K238">
        <v>0</v>
      </c>
      <c r="L238" t="s">
        <v>3</v>
      </c>
      <c r="M238" t="s">
        <v>3</v>
      </c>
      <c r="N238">
        <v>0</v>
      </c>
      <c r="P238" t="s">
        <v>3</v>
      </c>
    </row>
    <row r="239" spans="1:16">
      <c r="A239">
        <v>70</v>
      </c>
      <c r="B239">
        <v>1</v>
      </c>
      <c r="D239">
        <v>2</v>
      </c>
      <c r="E239" t="s">
        <v>304</v>
      </c>
      <c r="F239" t="s">
        <v>305</v>
      </c>
      <c r="G239">
        <v>0.85</v>
      </c>
      <c r="H239">
        <v>1</v>
      </c>
      <c r="I239" t="s">
        <v>306</v>
      </c>
      <c r="J239">
        <v>0</v>
      </c>
      <c r="K239">
        <v>0</v>
      </c>
      <c r="L239" t="s">
        <v>3</v>
      </c>
      <c r="M239" t="s">
        <v>3</v>
      </c>
      <c r="N239">
        <v>0</v>
      </c>
      <c r="P239" t="s">
        <v>3</v>
      </c>
    </row>
    <row r="240" spans="1:16">
      <c r="A240">
        <v>70</v>
      </c>
      <c r="B240">
        <v>1</v>
      </c>
      <c r="D240">
        <v>3</v>
      </c>
      <c r="E240" t="s">
        <v>307</v>
      </c>
      <c r="F240" t="s">
        <v>308</v>
      </c>
      <c r="G240">
        <v>1</v>
      </c>
      <c r="H240">
        <v>0.85</v>
      </c>
      <c r="I240" t="s">
        <v>309</v>
      </c>
      <c r="J240">
        <v>0</v>
      </c>
      <c r="K240">
        <v>0</v>
      </c>
      <c r="L240" t="s">
        <v>3</v>
      </c>
      <c r="M240" t="s">
        <v>3</v>
      </c>
      <c r="N240">
        <v>0</v>
      </c>
      <c r="P240" t="s">
        <v>3</v>
      </c>
    </row>
    <row r="241" spans="1:40">
      <c r="A241">
        <v>70</v>
      </c>
      <c r="B241">
        <v>1</v>
      </c>
      <c r="D241">
        <v>4</v>
      </c>
      <c r="E241" t="s">
        <v>310</v>
      </c>
      <c r="F241" t="s">
        <v>311</v>
      </c>
      <c r="G241">
        <v>1</v>
      </c>
      <c r="H241">
        <v>0</v>
      </c>
      <c r="I241" t="s">
        <v>3</v>
      </c>
      <c r="J241">
        <v>0</v>
      </c>
      <c r="K241">
        <v>0</v>
      </c>
      <c r="L241" t="s">
        <v>3</v>
      </c>
      <c r="M241" t="s">
        <v>3</v>
      </c>
      <c r="N241">
        <v>0</v>
      </c>
      <c r="P241" t="s">
        <v>3</v>
      </c>
    </row>
    <row r="242" spans="1:40">
      <c r="A242">
        <v>70</v>
      </c>
      <c r="B242">
        <v>1</v>
      </c>
      <c r="D242">
        <v>5</v>
      </c>
      <c r="E242" t="s">
        <v>312</v>
      </c>
      <c r="F242" t="s">
        <v>313</v>
      </c>
      <c r="G242">
        <v>1</v>
      </c>
      <c r="H242">
        <v>0.8</v>
      </c>
      <c r="I242" t="s">
        <v>314</v>
      </c>
      <c r="J242">
        <v>0</v>
      </c>
      <c r="K242">
        <v>0</v>
      </c>
      <c r="L242" t="s">
        <v>3</v>
      </c>
      <c r="M242" t="s">
        <v>3</v>
      </c>
      <c r="N242">
        <v>0</v>
      </c>
      <c r="P242" t="s">
        <v>3</v>
      </c>
    </row>
    <row r="243" spans="1:40">
      <c r="A243">
        <v>70</v>
      </c>
      <c r="B243">
        <v>1</v>
      </c>
      <c r="D243">
        <v>6</v>
      </c>
      <c r="E243" t="s">
        <v>315</v>
      </c>
      <c r="F243" t="s">
        <v>316</v>
      </c>
      <c r="G243">
        <v>0.85</v>
      </c>
      <c r="H243">
        <v>0</v>
      </c>
      <c r="I243" t="s">
        <v>3</v>
      </c>
      <c r="J243">
        <v>0</v>
      </c>
      <c r="K243">
        <v>0</v>
      </c>
      <c r="L243" t="s">
        <v>3</v>
      </c>
      <c r="M243" t="s">
        <v>3</v>
      </c>
      <c r="N243">
        <v>0</v>
      </c>
      <c r="P243" t="s">
        <v>3</v>
      </c>
    </row>
    <row r="244" spans="1:40">
      <c r="A244">
        <v>70</v>
      </c>
      <c r="B244">
        <v>1</v>
      </c>
      <c r="D244">
        <v>7</v>
      </c>
      <c r="E244" t="s">
        <v>317</v>
      </c>
      <c r="F244" t="s">
        <v>318</v>
      </c>
      <c r="G244">
        <v>0.8</v>
      </c>
      <c r="H244">
        <v>0</v>
      </c>
      <c r="I244" t="s">
        <v>3</v>
      </c>
      <c r="J244">
        <v>0</v>
      </c>
      <c r="K244">
        <v>0</v>
      </c>
      <c r="L244" t="s">
        <v>3</v>
      </c>
      <c r="M244" t="s">
        <v>3</v>
      </c>
      <c r="N244">
        <v>0</v>
      </c>
      <c r="P244" t="s">
        <v>3</v>
      </c>
    </row>
    <row r="245" spans="1:40">
      <c r="A245">
        <v>70</v>
      </c>
      <c r="B245">
        <v>1</v>
      </c>
      <c r="D245">
        <v>8</v>
      </c>
      <c r="E245" t="s">
        <v>319</v>
      </c>
      <c r="F245" t="s">
        <v>320</v>
      </c>
      <c r="G245">
        <v>0.7</v>
      </c>
      <c r="H245">
        <v>0</v>
      </c>
      <c r="I245" t="s">
        <v>3</v>
      </c>
      <c r="J245">
        <v>0</v>
      </c>
      <c r="K245">
        <v>0</v>
      </c>
      <c r="L245" t="s">
        <v>3</v>
      </c>
      <c r="M245" t="s">
        <v>3</v>
      </c>
      <c r="N245">
        <v>0</v>
      </c>
      <c r="P245" t="s">
        <v>3</v>
      </c>
    </row>
    <row r="246" spans="1:40">
      <c r="A246">
        <v>70</v>
      </c>
      <c r="B246">
        <v>1</v>
      </c>
      <c r="D246">
        <v>9</v>
      </c>
      <c r="E246" t="s">
        <v>321</v>
      </c>
      <c r="F246" t="s">
        <v>322</v>
      </c>
      <c r="G246">
        <v>0.9</v>
      </c>
      <c r="H246">
        <v>0</v>
      </c>
      <c r="I246" t="s">
        <v>3</v>
      </c>
      <c r="J246">
        <v>0</v>
      </c>
      <c r="K246">
        <v>0</v>
      </c>
      <c r="L246" t="s">
        <v>3</v>
      </c>
      <c r="M246" t="s">
        <v>3</v>
      </c>
      <c r="N246">
        <v>0</v>
      </c>
      <c r="P246" t="s">
        <v>3</v>
      </c>
    </row>
    <row r="247" spans="1:40">
      <c r="A247">
        <v>70</v>
      </c>
      <c r="B247">
        <v>1</v>
      </c>
      <c r="D247">
        <v>10</v>
      </c>
      <c r="E247" t="s">
        <v>323</v>
      </c>
      <c r="F247" t="s">
        <v>324</v>
      </c>
      <c r="G247">
        <v>0.6</v>
      </c>
      <c r="H247">
        <v>0</v>
      </c>
      <c r="I247" t="s">
        <v>3</v>
      </c>
      <c r="J247">
        <v>0</v>
      </c>
      <c r="K247">
        <v>0</v>
      </c>
      <c r="L247" t="s">
        <v>3</v>
      </c>
      <c r="M247" t="s">
        <v>3</v>
      </c>
      <c r="N247">
        <v>0</v>
      </c>
      <c r="P247" t="s">
        <v>3</v>
      </c>
    </row>
    <row r="248" spans="1:40">
      <c r="A248">
        <v>70</v>
      </c>
      <c r="B248">
        <v>1</v>
      </c>
      <c r="D248">
        <v>11</v>
      </c>
      <c r="E248" t="s">
        <v>325</v>
      </c>
      <c r="F248" t="s">
        <v>326</v>
      </c>
      <c r="G248">
        <v>1.2</v>
      </c>
      <c r="H248">
        <v>0</v>
      </c>
      <c r="I248" t="s">
        <v>3</v>
      </c>
      <c r="J248">
        <v>0</v>
      </c>
      <c r="K248">
        <v>0</v>
      </c>
      <c r="L248" t="s">
        <v>3</v>
      </c>
      <c r="M248" t="s">
        <v>3</v>
      </c>
      <c r="N248">
        <v>0</v>
      </c>
      <c r="P248" t="s">
        <v>3</v>
      </c>
    </row>
    <row r="249" spans="1:40">
      <c r="A249">
        <v>70</v>
      </c>
      <c r="B249">
        <v>1</v>
      </c>
      <c r="D249">
        <v>12</v>
      </c>
      <c r="E249" t="s">
        <v>327</v>
      </c>
      <c r="F249" t="s">
        <v>328</v>
      </c>
      <c r="G249">
        <v>0</v>
      </c>
      <c r="H249">
        <v>0</v>
      </c>
      <c r="I249" t="s">
        <v>3</v>
      </c>
      <c r="J249">
        <v>0</v>
      </c>
      <c r="K249">
        <v>0</v>
      </c>
      <c r="L249" t="s">
        <v>3</v>
      </c>
      <c r="M249" t="s">
        <v>3</v>
      </c>
      <c r="N249">
        <v>0</v>
      </c>
      <c r="P249" t="s">
        <v>3</v>
      </c>
    </row>
    <row r="250" spans="1:40">
      <c r="A250">
        <v>70</v>
      </c>
      <c r="B250">
        <v>1</v>
      </c>
      <c r="D250">
        <v>13</v>
      </c>
      <c r="E250" t="s">
        <v>329</v>
      </c>
      <c r="F250" t="s">
        <v>330</v>
      </c>
      <c r="G250">
        <v>1</v>
      </c>
      <c r="H250">
        <v>0</v>
      </c>
      <c r="I250" t="s">
        <v>3</v>
      </c>
      <c r="J250">
        <v>0</v>
      </c>
      <c r="K250">
        <v>0</v>
      </c>
      <c r="L250" t="s">
        <v>3</v>
      </c>
      <c r="M250" t="s">
        <v>3</v>
      </c>
      <c r="N250">
        <v>0</v>
      </c>
      <c r="P250" t="s">
        <v>3</v>
      </c>
    </row>
    <row r="252" spans="1:40">
      <c r="A252">
        <v>-1</v>
      </c>
    </row>
    <row r="254" spans="1:40">
      <c r="A254" s="3">
        <v>75</v>
      </c>
      <c r="B254" s="3" t="s">
        <v>331</v>
      </c>
      <c r="C254" s="3">
        <v>2020</v>
      </c>
      <c r="D254" s="3">
        <v>0</v>
      </c>
      <c r="E254" s="3">
        <v>1</v>
      </c>
      <c r="F254" s="3"/>
      <c r="G254" s="3">
        <v>0</v>
      </c>
      <c r="H254" s="3">
        <v>1</v>
      </c>
      <c r="I254" s="3">
        <v>0</v>
      </c>
      <c r="J254" s="3">
        <v>3</v>
      </c>
      <c r="K254" s="3">
        <v>0</v>
      </c>
      <c r="L254" s="3">
        <v>0</v>
      </c>
      <c r="M254" s="3">
        <v>0</v>
      </c>
      <c r="N254" s="3">
        <v>35683522</v>
      </c>
      <c r="O254" s="3">
        <v>1</v>
      </c>
    </row>
    <row r="255" spans="1:40">
      <c r="A255" s="5">
        <v>1</v>
      </c>
      <c r="B255" s="5" t="s">
        <v>332</v>
      </c>
      <c r="C255" s="5" t="s">
        <v>333</v>
      </c>
      <c r="D255" s="5">
        <v>2021</v>
      </c>
      <c r="E255" s="5">
        <v>1</v>
      </c>
      <c r="F255" s="5">
        <v>1</v>
      </c>
      <c r="G255" s="5">
        <v>1</v>
      </c>
      <c r="H255" s="5">
        <v>0</v>
      </c>
      <c r="I255" s="5">
        <v>2</v>
      </c>
      <c r="J255" s="5">
        <v>1</v>
      </c>
      <c r="K255" s="5">
        <v>1</v>
      </c>
      <c r="L255" s="5">
        <v>1</v>
      </c>
      <c r="M255" s="5">
        <v>1</v>
      </c>
      <c r="N255" s="5">
        <v>1</v>
      </c>
      <c r="O255" s="5">
        <v>1</v>
      </c>
      <c r="P255" s="5">
        <v>1</v>
      </c>
      <c r="Q255" s="5">
        <v>1</v>
      </c>
      <c r="R255" s="5" t="s">
        <v>3</v>
      </c>
      <c r="S255" s="5" t="s">
        <v>3</v>
      </c>
      <c r="T255" s="5" t="s">
        <v>3</v>
      </c>
      <c r="U255" s="5" t="s">
        <v>3</v>
      </c>
      <c r="V255" s="5" t="s">
        <v>3</v>
      </c>
      <c r="W255" s="5" t="s">
        <v>3</v>
      </c>
      <c r="X255" s="5" t="s">
        <v>3</v>
      </c>
      <c r="Y255" s="5" t="s">
        <v>3</v>
      </c>
      <c r="Z255" s="5" t="s">
        <v>3</v>
      </c>
      <c r="AA255" s="5" t="s">
        <v>3</v>
      </c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>
        <v>35683523</v>
      </c>
    </row>
    <row r="256" spans="1:40">
      <c r="A256" s="5">
        <v>2</v>
      </c>
      <c r="B256" s="5" t="s">
        <v>334</v>
      </c>
      <c r="C256" s="5" t="s">
        <v>335</v>
      </c>
      <c r="D256" s="5">
        <v>0</v>
      </c>
      <c r="E256" s="5">
        <v>0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>
        <v>35683524</v>
      </c>
    </row>
    <row r="260" spans="1:5">
      <c r="A260">
        <v>65</v>
      </c>
      <c r="C260">
        <v>1</v>
      </c>
      <c r="D260">
        <v>0</v>
      </c>
      <c r="E26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09375" defaultRowHeight="13.2"/>
  <cols>
    <col min="1" max="256" width="9.109375" customWidth="1"/>
  </cols>
  <sheetData>
    <row r="1" spans="1:133">
      <c r="A1">
        <v>0</v>
      </c>
      <c r="B1" t="s">
        <v>0</v>
      </c>
      <c r="D1" t="s">
        <v>336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1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35683522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(Source!F180)/1000</f>
        <v>140.56792000000002</v>
      </c>
      <c r="F16" s="7">
        <f>(Source!F181)/1000</f>
        <v>0</v>
      </c>
      <c r="G16" s="7">
        <f>(Source!F172)/1000</f>
        <v>0</v>
      </c>
      <c r="H16" s="7">
        <f>(Source!F182)/1000+(Source!F183)/1000</f>
        <v>0</v>
      </c>
      <c r="I16" s="7">
        <f>E16+F16+G16+H16</f>
        <v>140.56792000000002</v>
      </c>
      <c r="J16" s="7">
        <f>(Source!F178)/1000</f>
        <v>20.627790000000001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112084.03</v>
      </c>
      <c r="AU16" s="7">
        <v>87761.72</v>
      </c>
      <c r="AV16" s="7">
        <v>0</v>
      </c>
      <c r="AW16" s="7">
        <v>0</v>
      </c>
      <c r="AX16" s="7">
        <v>0</v>
      </c>
      <c r="AY16" s="7">
        <v>3694.52</v>
      </c>
      <c r="AZ16" s="7">
        <v>741.02</v>
      </c>
      <c r="BA16" s="7">
        <v>20627.79</v>
      </c>
      <c r="BB16" s="7">
        <v>140567.92000000001</v>
      </c>
      <c r="BC16" s="7">
        <v>0</v>
      </c>
      <c r="BD16" s="7">
        <v>0</v>
      </c>
      <c r="BE16" s="7">
        <v>0</v>
      </c>
      <c r="BF16" s="7">
        <v>67.616805999999997</v>
      </c>
      <c r="BG16" s="7">
        <v>1.8861000000000001</v>
      </c>
      <c r="BH16" s="7">
        <v>5.17</v>
      </c>
      <c r="BI16" s="7">
        <v>17445.439999999999</v>
      </c>
      <c r="BJ16" s="7">
        <v>11038.45</v>
      </c>
      <c r="BK16" s="7">
        <v>140567.92000000001</v>
      </c>
    </row>
    <row r="18" spans="1:19">
      <c r="A18">
        <v>51</v>
      </c>
      <c r="E18" s="8">
        <f>SUMIF(A16:A17,3,E16:E17)</f>
        <v>140.56792000000002</v>
      </c>
      <c r="F18" s="8">
        <f>SUMIF(A16:A17,3,F16:F17)</f>
        <v>0</v>
      </c>
      <c r="G18" s="8">
        <f>SUMIF(A16:A17,3,G16:G17)</f>
        <v>0</v>
      </c>
      <c r="H18" s="8">
        <f>SUMIF(A16:A17,3,H16:H17)</f>
        <v>0</v>
      </c>
      <c r="I18" s="8">
        <f>SUMIF(A16:A17,3,I16:I17)</f>
        <v>140.56792000000002</v>
      </c>
      <c r="J18" s="8">
        <f>SUMIF(A16:A17,3,J16:J17)</f>
        <v>20.627790000000001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112084.03</v>
      </c>
      <c r="G20" s="4" t="s">
        <v>59</v>
      </c>
      <c r="H20" s="4" t="s">
        <v>60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87761.72</v>
      </c>
      <c r="G21" s="4" t="s">
        <v>61</v>
      </c>
      <c r="H21" s="4" t="s">
        <v>62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63</v>
      </c>
      <c r="H22" s="4" t="s">
        <v>64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87761.72</v>
      </c>
      <c r="G23" s="4" t="s">
        <v>65</v>
      </c>
      <c r="H23" s="4" t="s">
        <v>66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87761.72</v>
      </c>
      <c r="G24" s="4" t="s">
        <v>67</v>
      </c>
      <c r="H24" s="4" t="s">
        <v>68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69</v>
      </c>
      <c r="H25" s="4" t="s">
        <v>70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87761.72</v>
      </c>
      <c r="G26" s="4" t="s">
        <v>71</v>
      </c>
      <c r="H26" s="4" t="s">
        <v>72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73</v>
      </c>
      <c r="H27" s="4" t="s">
        <v>74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75</v>
      </c>
      <c r="H28" s="4" t="s">
        <v>76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77</v>
      </c>
      <c r="H29" s="4" t="s">
        <v>78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3694.52</v>
      </c>
      <c r="G30" s="4" t="s">
        <v>79</v>
      </c>
      <c r="H30" s="4" t="s">
        <v>80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81</v>
      </c>
      <c r="H31" s="4" t="s">
        <v>82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741.02</v>
      </c>
      <c r="G32" s="4" t="s">
        <v>83</v>
      </c>
      <c r="H32" s="4" t="s">
        <v>84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20627.79</v>
      </c>
      <c r="G33" s="4" t="s">
        <v>85</v>
      </c>
      <c r="H33" s="4" t="s">
        <v>86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87</v>
      </c>
      <c r="H34" s="4" t="s">
        <v>88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140567.92000000001</v>
      </c>
      <c r="G35" s="4" t="s">
        <v>89</v>
      </c>
      <c r="H35" s="4" t="s">
        <v>90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91</v>
      </c>
      <c r="H36" s="4" t="s">
        <v>92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93</v>
      </c>
      <c r="H37" s="4" t="s">
        <v>94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95</v>
      </c>
      <c r="H38" s="4" t="s">
        <v>96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97</v>
      </c>
      <c r="H39" s="4" t="s">
        <v>98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67.616805999999997</v>
      </c>
      <c r="G40" s="4" t="s">
        <v>99</v>
      </c>
      <c r="H40" s="4" t="s">
        <v>100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1.8861000000000001</v>
      </c>
      <c r="G41" s="4" t="s">
        <v>101</v>
      </c>
      <c r="H41" s="4" t="s">
        <v>102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5.17</v>
      </c>
      <c r="G42" s="4" t="s">
        <v>103</v>
      </c>
      <c r="H42" s="4" t="s">
        <v>104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245.73</v>
      </c>
      <c r="G43" s="4" t="s">
        <v>105</v>
      </c>
      <c r="H43" s="4" t="s">
        <v>106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17445.439999999999</v>
      </c>
      <c r="G44" s="4" t="s">
        <v>107</v>
      </c>
      <c r="H44" s="4" t="s">
        <v>108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11038.45</v>
      </c>
      <c r="G45" s="4" t="s">
        <v>109</v>
      </c>
      <c r="H45" s="4" t="s">
        <v>110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140567.92000000001</v>
      </c>
      <c r="G46" s="4" t="s">
        <v>111</v>
      </c>
      <c r="H46" s="4" t="s">
        <v>112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28113.58</v>
      </c>
      <c r="G47" s="4" t="s">
        <v>255</v>
      </c>
      <c r="H47" s="4" t="s">
        <v>256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168681.5</v>
      </c>
      <c r="G48" s="4" t="s">
        <v>257</v>
      </c>
      <c r="H48" s="4" t="s">
        <v>258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331</v>
      </c>
      <c r="C53" s="3">
        <v>2020</v>
      </c>
      <c r="D53" s="3">
        <v>0</v>
      </c>
      <c r="E53" s="3">
        <v>1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35683522</v>
      </c>
      <c r="O53" s="3">
        <v>1</v>
      </c>
    </row>
    <row r="54" spans="1:40">
      <c r="A54" s="5">
        <v>1</v>
      </c>
      <c r="B54" s="5" t="s">
        <v>332</v>
      </c>
      <c r="C54" s="5" t="s">
        <v>333</v>
      </c>
      <c r="D54" s="5">
        <v>2021</v>
      </c>
      <c r="E54" s="5">
        <v>1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35683523</v>
      </c>
    </row>
    <row r="55" spans="1:40">
      <c r="A55" s="5">
        <v>2</v>
      </c>
      <c r="B55" s="5" t="s">
        <v>334</v>
      </c>
      <c r="C55" s="5" t="s">
        <v>335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35683524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C159"/>
  <sheetViews>
    <sheetView workbookViewId="0"/>
  </sheetViews>
  <sheetFormatPr defaultColWidth="9.109375" defaultRowHeight="13.2"/>
  <cols>
    <col min="1" max="256" width="9.109375" customWidth="1"/>
  </cols>
  <sheetData>
    <row r="1" spans="1:107">
      <c r="A1">
        <f>ROW(Source!A28)</f>
        <v>28</v>
      </c>
      <c r="B1">
        <v>35683522</v>
      </c>
      <c r="C1">
        <v>36361654</v>
      </c>
      <c r="D1">
        <v>18442760</v>
      </c>
      <c r="E1">
        <v>1</v>
      </c>
      <c r="F1">
        <v>1</v>
      </c>
      <c r="G1">
        <v>1</v>
      </c>
      <c r="H1">
        <v>1</v>
      </c>
      <c r="I1" t="s">
        <v>337</v>
      </c>
      <c r="J1" t="s">
        <v>3</v>
      </c>
      <c r="K1" t="s">
        <v>338</v>
      </c>
      <c r="L1">
        <v>1369</v>
      </c>
      <c r="N1">
        <v>1013</v>
      </c>
      <c r="O1" t="s">
        <v>339</v>
      </c>
      <c r="P1" t="s">
        <v>339</v>
      </c>
      <c r="Q1">
        <v>1</v>
      </c>
      <c r="W1">
        <v>0</v>
      </c>
      <c r="X1">
        <v>1855713677</v>
      </c>
      <c r="Y1">
        <v>3.92</v>
      </c>
      <c r="AA1">
        <v>0</v>
      </c>
      <c r="AB1">
        <v>0</v>
      </c>
      <c r="AC1">
        <v>0</v>
      </c>
      <c r="AD1">
        <v>362.09</v>
      </c>
      <c r="AE1">
        <v>0</v>
      </c>
      <c r="AF1">
        <v>0</v>
      </c>
      <c r="AG1">
        <v>0</v>
      </c>
      <c r="AH1">
        <v>362.09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3.92</v>
      </c>
      <c r="AU1" t="s">
        <v>3</v>
      </c>
      <c r="AV1">
        <v>1</v>
      </c>
      <c r="AW1">
        <v>2</v>
      </c>
      <c r="AX1">
        <v>36361655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7.84</v>
      </c>
      <c r="CY1">
        <f>AD1</f>
        <v>362.09</v>
      </c>
      <c r="CZ1">
        <f>AH1</f>
        <v>362.09</v>
      </c>
      <c r="DA1">
        <f>AL1</f>
        <v>1</v>
      </c>
      <c r="DB1">
        <f t="shared" ref="DB1:DB32" si="0">ROUND(ROUND(AT1*CZ1,2),6)</f>
        <v>1419.39</v>
      </c>
      <c r="DC1">
        <f t="shared" ref="DC1:DC32" si="1">ROUND(ROUND(AT1*AG1,2),6)</f>
        <v>0</v>
      </c>
    </row>
    <row r="2" spans="1:107">
      <c r="A2">
        <f>ROW(Source!A28)</f>
        <v>28</v>
      </c>
      <c r="B2">
        <v>35683522</v>
      </c>
      <c r="C2">
        <v>36361654</v>
      </c>
      <c r="D2">
        <v>29174517</v>
      </c>
      <c r="E2">
        <v>1</v>
      </c>
      <c r="F2">
        <v>1</v>
      </c>
      <c r="G2">
        <v>1</v>
      </c>
      <c r="H2">
        <v>2</v>
      </c>
      <c r="I2" t="s">
        <v>340</v>
      </c>
      <c r="J2" t="s">
        <v>341</v>
      </c>
      <c r="K2" t="s">
        <v>342</v>
      </c>
      <c r="L2">
        <v>1368</v>
      </c>
      <c r="N2">
        <v>1011</v>
      </c>
      <c r="O2" t="s">
        <v>343</v>
      </c>
      <c r="P2" t="s">
        <v>343</v>
      </c>
      <c r="Q2">
        <v>1</v>
      </c>
      <c r="W2">
        <v>0</v>
      </c>
      <c r="X2">
        <v>-2118901880</v>
      </c>
      <c r="Y2">
        <v>1.87</v>
      </c>
      <c r="AA2">
        <v>0</v>
      </c>
      <c r="AB2">
        <v>492.25</v>
      </c>
      <c r="AC2">
        <v>0</v>
      </c>
      <c r="AD2">
        <v>0</v>
      </c>
      <c r="AE2">
        <v>0</v>
      </c>
      <c r="AF2">
        <v>149.62</v>
      </c>
      <c r="AG2">
        <v>0</v>
      </c>
      <c r="AH2">
        <v>0</v>
      </c>
      <c r="AI2">
        <v>1</v>
      </c>
      <c r="AJ2">
        <v>3.29</v>
      </c>
      <c r="AK2">
        <v>32.909999999999997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1.87</v>
      </c>
      <c r="AU2" t="s">
        <v>3</v>
      </c>
      <c r="AV2">
        <v>0</v>
      </c>
      <c r="AW2">
        <v>2</v>
      </c>
      <c r="AX2">
        <v>36361656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3.74</v>
      </c>
      <c r="CY2">
        <f>AB2</f>
        <v>492.25</v>
      </c>
      <c r="CZ2">
        <f>AF2</f>
        <v>149.62</v>
      </c>
      <c r="DA2">
        <f>AJ2</f>
        <v>3.29</v>
      </c>
      <c r="DB2">
        <f t="shared" si="0"/>
        <v>279.79000000000002</v>
      </c>
      <c r="DC2">
        <f t="shared" si="1"/>
        <v>0</v>
      </c>
    </row>
    <row r="3" spans="1:107">
      <c r="A3">
        <f>ROW(Source!A28)</f>
        <v>28</v>
      </c>
      <c r="B3">
        <v>35683522</v>
      </c>
      <c r="C3">
        <v>36361654</v>
      </c>
      <c r="D3">
        <v>29114197</v>
      </c>
      <c r="E3">
        <v>1</v>
      </c>
      <c r="F3">
        <v>1</v>
      </c>
      <c r="G3">
        <v>1</v>
      </c>
      <c r="H3">
        <v>3</v>
      </c>
      <c r="I3" t="s">
        <v>344</v>
      </c>
      <c r="J3" t="s">
        <v>345</v>
      </c>
      <c r="K3" t="s">
        <v>346</v>
      </c>
      <c r="L3">
        <v>1355</v>
      </c>
      <c r="N3">
        <v>1010</v>
      </c>
      <c r="O3" t="s">
        <v>149</v>
      </c>
      <c r="P3" t="s">
        <v>149</v>
      </c>
      <c r="Q3">
        <v>100</v>
      </c>
      <c r="W3">
        <v>0</v>
      </c>
      <c r="X3">
        <v>-348197750</v>
      </c>
      <c r="Y3">
        <v>0.02</v>
      </c>
      <c r="AA3">
        <v>1767.36</v>
      </c>
      <c r="AB3">
        <v>0</v>
      </c>
      <c r="AC3">
        <v>0</v>
      </c>
      <c r="AD3">
        <v>0</v>
      </c>
      <c r="AE3">
        <v>526</v>
      </c>
      <c r="AF3">
        <v>0</v>
      </c>
      <c r="AG3">
        <v>0</v>
      </c>
      <c r="AH3">
        <v>0</v>
      </c>
      <c r="AI3">
        <v>3.36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0.02</v>
      </c>
      <c r="AU3" t="s">
        <v>3</v>
      </c>
      <c r="AV3">
        <v>0</v>
      </c>
      <c r="AW3">
        <v>2</v>
      </c>
      <c r="AX3">
        <v>36361657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0.04</v>
      </c>
      <c r="CY3">
        <f>AA3</f>
        <v>1767.36</v>
      </c>
      <c r="CZ3">
        <f>AE3</f>
        <v>526</v>
      </c>
      <c r="DA3">
        <f>AI3</f>
        <v>3.36</v>
      </c>
      <c r="DB3">
        <f t="shared" si="0"/>
        <v>10.52</v>
      </c>
      <c r="DC3">
        <f t="shared" si="1"/>
        <v>0</v>
      </c>
    </row>
    <row r="4" spans="1:107">
      <c r="A4">
        <f>ROW(Source!A28)</f>
        <v>28</v>
      </c>
      <c r="B4">
        <v>35683522</v>
      </c>
      <c r="C4">
        <v>36361654</v>
      </c>
      <c r="D4">
        <v>29114913</v>
      </c>
      <c r="E4">
        <v>1</v>
      </c>
      <c r="F4">
        <v>1</v>
      </c>
      <c r="G4">
        <v>1</v>
      </c>
      <c r="H4">
        <v>3</v>
      </c>
      <c r="I4" t="s">
        <v>21</v>
      </c>
      <c r="J4" t="s">
        <v>24</v>
      </c>
      <c r="K4" t="s">
        <v>22</v>
      </c>
      <c r="L4">
        <v>1354</v>
      </c>
      <c r="N4">
        <v>1010</v>
      </c>
      <c r="O4" t="s">
        <v>23</v>
      </c>
      <c r="P4" t="s">
        <v>23</v>
      </c>
      <c r="Q4">
        <v>1</v>
      </c>
      <c r="W4">
        <v>0</v>
      </c>
      <c r="X4">
        <v>-1433813403</v>
      </c>
      <c r="Y4">
        <v>0.5</v>
      </c>
      <c r="AA4">
        <v>6028.67</v>
      </c>
      <c r="AB4">
        <v>0</v>
      </c>
      <c r="AC4">
        <v>0</v>
      </c>
      <c r="AD4">
        <v>0</v>
      </c>
      <c r="AE4">
        <v>6028.67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0</v>
      </c>
      <c r="AP4">
        <v>0</v>
      </c>
      <c r="AQ4">
        <v>0</v>
      </c>
      <c r="AR4">
        <v>0</v>
      </c>
      <c r="AS4" t="s">
        <v>3</v>
      </c>
      <c r="AT4">
        <v>0.5</v>
      </c>
      <c r="AU4" t="s">
        <v>3</v>
      </c>
      <c r="AV4">
        <v>0</v>
      </c>
      <c r="AW4">
        <v>1</v>
      </c>
      <c r="AX4">
        <v>-1</v>
      </c>
      <c r="AY4">
        <v>0</v>
      </c>
      <c r="AZ4">
        <v>0</v>
      </c>
      <c r="BA4" t="s">
        <v>3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Y4*Source!I28</f>
        <v>1</v>
      </c>
      <c r="CY4">
        <f>AA4</f>
        <v>6028.67</v>
      </c>
      <c r="CZ4">
        <f>AE4</f>
        <v>6028.67</v>
      </c>
      <c r="DA4">
        <f>AI4</f>
        <v>1</v>
      </c>
      <c r="DB4">
        <f t="shared" si="0"/>
        <v>3014.34</v>
      </c>
      <c r="DC4">
        <f t="shared" si="1"/>
        <v>0</v>
      </c>
    </row>
    <row r="5" spans="1:107">
      <c r="A5">
        <f>ROW(Source!A28)</f>
        <v>28</v>
      </c>
      <c r="B5">
        <v>35683522</v>
      </c>
      <c r="C5">
        <v>36361654</v>
      </c>
      <c r="D5">
        <v>29150040</v>
      </c>
      <c r="E5">
        <v>1</v>
      </c>
      <c r="F5">
        <v>1</v>
      </c>
      <c r="G5">
        <v>1</v>
      </c>
      <c r="H5">
        <v>3</v>
      </c>
      <c r="I5" t="s">
        <v>347</v>
      </c>
      <c r="J5" t="s">
        <v>348</v>
      </c>
      <c r="K5" t="s">
        <v>349</v>
      </c>
      <c r="L5">
        <v>1339</v>
      </c>
      <c r="N5">
        <v>1007</v>
      </c>
      <c r="O5" t="s">
        <v>350</v>
      </c>
      <c r="P5" t="s">
        <v>350</v>
      </c>
      <c r="Q5">
        <v>1</v>
      </c>
      <c r="W5">
        <v>0</v>
      </c>
      <c r="X5">
        <v>619799737</v>
      </c>
      <c r="Y5">
        <v>0.1142</v>
      </c>
      <c r="AA5">
        <v>22.2</v>
      </c>
      <c r="AB5">
        <v>0</v>
      </c>
      <c r="AC5">
        <v>0</v>
      </c>
      <c r="AD5">
        <v>0</v>
      </c>
      <c r="AE5">
        <v>2.44</v>
      </c>
      <c r="AF5">
        <v>0</v>
      </c>
      <c r="AG5">
        <v>0</v>
      </c>
      <c r="AH5">
        <v>0</v>
      </c>
      <c r="AI5">
        <v>9.1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0.1142</v>
      </c>
      <c r="AU5" t="s">
        <v>3</v>
      </c>
      <c r="AV5">
        <v>0</v>
      </c>
      <c r="AW5">
        <v>2</v>
      </c>
      <c r="AX5">
        <v>36361659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Y5*Source!I28</f>
        <v>0.22839999999999999</v>
      </c>
      <c r="CY5">
        <f>AA5</f>
        <v>22.2</v>
      </c>
      <c r="CZ5">
        <f>AE5</f>
        <v>2.44</v>
      </c>
      <c r="DA5">
        <f>AI5</f>
        <v>9.1</v>
      </c>
      <c r="DB5">
        <f t="shared" si="0"/>
        <v>0.28000000000000003</v>
      </c>
      <c r="DC5">
        <f t="shared" si="1"/>
        <v>0</v>
      </c>
    </row>
    <row r="6" spans="1:107">
      <c r="A6">
        <f>ROW(Source!A30)</f>
        <v>30</v>
      </c>
      <c r="B6">
        <v>35683522</v>
      </c>
      <c r="C6">
        <v>35684304</v>
      </c>
      <c r="D6">
        <v>18406804</v>
      </c>
      <c r="E6">
        <v>1</v>
      </c>
      <c r="F6">
        <v>1</v>
      </c>
      <c r="G6">
        <v>1</v>
      </c>
      <c r="H6">
        <v>1</v>
      </c>
      <c r="I6" t="s">
        <v>351</v>
      </c>
      <c r="J6" t="s">
        <v>3</v>
      </c>
      <c r="K6" t="s">
        <v>352</v>
      </c>
      <c r="L6">
        <v>1369</v>
      </c>
      <c r="N6">
        <v>1013</v>
      </c>
      <c r="O6" t="s">
        <v>339</v>
      </c>
      <c r="P6" t="s">
        <v>339</v>
      </c>
      <c r="Q6">
        <v>1</v>
      </c>
      <c r="W6">
        <v>0</v>
      </c>
      <c r="X6">
        <v>254330056</v>
      </c>
      <c r="Y6">
        <v>20.8</v>
      </c>
      <c r="AA6">
        <v>0</v>
      </c>
      <c r="AB6">
        <v>0</v>
      </c>
      <c r="AC6">
        <v>0</v>
      </c>
      <c r="AD6">
        <v>254.67</v>
      </c>
      <c r="AE6">
        <v>0</v>
      </c>
      <c r="AF6">
        <v>0</v>
      </c>
      <c r="AG6">
        <v>0</v>
      </c>
      <c r="AH6">
        <v>254.67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20.8</v>
      </c>
      <c r="AU6" t="s">
        <v>3</v>
      </c>
      <c r="AV6">
        <v>1</v>
      </c>
      <c r="AW6">
        <v>2</v>
      </c>
      <c r="AX6">
        <v>35684305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Y6*Source!I30</f>
        <v>1.4560000000000002</v>
      </c>
      <c r="CY6">
        <f>AD6</f>
        <v>254.67</v>
      </c>
      <c r="CZ6">
        <f>AH6</f>
        <v>254.67</v>
      </c>
      <c r="DA6">
        <f>AL6</f>
        <v>1</v>
      </c>
      <c r="DB6">
        <f t="shared" si="0"/>
        <v>5297.14</v>
      </c>
      <c r="DC6">
        <f t="shared" si="1"/>
        <v>0</v>
      </c>
    </row>
    <row r="7" spans="1:107">
      <c r="A7">
        <f>ROW(Source!A31)</f>
        <v>31</v>
      </c>
      <c r="B7">
        <v>35683522</v>
      </c>
      <c r="C7">
        <v>35684311</v>
      </c>
      <c r="D7">
        <v>18407150</v>
      </c>
      <c r="E7">
        <v>1</v>
      </c>
      <c r="F7">
        <v>1</v>
      </c>
      <c r="G7">
        <v>1</v>
      </c>
      <c r="H7">
        <v>1</v>
      </c>
      <c r="I7" t="s">
        <v>353</v>
      </c>
      <c r="J7" t="s">
        <v>3</v>
      </c>
      <c r="K7" t="s">
        <v>354</v>
      </c>
      <c r="L7">
        <v>1369</v>
      </c>
      <c r="N7">
        <v>1013</v>
      </c>
      <c r="O7" t="s">
        <v>339</v>
      </c>
      <c r="P7" t="s">
        <v>339</v>
      </c>
      <c r="Q7">
        <v>1</v>
      </c>
      <c r="W7">
        <v>0</v>
      </c>
      <c r="X7">
        <v>-931037793</v>
      </c>
      <c r="Y7">
        <v>69.87</v>
      </c>
      <c r="AA7">
        <v>0</v>
      </c>
      <c r="AB7">
        <v>0</v>
      </c>
      <c r="AC7">
        <v>0</v>
      </c>
      <c r="AD7">
        <v>278.5</v>
      </c>
      <c r="AE7">
        <v>0</v>
      </c>
      <c r="AF7">
        <v>0</v>
      </c>
      <c r="AG7">
        <v>0</v>
      </c>
      <c r="AH7">
        <v>278.5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69.87</v>
      </c>
      <c r="AU7" t="s">
        <v>3</v>
      </c>
      <c r="AV7">
        <v>1</v>
      </c>
      <c r="AW7">
        <v>2</v>
      </c>
      <c r="AX7">
        <v>35684312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Y7*Source!I31</f>
        <v>2.0960999999999999</v>
      </c>
      <c r="CY7">
        <f>AD7</f>
        <v>278.5</v>
      </c>
      <c r="CZ7">
        <f>AH7</f>
        <v>278.5</v>
      </c>
      <c r="DA7">
        <f>AL7</f>
        <v>1</v>
      </c>
      <c r="DB7">
        <f t="shared" si="0"/>
        <v>19458.8</v>
      </c>
      <c r="DC7">
        <f t="shared" si="1"/>
        <v>0</v>
      </c>
    </row>
    <row r="8" spans="1:107">
      <c r="A8">
        <f>ROW(Source!A31)</f>
        <v>31</v>
      </c>
      <c r="B8">
        <v>35683522</v>
      </c>
      <c r="C8">
        <v>35684311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15</v>
      </c>
      <c r="J8" t="s">
        <v>3</v>
      </c>
      <c r="K8" t="s">
        <v>355</v>
      </c>
      <c r="L8">
        <v>608254</v>
      </c>
      <c r="N8">
        <v>1013</v>
      </c>
      <c r="O8" t="s">
        <v>356</v>
      </c>
      <c r="P8" t="s">
        <v>356</v>
      </c>
      <c r="Q8">
        <v>1</v>
      </c>
      <c r="W8">
        <v>0</v>
      </c>
      <c r="X8">
        <v>-185737400</v>
      </c>
      <c r="Y8">
        <v>1.44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1.44</v>
      </c>
      <c r="AU8" t="s">
        <v>3</v>
      </c>
      <c r="AV8">
        <v>2</v>
      </c>
      <c r="AW8">
        <v>2</v>
      </c>
      <c r="AX8">
        <v>35684313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Y8*Source!I31</f>
        <v>4.3199999999999995E-2</v>
      </c>
      <c r="CY8">
        <f>AD8</f>
        <v>0</v>
      </c>
      <c r="CZ8">
        <f>AH8</f>
        <v>0</v>
      </c>
      <c r="DA8">
        <f>AL8</f>
        <v>1</v>
      </c>
      <c r="DB8">
        <f t="shared" si="0"/>
        <v>0</v>
      </c>
      <c r="DC8">
        <f t="shared" si="1"/>
        <v>0</v>
      </c>
    </row>
    <row r="9" spans="1:107">
      <c r="A9">
        <f>ROW(Source!A31)</f>
        <v>31</v>
      </c>
      <c r="B9">
        <v>35683522</v>
      </c>
      <c r="C9">
        <v>35684311</v>
      </c>
      <c r="D9">
        <v>29172556</v>
      </c>
      <c r="E9">
        <v>1</v>
      </c>
      <c r="F9">
        <v>1</v>
      </c>
      <c r="G9">
        <v>1</v>
      </c>
      <c r="H9">
        <v>2</v>
      </c>
      <c r="I9" t="s">
        <v>357</v>
      </c>
      <c r="J9" t="s">
        <v>358</v>
      </c>
      <c r="K9" t="s">
        <v>359</v>
      </c>
      <c r="L9">
        <v>1368</v>
      </c>
      <c r="N9">
        <v>1011</v>
      </c>
      <c r="O9" t="s">
        <v>343</v>
      </c>
      <c r="P9" t="s">
        <v>343</v>
      </c>
      <c r="Q9">
        <v>1</v>
      </c>
      <c r="W9">
        <v>0</v>
      </c>
      <c r="X9">
        <v>-1302720870</v>
      </c>
      <c r="Y9">
        <v>1.44</v>
      </c>
      <c r="AA9">
        <v>0</v>
      </c>
      <c r="AB9">
        <v>451.71</v>
      </c>
      <c r="AC9">
        <v>444.29</v>
      </c>
      <c r="AD9">
        <v>0</v>
      </c>
      <c r="AE9">
        <v>0</v>
      </c>
      <c r="AF9">
        <v>31.26</v>
      </c>
      <c r="AG9">
        <v>13.5</v>
      </c>
      <c r="AH9">
        <v>0</v>
      </c>
      <c r="AI9">
        <v>1</v>
      </c>
      <c r="AJ9">
        <v>14.45</v>
      </c>
      <c r="AK9">
        <v>32.909999999999997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1.44</v>
      </c>
      <c r="AU9" t="s">
        <v>3</v>
      </c>
      <c r="AV9">
        <v>0</v>
      </c>
      <c r="AW9">
        <v>2</v>
      </c>
      <c r="AX9">
        <v>35684314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Y9*Source!I31</f>
        <v>4.3199999999999995E-2</v>
      </c>
      <c r="CY9">
        <f>AB9</f>
        <v>451.71</v>
      </c>
      <c r="CZ9">
        <f>AF9</f>
        <v>31.26</v>
      </c>
      <c r="DA9">
        <f>AJ9</f>
        <v>14.45</v>
      </c>
      <c r="DB9">
        <f t="shared" si="0"/>
        <v>45.01</v>
      </c>
      <c r="DC9">
        <f t="shared" si="1"/>
        <v>19.440000000000001</v>
      </c>
    </row>
    <row r="10" spans="1:107">
      <c r="A10">
        <f>ROW(Source!A31)</f>
        <v>31</v>
      </c>
      <c r="B10">
        <v>35683522</v>
      </c>
      <c r="C10">
        <v>35684311</v>
      </c>
      <c r="D10">
        <v>29164349</v>
      </c>
      <c r="E10">
        <v>1</v>
      </c>
      <c r="F10">
        <v>1</v>
      </c>
      <c r="G10">
        <v>1</v>
      </c>
      <c r="H10">
        <v>3</v>
      </c>
      <c r="I10" t="s">
        <v>41</v>
      </c>
      <c r="J10" t="s">
        <v>44</v>
      </c>
      <c r="K10" t="s">
        <v>42</v>
      </c>
      <c r="L10">
        <v>1348</v>
      </c>
      <c r="N10">
        <v>1009</v>
      </c>
      <c r="O10" t="s">
        <v>43</v>
      </c>
      <c r="P10" t="s">
        <v>43</v>
      </c>
      <c r="Q10">
        <v>1000</v>
      </c>
      <c r="W10">
        <v>0</v>
      </c>
      <c r="X10">
        <v>-304821490</v>
      </c>
      <c r="Y10">
        <v>5.2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0</v>
      </c>
      <c r="AP10">
        <v>0</v>
      </c>
      <c r="AQ10">
        <v>0</v>
      </c>
      <c r="AR10">
        <v>0</v>
      </c>
      <c r="AS10" t="s">
        <v>3</v>
      </c>
      <c r="AT10">
        <v>5.2</v>
      </c>
      <c r="AU10" t="s">
        <v>3</v>
      </c>
      <c r="AV10">
        <v>0</v>
      </c>
      <c r="AW10">
        <v>2</v>
      </c>
      <c r="AX10">
        <v>35684315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0.156</v>
      </c>
      <c r="CY10">
        <f>AA10</f>
        <v>0</v>
      </c>
      <c r="CZ10">
        <f>AE10</f>
        <v>0</v>
      </c>
      <c r="DA10">
        <f>AI10</f>
        <v>1</v>
      </c>
      <c r="DB10">
        <f t="shared" si="0"/>
        <v>0</v>
      </c>
      <c r="DC10">
        <f t="shared" si="1"/>
        <v>0</v>
      </c>
    </row>
    <row r="11" spans="1:107">
      <c r="A11">
        <f>ROW(Source!A33)</f>
        <v>33</v>
      </c>
      <c r="B11">
        <v>35683522</v>
      </c>
      <c r="C11">
        <v>35683761</v>
      </c>
      <c r="D11">
        <v>18411771</v>
      </c>
      <c r="E11">
        <v>1</v>
      </c>
      <c r="F11">
        <v>1</v>
      </c>
      <c r="G11">
        <v>1</v>
      </c>
      <c r="H11">
        <v>1</v>
      </c>
      <c r="I11" t="s">
        <v>360</v>
      </c>
      <c r="J11" t="s">
        <v>3</v>
      </c>
      <c r="K11" t="s">
        <v>361</v>
      </c>
      <c r="L11">
        <v>1369</v>
      </c>
      <c r="N11">
        <v>1013</v>
      </c>
      <c r="O11" t="s">
        <v>339</v>
      </c>
      <c r="P11" t="s">
        <v>339</v>
      </c>
      <c r="Q11">
        <v>1</v>
      </c>
      <c r="W11">
        <v>0</v>
      </c>
      <c r="X11">
        <v>922534627</v>
      </c>
      <c r="Y11">
        <v>36.28</v>
      </c>
      <c r="AA11">
        <v>0</v>
      </c>
      <c r="AB11">
        <v>0</v>
      </c>
      <c r="AC11">
        <v>0</v>
      </c>
      <c r="AD11">
        <v>259.24</v>
      </c>
      <c r="AE11">
        <v>0</v>
      </c>
      <c r="AF11">
        <v>0</v>
      </c>
      <c r="AG11">
        <v>0</v>
      </c>
      <c r="AH11">
        <v>259.24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36.28</v>
      </c>
      <c r="AU11" t="s">
        <v>3</v>
      </c>
      <c r="AV11">
        <v>1</v>
      </c>
      <c r="AW11">
        <v>2</v>
      </c>
      <c r="AX11">
        <v>35683764</v>
      </c>
      <c r="AY11">
        <v>2</v>
      </c>
      <c r="AZ11">
        <v>131072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Y11*Source!I33</f>
        <v>1.70516</v>
      </c>
      <c r="CY11">
        <f>AD11</f>
        <v>259.24</v>
      </c>
      <c r="CZ11">
        <f>AH11</f>
        <v>259.24</v>
      </c>
      <c r="DA11">
        <f>AL11</f>
        <v>1</v>
      </c>
      <c r="DB11">
        <f t="shared" si="0"/>
        <v>9405.23</v>
      </c>
      <c r="DC11">
        <f t="shared" si="1"/>
        <v>0</v>
      </c>
    </row>
    <row r="12" spans="1:107">
      <c r="A12">
        <f>ROW(Source!A33)</f>
        <v>33</v>
      </c>
      <c r="B12">
        <v>35683522</v>
      </c>
      <c r="C12">
        <v>35683761</v>
      </c>
      <c r="D12">
        <v>29164349</v>
      </c>
      <c r="E12">
        <v>1</v>
      </c>
      <c r="F12">
        <v>1</v>
      </c>
      <c r="G12">
        <v>1</v>
      </c>
      <c r="H12">
        <v>3</v>
      </c>
      <c r="I12" t="s">
        <v>41</v>
      </c>
      <c r="J12" t="s">
        <v>44</v>
      </c>
      <c r="K12" t="s">
        <v>42</v>
      </c>
      <c r="L12">
        <v>1348</v>
      </c>
      <c r="N12">
        <v>1009</v>
      </c>
      <c r="O12" t="s">
        <v>43</v>
      </c>
      <c r="P12" t="s">
        <v>43</v>
      </c>
      <c r="Q12">
        <v>1000</v>
      </c>
      <c r="W12">
        <v>0</v>
      </c>
      <c r="X12">
        <v>-304821490</v>
      </c>
      <c r="Y12">
        <v>1.18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0</v>
      </c>
      <c r="AP12">
        <v>0</v>
      </c>
      <c r="AQ12">
        <v>0</v>
      </c>
      <c r="AR12">
        <v>0</v>
      </c>
      <c r="AS12" t="s">
        <v>3</v>
      </c>
      <c r="AT12">
        <v>1.18</v>
      </c>
      <c r="AU12" t="s">
        <v>3</v>
      </c>
      <c r="AV12">
        <v>0</v>
      </c>
      <c r="AW12">
        <v>2</v>
      </c>
      <c r="AX12">
        <v>35683765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Y12*Source!I33</f>
        <v>5.5459999999999995E-2</v>
      </c>
      <c r="CY12">
        <f>AA12</f>
        <v>0</v>
      </c>
      <c r="CZ12">
        <f>AE12</f>
        <v>0</v>
      </c>
      <c r="DA12">
        <f>AI12</f>
        <v>1</v>
      </c>
      <c r="DB12">
        <f t="shared" si="0"/>
        <v>0</v>
      </c>
      <c r="DC12">
        <f t="shared" si="1"/>
        <v>0</v>
      </c>
    </row>
    <row r="13" spans="1:107">
      <c r="A13">
        <f>ROW(Source!A35)</f>
        <v>35</v>
      </c>
      <c r="B13">
        <v>35683522</v>
      </c>
      <c r="C13">
        <v>35683767</v>
      </c>
      <c r="D13">
        <v>18408066</v>
      </c>
      <c r="E13">
        <v>1</v>
      </c>
      <c r="F13">
        <v>1</v>
      </c>
      <c r="G13">
        <v>1</v>
      </c>
      <c r="H13">
        <v>1</v>
      </c>
      <c r="I13" t="s">
        <v>362</v>
      </c>
      <c r="J13" t="s">
        <v>3</v>
      </c>
      <c r="K13" t="s">
        <v>363</v>
      </c>
      <c r="L13">
        <v>1369</v>
      </c>
      <c r="N13">
        <v>1013</v>
      </c>
      <c r="O13" t="s">
        <v>339</v>
      </c>
      <c r="P13" t="s">
        <v>339</v>
      </c>
      <c r="Q13">
        <v>1</v>
      </c>
      <c r="W13">
        <v>0</v>
      </c>
      <c r="X13">
        <v>-886480961</v>
      </c>
      <c r="Y13">
        <v>179.3</v>
      </c>
      <c r="AA13">
        <v>0</v>
      </c>
      <c r="AB13">
        <v>0</v>
      </c>
      <c r="AC13">
        <v>0</v>
      </c>
      <c r="AD13">
        <v>261.85000000000002</v>
      </c>
      <c r="AE13">
        <v>0</v>
      </c>
      <c r="AF13">
        <v>0</v>
      </c>
      <c r="AG13">
        <v>0</v>
      </c>
      <c r="AH13">
        <v>261.85000000000002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179.3</v>
      </c>
      <c r="AU13" t="s">
        <v>3</v>
      </c>
      <c r="AV13">
        <v>1</v>
      </c>
      <c r="AW13">
        <v>2</v>
      </c>
      <c r="AX13">
        <v>35683773</v>
      </c>
      <c r="AY13">
        <v>2</v>
      </c>
      <c r="AZ13">
        <v>131072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Y13*Source!I35</f>
        <v>3.5860000000000003</v>
      </c>
      <c r="CY13">
        <f>AD13</f>
        <v>261.85000000000002</v>
      </c>
      <c r="CZ13">
        <f>AH13</f>
        <v>261.85000000000002</v>
      </c>
      <c r="DA13">
        <f>AL13</f>
        <v>1</v>
      </c>
      <c r="DB13">
        <f t="shared" si="0"/>
        <v>46949.71</v>
      </c>
      <c r="DC13">
        <f t="shared" si="1"/>
        <v>0</v>
      </c>
    </row>
    <row r="14" spans="1:107">
      <c r="A14">
        <f>ROW(Source!A35)</f>
        <v>35</v>
      </c>
      <c r="B14">
        <v>35683522</v>
      </c>
      <c r="C14">
        <v>35683767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15</v>
      </c>
      <c r="J14" t="s">
        <v>3</v>
      </c>
      <c r="K14" t="s">
        <v>355</v>
      </c>
      <c r="L14">
        <v>608254</v>
      </c>
      <c r="N14">
        <v>1013</v>
      </c>
      <c r="O14" t="s">
        <v>356</v>
      </c>
      <c r="P14" t="s">
        <v>356</v>
      </c>
      <c r="Q14">
        <v>1</v>
      </c>
      <c r="W14">
        <v>0</v>
      </c>
      <c r="X14">
        <v>-185737400</v>
      </c>
      <c r="Y14">
        <v>3.97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3.97</v>
      </c>
      <c r="AU14" t="s">
        <v>3</v>
      </c>
      <c r="AV14">
        <v>2</v>
      </c>
      <c r="AW14">
        <v>2</v>
      </c>
      <c r="AX14">
        <v>35683774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Y14*Source!I35</f>
        <v>7.9400000000000012E-2</v>
      </c>
      <c r="CY14">
        <f>AD14</f>
        <v>0</v>
      </c>
      <c r="CZ14">
        <f>AH14</f>
        <v>0</v>
      </c>
      <c r="DA14">
        <f>AL14</f>
        <v>1</v>
      </c>
      <c r="DB14">
        <f t="shared" si="0"/>
        <v>0</v>
      </c>
      <c r="DC14">
        <f t="shared" si="1"/>
        <v>0</v>
      </c>
    </row>
    <row r="15" spans="1:107">
      <c r="A15">
        <f>ROW(Source!A35)</f>
        <v>35</v>
      </c>
      <c r="B15">
        <v>35683522</v>
      </c>
      <c r="C15">
        <v>35683767</v>
      </c>
      <c r="D15">
        <v>29172710</v>
      </c>
      <c r="E15">
        <v>1</v>
      </c>
      <c r="F15">
        <v>1</v>
      </c>
      <c r="G15">
        <v>1</v>
      </c>
      <c r="H15">
        <v>2</v>
      </c>
      <c r="I15" t="s">
        <v>364</v>
      </c>
      <c r="J15" t="s">
        <v>365</v>
      </c>
      <c r="K15" t="s">
        <v>366</v>
      </c>
      <c r="L15">
        <v>1368</v>
      </c>
      <c r="N15">
        <v>1011</v>
      </c>
      <c r="O15" t="s">
        <v>343</v>
      </c>
      <c r="P15" t="s">
        <v>343</v>
      </c>
      <c r="Q15">
        <v>1</v>
      </c>
      <c r="W15">
        <v>0</v>
      </c>
      <c r="X15">
        <v>-1676841219</v>
      </c>
      <c r="Y15">
        <v>3.97</v>
      </c>
      <c r="AA15">
        <v>0</v>
      </c>
      <c r="AB15">
        <v>527.99</v>
      </c>
      <c r="AC15">
        <v>331.07</v>
      </c>
      <c r="AD15">
        <v>0</v>
      </c>
      <c r="AE15">
        <v>0</v>
      </c>
      <c r="AF15">
        <v>46.56</v>
      </c>
      <c r="AG15">
        <v>10.06</v>
      </c>
      <c r="AH15">
        <v>0</v>
      </c>
      <c r="AI15">
        <v>1</v>
      </c>
      <c r="AJ15">
        <v>11.34</v>
      </c>
      <c r="AK15">
        <v>32.909999999999997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3.97</v>
      </c>
      <c r="AU15" t="s">
        <v>3</v>
      </c>
      <c r="AV15">
        <v>0</v>
      </c>
      <c r="AW15">
        <v>2</v>
      </c>
      <c r="AX15">
        <v>35683775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Y15*Source!I35</f>
        <v>7.9400000000000012E-2</v>
      </c>
      <c r="CY15">
        <f>AB15</f>
        <v>527.99</v>
      </c>
      <c r="CZ15">
        <f>AF15</f>
        <v>46.56</v>
      </c>
      <c r="DA15">
        <f>AJ15</f>
        <v>11.34</v>
      </c>
      <c r="DB15">
        <f t="shared" si="0"/>
        <v>184.84</v>
      </c>
      <c r="DC15">
        <f t="shared" si="1"/>
        <v>39.94</v>
      </c>
    </row>
    <row r="16" spans="1:107">
      <c r="A16">
        <f>ROW(Source!A35)</f>
        <v>35</v>
      </c>
      <c r="B16">
        <v>35683522</v>
      </c>
      <c r="C16">
        <v>35683767</v>
      </c>
      <c r="D16">
        <v>29174533</v>
      </c>
      <c r="E16">
        <v>1</v>
      </c>
      <c r="F16">
        <v>1</v>
      </c>
      <c r="G16">
        <v>1</v>
      </c>
      <c r="H16">
        <v>2</v>
      </c>
      <c r="I16" t="s">
        <v>367</v>
      </c>
      <c r="J16" t="s">
        <v>368</v>
      </c>
      <c r="K16" t="s">
        <v>369</v>
      </c>
      <c r="L16">
        <v>1368</v>
      </c>
      <c r="N16">
        <v>1011</v>
      </c>
      <c r="O16" t="s">
        <v>343</v>
      </c>
      <c r="P16" t="s">
        <v>343</v>
      </c>
      <c r="Q16">
        <v>1</v>
      </c>
      <c r="W16">
        <v>0</v>
      </c>
      <c r="X16">
        <v>1235896746</v>
      </c>
      <c r="Y16">
        <v>7.93</v>
      </c>
      <c r="AA16">
        <v>0</v>
      </c>
      <c r="AB16">
        <v>5.0599999999999996</v>
      </c>
      <c r="AC16">
        <v>0</v>
      </c>
      <c r="AD16">
        <v>0</v>
      </c>
      <c r="AE16">
        <v>0</v>
      </c>
      <c r="AF16">
        <v>1.53</v>
      </c>
      <c r="AG16">
        <v>0</v>
      </c>
      <c r="AH16">
        <v>0</v>
      </c>
      <c r="AI16">
        <v>1</v>
      </c>
      <c r="AJ16">
        <v>3.31</v>
      </c>
      <c r="AK16">
        <v>32.909999999999997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7.93</v>
      </c>
      <c r="AU16" t="s">
        <v>3</v>
      </c>
      <c r="AV16">
        <v>0</v>
      </c>
      <c r="AW16">
        <v>2</v>
      </c>
      <c r="AX16">
        <v>35683776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Y16*Source!I35</f>
        <v>0.15859999999999999</v>
      </c>
      <c r="CY16">
        <f>AB16</f>
        <v>5.0599999999999996</v>
      </c>
      <c r="CZ16">
        <f>AF16</f>
        <v>1.53</v>
      </c>
      <c r="DA16">
        <f>AJ16</f>
        <v>3.31</v>
      </c>
      <c r="DB16">
        <f t="shared" si="0"/>
        <v>12.13</v>
      </c>
      <c r="DC16">
        <f t="shared" si="1"/>
        <v>0</v>
      </c>
    </row>
    <row r="17" spans="1:107">
      <c r="A17">
        <f>ROW(Source!A35)</f>
        <v>35</v>
      </c>
      <c r="B17">
        <v>35683522</v>
      </c>
      <c r="C17">
        <v>35683767</v>
      </c>
      <c r="D17">
        <v>29164349</v>
      </c>
      <c r="E17">
        <v>1</v>
      </c>
      <c r="F17">
        <v>1</v>
      </c>
      <c r="G17">
        <v>1</v>
      </c>
      <c r="H17">
        <v>3</v>
      </c>
      <c r="I17" t="s">
        <v>41</v>
      </c>
      <c r="J17" t="s">
        <v>44</v>
      </c>
      <c r="K17" t="s">
        <v>42</v>
      </c>
      <c r="L17">
        <v>1348</v>
      </c>
      <c r="N17">
        <v>1009</v>
      </c>
      <c r="O17" t="s">
        <v>43</v>
      </c>
      <c r="P17" t="s">
        <v>43</v>
      </c>
      <c r="Q17">
        <v>1000</v>
      </c>
      <c r="W17">
        <v>0</v>
      </c>
      <c r="X17">
        <v>-304821490</v>
      </c>
      <c r="Y17">
        <v>10.5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0</v>
      </c>
      <c r="AP17">
        <v>0</v>
      </c>
      <c r="AQ17">
        <v>0</v>
      </c>
      <c r="AR17">
        <v>0</v>
      </c>
      <c r="AS17" t="s">
        <v>3</v>
      </c>
      <c r="AT17">
        <v>10.5</v>
      </c>
      <c r="AU17" t="s">
        <v>3</v>
      </c>
      <c r="AV17">
        <v>0</v>
      </c>
      <c r="AW17">
        <v>2</v>
      </c>
      <c r="AX17">
        <v>35683777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Y17*Source!I35</f>
        <v>0.21</v>
      </c>
      <c r="CY17">
        <f>AA17</f>
        <v>0</v>
      </c>
      <c r="CZ17">
        <f>AE17</f>
        <v>0</v>
      </c>
      <c r="DA17">
        <f>AI17</f>
        <v>1</v>
      </c>
      <c r="DB17">
        <f t="shared" si="0"/>
        <v>0</v>
      </c>
      <c r="DC17">
        <f t="shared" si="1"/>
        <v>0</v>
      </c>
    </row>
    <row r="18" spans="1:107">
      <c r="A18">
        <f>ROW(Source!A72)</f>
        <v>72</v>
      </c>
      <c r="B18">
        <v>35683522</v>
      </c>
      <c r="C18">
        <v>36361731</v>
      </c>
      <c r="D18">
        <v>18413610</v>
      </c>
      <c r="E18">
        <v>1</v>
      </c>
      <c r="F18">
        <v>1</v>
      </c>
      <c r="G18">
        <v>1</v>
      </c>
      <c r="H18">
        <v>1</v>
      </c>
      <c r="I18" t="s">
        <v>370</v>
      </c>
      <c r="J18" t="s">
        <v>3</v>
      </c>
      <c r="K18" t="s">
        <v>371</v>
      </c>
      <c r="L18">
        <v>1369</v>
      </c>
      <c r="N18">
        <v>1013</v>
      </c>
      <c r="O18" t="s">
        <v>339</v>
      </c>
      <c r="P18" t="s">
        <v>339</v>
      </c>
      <c r="Q18">
        <v>1</v>
      </c>
      <c r="W18">
        <v>0</v>
      </c>
      <c r="X18">
        <v>-492152492</v>
      </c>
      <c r="Y18">
        <v>42.7</v>
      </c>
      <c r="AA18">
        <v>0</v>
      </c>
      <c r="AB18">
        <v>0</v>
      </c>
      <c r="AC18">
        <v>0</v>
      </c>
      <c r="AD18">
        <v>333.35</v>
      </c>
      <c r="AE18">
        <v>0</v>
      </c>
      <c r="AF18">
        <v>0</v>
      </c>
      <c r="AG18">
        <v>0</v>
      </c>
      <c r="AH18">
        <v>333.35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42.7</v>
      </c>
      <c r="AU18" t="s">
        <v>3</v>
      </c>
      <c r="AV18">
        <v>1</v>
      </c>
      <c r="AW18">
        <v>2</v>
      </c>
      <c r="AX18">
        <v>36361732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Y18*Source!I72</f>
        <v>0.64050000000000007</v>
      </c>
      <c r="CY18">
        <f>AD18</f>
        <v>333.35</v>
      </c>
      <c r="CZ18">
        <f>AH18</f>
        <v>333.35</v>
      </c>
      <c r="DA18">
        <f>AL18</f>
        <v>1</v>
      </c>
      <c r="DB18">
        <f t="shared" si="0"/>
        <v>14234.05</v>
      </c>
      <c r="DC18">
        <f t="shared" si="1"/>
        <v>0</v>
      </c>
    </row>
    <row r="19" spans="1:107">
      <c r="A19">
        <f>ROW(Source!A72)</f>
        <v>72</v>
      </c>
      <c r="B19">
        <v>35683522</v>
      </c>
      <c r="C19">
        <v>36361731</v>
      </c>
      <c r="D19">
        <v>29172657</v>
      </c>
      <c r="E19">
        <v>1</v>
      </c>
      <c r="F19">
        <v>1</v>
      </c>
      <c r="G19">
        <v>1</v>
      </c>
      <c r="H19">
        <v>2</v>
      </c>
      <c r="I19" t="s">
        <v>372</v>
      </c>
      <c r="J19" t="s">
        <v>373</v>
      </c>
      <c r="K19" t="s">
        <v>374</v>
      </c>
      <c r="L19">
        <v>1368</v>
      </c>
      <c r="N19">
        <v>1011</v>
      </c>
      <c r="O19" t="s">
        <v>343</v>
      </c>
      <c r="P19" t="s">
        <v>343</v>
      </c>
      <c r="Q19">
        <v>1</v>
      </c>
      <c r="W19">
        <v>0</v>
      </c>
      <c r="X19">
        <v>1474986261</v>
      </c>
      <c r="Y19">
        <v>21.25</v>
      </c>
      <c r="AA19">
        <v>0</v>
      </c>
      <c r="AB19">
        <v>60.26</v>
      </c>
      <c r="AC19">
        <v>0</v>
      </c>
      <c r="AD19">
        <v>0</v>
      </c>
      <c r="AE19">
        <v>0</v>
      </c>
      <c r="AF19">
        <v>8.1</v>
      </c>
      <c r="AG19">
        <v>0</v>
      </c>
      <c r="AH19">
        <v>0</v>
      </c>
      <c r="AI19">
        <v>1</v>
      </c>
      <c r="AJ19">
        <v>7.44</v>
      </c>
      <c r="AK19">
        <v>32.909999999999997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21.25</v>
      </c>
      <c r="AU19" t="s">
        <v>3</v>
      </c>
      <c r="AV19">
        <v>0</v>
      </c>
      <c r="AW19">
        <v>2</v>
      </c>
      <c r="AX19">
        <v>36361733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Y19*Source!I72</f>
        <v>0.31874999999999998</v>
      </c>
      <c r="CY19">
        <f>AB19</f>
        <v>60.26</v>
      </c>
      <c r="CZ19">
        <f>AF19</f>
        <v>8.1</v>
      </c>
      <c r="DA19">
        <f>AJ19</f>
        <v>7.44</v>
      </c>
      <c r="DB19">
        <f t="shared" si="0"/>
        <v>172.13</v>
      </c>
      <c r="DC19">
        <f t="shared" si="1"/>
        <v>0</v>
      </c>
    </row>
    <row r="20" spans="1:107">
      <c r="A20">
        <f>ROW(Source!A72)</f>
        <v>72</v>
      </c>
      <c r="B20">
        <v>35683522</v>
      </c>
      <c r="C20">
        <v>36361731</v>
      </c>
      <c r="D20">
        <v>29174913</v>
      </c>
      <c r="E20">
        <v>1</v>
      </c>
      <c r="F20">
        <v>1</v>
      </c>
      <c r="G20">
        <v>1</v>
      </c>
      <c r="H20">
        <v>2</v>
      </c>
      <c r="I20" t="s">
        <v>375</v>
      </c>
      <c r="J20" t="s">
        <v>376</v>
      </c>
      <c r="K20" t="s">
        <v>377</v>
      </c>
      <c r="L20">
        <v>1368</v>
      </c>
      <c r="N20">
        <v>1011</v>
      </c>
      <c r="O20" t="s">
        <v>343</v>
      </c>
      <c r="P20" t="s">
        <v>343</v>
      </c>
      <c r="Q20">
        <v>1</v>
      </c>
      <c r="W20">
        <v>0</v>
      </c>
      <c r="X20">
        <v>1230759911</v>
      </c>
      <c r="Y20">
        <v>1.03</v>
      </c>
      <c r="AA20">
        <v>0</v>
      </c>
      <c r="AB20">
        <v>918.77</v>
      </c>
      <c r="AC20">
        <v>381.76</v>
      </c>
      <c r="AD20">
        <v>0</v>
      </c>
      <c r="AE20">
        <v>0</v>
      </c>
      <c r="AF20">
        <v>87.17</v>
      </c>
      <c r="AG20">
        <v>11.6</v>
      </c>
      <c r="AH20">
        <v>0</v>
      </c>
      <c r="AI20">
        <v>1</v>
      </c>
      <c r="AJ20">
        <v>10.54</v>
      </c>
      <c r="AK20">
        <v>32.909999999999997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1.03</v>
      </c>
      <c r="AU20" t="s">
        <v>3</v>
      </c>
      <c r="AV20">
        <v>0</v>
      </c>
      <c r="AW20">
        <v>2</v>
      </c>
      <c r="AX20">
        <v>36361734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Y20*Source!I72</f>
        <v>1.545E-2</v>
      </c>
      <c r="CY20">
        <f>AB20</f>
        <v>918.77</v>
      </c>
      <c r="CZ20">
        <f>AF20</f>
        <v>87.17</v>
      </c>
      <c r="DA20">
        <f>AJ20</f>
        <v>10.54</v>
      </c>
      <c r="DB20">
        <f t="shared" si="0"/>
        <v>89.79</v>
      </c>
      <c r="DC20">
        <f t="shared" si="1"/>
        <v>11.95</v>
      </c>
    </row>
    <row r="21" spans="1:107">
      <c r="A21">
        <f>ROW(Source!A72)</f>
        <v>72</v>
      </c>
      <c r="B21">
        <v>35683522</v>
      </c>
      <c r="C21">
        <v>36361731</v>
      </c>
      <c r="D21">
        <v>29113982</v>
      </c>
      <c r="E21">
        <v>1</v>
      </c>
      <c r="F21">
        <v>1</v>
      </c>
      <c r="G21">
        <v>1</v>
      </c>
      <c r="H21">
        <v>3</v>
      </c>
      <c r="I21" t="s">
        <v>378</v>
      </c>
      <c r="J21" t="s">
        <v>379</v>
      </c>
      <c r="K21" t="s">
        <v>380</v>
      </c>
      <c r="L21">
        <v>1348</v>
      </c>
      <c r="N21">
        <v>1009</v>
      </c>
      <c r="O21" t="s">
        <v>43</v>
      </c>
      <c r="P21" t="s">
        <v>43</v>
      </c>
      <c r="Q21">
        <v>1000</v>
      </c>
      <c r="W21">
        <v>0</v>
      </c>
      <c r="X21">
        <v>1908648852</v>
      </c>
      <c r="Y21">
        <v>0.04</v>
      </c>
      <c r="AA21">
        <v>90658.78</v>
      </c>
      <c r="AB21">
        <v>0</v>
      </c>
      <c r="AC21">
        <v>0</v>
      </c>
      <c r="AD21">
        <v>0</v>
      </c>
      <c r="AE21">
        <v>9423.99</v>
      </c>
      <c r="AF21">
        <v>0</v>
      </c>
      <c r="AG21">
        <v>0</v>
      </c>
      <c r="AH21">
        <v>0</v>
      </c>
      <c r="AI21">
        <v>9.6199999999999992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0.04</v>
      </c>
      <c r="AU21" t="s">
        <v>3</v>
      </c>
      <c r="AV21">
        <v>0</v>
      </c>
      <c r="AW21">
        <v>2</v>
      </c>
      <c r="AX21">
        <v>36361735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Y21*Source!I72</f>
        <v>5.9999999999999995E-4</v>
      </c>
      <c r="CY21">
        <f>AA21</f>
        <v>90658.78</v>
      </c>
      <c r="CZ21">
        <f>AE21</f>
        <v>9423.99</v>
      </c>
      <c r="DA21">
        <f>AI21</f>
        <v>9.6199999999999992</v>
      </c>
      <c r="DB21">
        <f t="shared" si="0"/>
        <v>376.96</v>
      </c>
      <c r="DC21">
        <f t="shared" si="1"/>
        <v>0</v>
      </c>
    </row>
    <row r="22" spans="1:107">
      <c r="A22">
        <f>ROW(Source!A72)</f>
        <v>72</v>
      </c>
      <c r="B22">
        <v>35683522</v>
      </c>
      <c r="C22">
        <v>36361731</v>
      </c>
      <c r="D22">
        <v>29129297</v>
      </c>
      <c r="E22">
        <v>1</v>
      </c>
      <c r="F22">
        <v>1</v>
      </c>
      <c r="G22">
        <v>1</v>
      </c>
      <c r="H22">
        <v>3</v>
      </c>
      <c r="I22" t="s">
        <v>381</v>
      </c>
      <c r="J22" t="s">
        <v>382</v>
      </c>
      <c r="K22" t="s">
        <v>383</v>
      </c>
      <c r="L22">
        <v>1348</v>
      </c>
      <c r="N22">
        <v>1009</v>
      </c>
      <c r="O22" t="s">
        <v>43</v>
      </c>
      <c r="P22" t="s">
        <v>43</v>
      </c>
      <c r="Q22">
        <v>1000</v>
      </c>
      <c r="W22">
        <v>0</v>
      </c>
      <c r="X22">
        <v>59312312</v>
      </c>
      <c r="Y22">
        <v>1</v>
      </c>
      <c r="AA22">
        <v>80159.100000000006</v>
      </c>
      <c r="AB22">
        <v>0</v>
      </c>
      <c r="AC22">
        <v>0</v>
      </c>
      <c r="AD22">
        <v>0</v>
      </c>
      <c r="AE22">
        <v>10045</v>
      </c>
      <c r="AF22">
        <v>0</v>
      </c>
      <c r="AG22">
        <v>0</v>
      </c>
      <c r="AH22">
        <v>0</v>
      </c>
      <c r="AI22">
        <v>7.98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1</v>
      </c>
      <c r="AU22" t="s">
        <v>3</v>
      </c>
      <c r="AV22">
        <v>0</v>
      </c>
      <c r="AW22">
        <v>2</v>
      </c>
      <c r="AX22">
        <v>36361736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Y22*Source!I72</f>
        <v>1.4999999999999999E-2</v>
      </c>
      <c r="CY22">
        <f>AA22</f>
        <v>80159.100000000006</v>
      </c>
      <c r="CZ22">
        <f>AE22</f>
        <v>10045</v>
      </c>
      <c r="DA22">
        <f>AI22</f>
        <v>7.98</v>
      </c>
      <c r="DB22">
        <f t="shared" si="0"/>
        <v>10045</v>
      </c>
      <c r="DC22">
        <f t="shared" si="1"/>
        <v>0</v>
      </c>
    </row>
    <row r="23" spans="1:107">
      <c r="A23">
        <f>ROW(Source!A73)</f>
        <v>73</v>
      </c>
      <c r="B23">
        <v>35683522</v>
      </c>
      <c r="C23">
        <v>36361737</v>
      </c>
      <c r="D23">
        <v>18410572</v>
      </c>
      <c r="E23">
        <v>1</v>
      </c>
      <c r="F23">
        <v>1</v>
      </c>
      <c r="G23">
        <v>1</v>
      </c>
      <c r="H23">
        <v>1</v>
      </c>
      <c r="I23" t="s">
        <v>384</v>
      </c>
      <c r="J23" t="s">
        <v>3</v>
      </c>
      <c r="K23" t="s">
        <v>385</v>
      </c>
      <c r="L23">
        <v>1369</v>
      </c>
      <c r="N23">
        <v>1013</v>
      </c>
      <c r="O23" t="s">
        <v>339</v>
      </c>
      <c r="P23" t="s">
        <v>339</v>
      </c>
      <c r="Q23">
        <v>1</v>
      </c>
      <c r="W23">
        <v>0</v>
      </c>
      <c r="X23">
        <v>-546915240</v>
      </c>
      <c r="Y23">
        <v>63.28</v>
      </c>
      <c r="AA23">
        <v>0</v>
      </c>
      <c r="AB23">
        <v>0</v>
      </c>
      <c r="AC23">
        <v>0</v>
      </c>
      <c r="AD23">
        <v>285.36</v>
      </c>
      <c r="AE23">
        <v>0</v>
      </c>
      <c r="AF23">
        <v>0</v>
      </c>
      <c r="AG23">
        <v>0</v>
      </c>
      <c r="AH23">
        <v>285.36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63.28</v>
      </c>
      <c r="AU23" t="s">
        <v>3</v>
      </c>
      <c r="AV23">
        <v>1</v>
      </c>
      <c r="AW23">
        <v>2</v>
      </c>
      <c r="AX23">
        <v>36361738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Y23*Source!I73</f>
        <v>0.94919999999999993</v>
      </c>
      <c r="CY23">
        <f>AD23</f>
        <v>285.36</v>
      </c>
      <c r="CZ23">
        <f>AH23</f>
        <v>285.36</v>
      </c>
      <c r="DA23">
        <f>AL23</f>
        <v>1</v>
      </c>
      <c r="DB23">
        <f t="shared" si="0"/>
        <v>18057.580000000002</v>
      </c>
      <c r="DC23">
        <f t="shared" si="1"/>
        <v>0</v>
      </c>
    </row>
    <row r="24" spans="1:107">
      <c r="A24">
        <f>ROW(Source!A73)</f>
        <v>73</v>
      </c>
      <c r="B24">
        <v>35683522</v>
      </c>
      <c r="C24">
        <v>36361737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15</v>
      </c>
      <c r="J24" t="s">
        <v>3</v>
      </c>
      <c r="K24" t="s">
        <v>355</v>
      </c>
      <c r="L24">
        <v>608254</v>
      </c>
      <c r="N24">
        <v>1013</v>
      </c>
      <c r="O24" t="s">
        <v>356</v>
      </c>
      <c r="P24" t="s">
        <v>356</v>
      </c>
      <c r="Q24">
        <v>1</v>
      </c>
      <c r="W24">
        <v>0</v>
      </c>
      <c r="X24">
        <v>-185737400</v>
      </c>
      <c r="Y24">
        <v>3.82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3.82</v>
      </c>
      <c r="AU24" t="s">
        <v>3</v>
      </c>
      <c r="AV24">
        <v>2</v>
      </c>
      <c r="AW24">
        <v>2</v>
      </c>
      <c r="AX24">
        <v>36361739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Y24*Source!I73</f>
        <v>5.7299999999999997E-2</v>
      </c>
      <c r="CY24">
        <f>AD24</f>
        <v>0</v>
      </c>
      <c r="CZ24">
        <f>AH24</f>
        <v>0</v>
      </c>
      <c r="DA24">
        <f>AL24</f>
        <v>1</v>
      </c>
      <c r="DB24">
        <f t="shared" si="0"/>
        <v>0</v>
      </c>
      <c r="DC24">
        <f t="shared" si="1"/>
        <v>0</v>
      </c>
    </row>
    <row r="25" spans="1:107">
      <c r="A25">
        <f>ROW(Source!A73)</f>
        <v>73</v>
      </c>
      <c r="B25">
        <v>35683522</v>
      </c>
      <c r="C25">
        <v>36361737</v>
      </c>
      <c r="D25">
        <v>29172285</v>
      </c>
      <c r="E25">
        <v>1</v>
      </c>
      <c r="F25">
        <v>1</v>
      </c>
      <c r="G25">
        <v>1</v>
      </c>
      <c r="H25">
        <v>2</v>
      </c>
      <c r="I25" t="s">
        <v>386</v>
      </c>
      <c r="J25" t="s">
        <v>387</v>
      </c>
      <c r="K25" t="s">
        <v>388</v>
      </c>
      <c r="L25">
        <v>1368</v>
      </c>
      <c r="N25">
        <v>1011</v>
      </c>
      <c r="O25" t="s">
        <v>343</v>
      </c>
      <c r="P25" t="s">
        <v>343</v>
      </c>
      <c r="Q25">
        <v>1</v>
      </c>
      <c r="W25">
        <v>0</v>
      </c>
      <c r="X25">
        <v>-1632103729</v>
      </c>
      <c r="Y25">
        <v>0.1</v>
      </c>
      <c r="AA25">
        <v>0</v>
      </c>
      <c r="AB25">
        <v>960.54</v>
      </c>
      <c r="AC25">
        <v>507.47</v>
      </c>
      <c r="AD25">
        <v>0</v>
      </c>
      <c r="AE25">
        <v>0</v>
      </c>
      <c r="AF25">
        <v>120.52</v>
      </c>
      <c r="AG25">
        <v>15.42</v>
      </c>
      <c r="AH25">
        <v>0</v>
      </c>
      <c r="AI25">
        <v>1</v>
      </c>
      <c r="AJ25">
        <v>7.97</v>
      </c>
      <c r="AK25">
        <v>32.909999999999997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0.1</v>
      </c>
      <c r="AU25" t="s">
        <v>3</v>
      </c>
      <c r="AV25">
        <v>0</v>
      </c>
      <c r="AW25">
        <v>2</v>
      </c>
      <c r="AX25">
        <v>36361740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Y25*Source!I73</f>
        <v>1.5E-3</v>
      </c>
      <c r="CY25">
        <f t="shared" ref="CY25:CY30" si="2">AB25</f>
        <v>960.54</v>
      </c>
      <c r="CZ25">
        <f t="shared" ref="CZ25:CZ30" si="3">AF25</f>
        <v>120.52</v>
      </c>
      <c r="DA25">
        <f t="shared" ref="DA25:DA30" si="4">AJ25</f>
        <v>7.97</v>
      </c>
      <c r="DB25">
        <f t="shared" si="0"/>
        <v>12.05</v>
      </c>
      <c r="DC25">
        <f t="shared" si="1"/>
        <v>1.54</v>
      </c>
    </row>
    <row r="26" spans="1:107">
      <c r="A26">
        <f>ROW(Source!A73)</f>
        <v>73</v>
      </c>
      <c r="B26">
        <v>35683522</v>
      </c>
      <c r="C26">
        <v>36361737</v>
      </c>
      <c r="D26">
        <v>29172379</v>
      </c>
      <c r="E26">
        <v>1</v>
      </c>
      <c r="F26">
        <v>1</v>
      </c>
      <c r="G26">
        <v>1</v>
      </c>
      <c r="H26">
        <v>2</v>
      </c>
      <c r="I26" t="s">
        <v>389</v>
      </c>
      <c r="J26" t="s">
        <v>390</v>
      </c>
      <c r="K26" t="s">
        <v>391</v>
      </c>
      <c r="L26">
        <v>1368</v>
      </c>
      <c r="N26">
        <v>1011</v>
      </c>
      <c r="O26" t="s">
        <v>343</v>
      </c>
      <c r="P26" t="s">
        <v>343</v>
      </c>
      <c r="Q26">
        <v>1</v>
      </c>
      <c r="W26">
        <v>0</v>
      </c>
      <c r="X26">
        <v>1106923569</v>
      </c>
      <c r="Y26">
        <v>0.12</v>
      </c>
      <c r="AA26">
        <v>0</v>
      </c>
      <c r="AB26">
        <v>1084.1600000000001</v>
      </c>
      <c r="AC26">
        <v>444.29</v>
      </c>
      <c r="AD26">
        <v>0</v>
      </c>
      <c r="AE26">
        <v>0</v>
      </c>
      <c r="AF26">
        <v>112</v>
      </c>
      <c r="AG26">
        <v>13.5</v>
      </c>
      <c r="AH26">
        <v>0</v>
      </c>
      <c r="AI26">
        <v>1</v>
      </c>
      <c r="AJ26">
        <v>9.68</v>
      </c>
      <c r="AK26">
        <v>32.909999999999997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0.12</v>
      </c>
      <c r="AU26" t="s">
        <v>3</v>
      </c>
      <c r="AV26">
        <v>0</v>
      </c>
      <c r="AW26">
        <v>2</v>
      </c>
      <c r="AX26">
        <v>36361741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Y26*Source!I73</f>
        <v>1.8E-3</v>
      </c>
      <c r="CY26">
        <f t="shared" si="2"/>
        <v>1084.1600000000001</v>
      </c>
      <c r="CZ26">
        <f t="shared" si="3"/>
        <v>112</v>
      </c>
      <c r="DA26">
        <f t="shared" si="4"/>
        <v>9.68</v>
      </c>
      <c r="DB26">
        <f t="shared" si="0"/>
        <v>13.44</v>
      </c>
      <c r="DC26">
        <f t="shared" si="1"/>
        <v>1.62</v>
      </c>
    </row>
    <row r="27" spans="1:107">
      <c r="A27">
        <f>ROW(Source!A73)</f>
        <v>73</v>
      </c>
      <c r="B27">
        <v>35683522</v>
      </c>
      <c r="C27">
        <v>36361737</v>
      </c>
      <c r="D27">
        <v>29172408</v>
      </c>
      <c r="E27">
        <v>1</v>
      </c>
      <c r="F27">
        <v>1</v>
      </c>
      <c r="G27">
        <v>1</v>
      </c>
      <c r="H27">
        <v>2</v>
      </c>
      <c r="I27" t="s">
        <v>392</v>
      </c>
      <c r="J27" t="s">
        <v>393</v>
      </c>
      <c r="K27" t="s">
        <v>394</v>
      </c>
      <c r="L27">
        <v>1368</v>
      </c>
      <c r="N27">
        <v>1011</v>
      </c>
      <c r="O27" t="s">
        <v>343</v>
      </c>
      <c r="P27" t="s">
        <v>343</v>
      </c>
      <c r="Q27">
        <v>1</v>
      </c>
      <c r="W27">
        <v>0</v>
      </c>
      <c r="X27">
        <v>-639151189</v>
      </c>
      <c r="Y27">
        <v>3.6</v>
      </c>
      <c r="AA27">
        <v>0</v>
      </c>
      <c r="AB27">
        <v>1202.7</v>
      </c>
      <c r="AC27">
        <v>444.29</v>
      </c>
      <c r="AD27">
        <v>0</v>
      </c>
      <c r="AE27">
        <v>0</v>
      </c>
      <c r="AF27">
        <v>120.03</v>
      </c>
      <c r="AG27">
        <v>13.5</v>
      </c>
      <c r="AH27">
        <v>0</v>
      </c>
      <c r="AI27">
        <v>1</v>
      </c>
      <c r="AJ27">
        <v>10.02</v>
      </c>
      <c r="AK27">
        <v>32.909999999999997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3.6</v>
      </c>
      <c r="AU27" t="s">
        <v>3</v>
      </c>
      <c r="AV27">
        <v>0</v>
      </c>
      <c r="AW27">
        <v>2</v>
      </c>
      <c r="AX27">
        <v>36361742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Y27*Source!I73</f>
        <v>5.3999999999999999E-2</v>
      </c>
      <c r="CY27">
        <f t="shared" si="2"/>
        <v>1202.7</v>
      </c>
      <c r="CZ27">
        <f t="shared" si="3"/>
        <v>120.03</v>
      </c>
      <c r="DA27">
        <f t="shared" si="4"/>
        <v>10.02</v>
      </c>
      <c r="DB27">
        <f t="shared" si="0"/>
        <v>432.11</v>
      </c>
      <c r="DC27">
        <f t="shared" si="1"/>
        <v>48.6</v>
      </c>
    </row>
    <row r="28" spans="1:107">
      <c r="A28">
        <f>ROW(Source!A73)</f>
        <v>73</v>
      </c>
      <c r="B28">
        <v>35683522</v>
      </c>
      <c r="C28">
        <v>36361737</v>
      </c>
      <c r="D28">
        <v>29172659</v>
      </c>
      <c r="E28">
        <v>1</v>
      </c>
      <c r="F28">
        <v>1</v>
      </c>
      <c r="G28">
        <v>1</v>
      </c>
      <c r="H28">
        <v>2</v>
      </c>
      <c r="I28" t="s">
        <v>395</v>
      </c>
      <c r="J28" t="s">
        <v>396</v>
      </c>
      <c r="K28" t="s">
        <v>397</v>
      </c>
      <c r="L28">
        <v>1368</v>
      </c>
      <c r="N28">
        <v>1011</v>
      </c>
      <c r="O28" t="s">
        <v>343</v>
      </c>
      <c r="P28" t="s">
        <v>343</v>
      </c>
      <c r="Q28">
        <v>1</v>
      </c>
      <c r="W28">
        <v>0</v>
      </c>
      <c r="X28">
        <v>1514068676</v>
      </c>
      <c r="Y28">
        <v>1.46</v>
      </c>
      <c r="AA28">
        <v>0</v>
      </c>
      <c r="AB28">
        <v>8.5399999999999991</v>
      </c>
      <c r="AC28">
        <v>0</v>
      </c>
      <c r="AD28">
        <v>0</v>
      </c>
      <c r="AE28">
        <v>0</v>
      </c>
      <c r="AF28">
        <v>1.2</v>
      </c>
      <c r="AG28">
        <v>0</v>
      </c>
      <c r="AH28">
        <v>0</v>
      </c>
      <c r="AI28">
        <v>1</v>
      </c>
      <c r="AJ28">
        <v>7.12</v>
      </c>
      <c r="AK28">
        <v>32.909999999999997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1.46</v>
      </c>
      <c r="AU28" t="s">
        <v>3</v>
      </c>
      <c r="AV28">
        <v>0</v>
      </c>
      <c r="AW28">
        <v>2</v>
      </c>
      <c r="AX28">
        <v>36361743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Y28*Source!I73</f>
        <v>2.1899999999999999E-2</v>
      </c>
      <c r="CY28">
        <f t="shared" si="2"/>
        <v>8.5399999999999991</v>
      </c>
      <c r="CZ28">
        <f t="shared" si="3"/>
        <v>1.2</v>
      </c>
      <c r="DA28">
        <f t="shared" si="4"/>
        <v>7.12</v>
      </c>
      <c r="DB28">
        <f t="shared" si="0"/>
        <v>1.75</v>
      </c>
      <c r="DC28">
        <f t="shared" si="1"/>
        <v>0</v>
      </c>
    </row>
    <row r="29" spans="1:107">
      <c r="A29">
        <f>ROW(Source!A73)</f>
        <v>73</v>
      </c>
      <c r="B29">
        <v>35683522</v>
      </c>
      <c r="C29">
        <v>36361737</v>
      </c>
      <c r="D29">
        <v>29172669</v>
      </c>
      <c r="E29">
        <v>1</v>
      </c>
      <c r="F29">
        <v>1</v>
      </c>
      <c r="G29">
        <v>1</v>
      </c>
      <c r="H29">
        <v>2</v>
      </c>
      <c r="I29" t="s">
        <v>398</v>
      </c>
      <c r="J29" t="s">
        <v>399</v>
      </c>
      <c r="K29" t="s">
        <v>400</v>
      </c>
      <c r="L29">
        <v>1368</v>
      </c>
      <c r="N29">
        <v>1011</v>
      </c>
      <c r="O29" t="s">
        <v>343</v>
      </c>
      <c r="P29" t="s">
        <v>343</v>
      </c>
      <c r="Q29">
        <v>1</v>
      </c>
      <c r="W29">
        <v>0</v>
      </c>
      <c r="X29">
        <v>1159853466</v>
      </c>
      <c r="Y29">
        <v>0.1</v>
      </c>
      <c r="AA29">
        <v>0</v>
      </c>
      <c r="AB29">
        <v>104.14</v>
      </c>
      <c r="AC29">
        <v>0</v>
      </c>
      <c r="AD29">
        <v>0</v>
      </c>
      <c r="AE29">
        <v>0</v>
      </c>
      <c r="AF29">
        <v>12.31</v>
      </c>
      <c r="AG29">
        <v>0</v>
      </c>
      <c r="AH29">
        <v>0</v>
      </c>
      <c r="AI29">
        <v>1</v>
      </c>
      <c r="AJ29">
        <v>8.4600000000000009</v>
      </c>
      <c r="AK29">
        <v>32.909999999999997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0.1</v>
      </c>
      <c r="AU29" t="s">
        <v>3</v>
      </c>
      <c r="AV29">
        <v>0</v>
      </c>
      <c r="AW29">
        <v>2</v>
      </c>
      <c r="AX29">
        <v>36361744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Y29*Source!I73</f>
        <v>1.5E-3</v>
      </c>
      <c r="CY29">
        <f t="shared" si="2"/>
        <v>104.14</v>
      </c>
      <c r="CZ29">
        <f t="shared" si="3"/>
        <v>12.31</v>
      </c>
      <c r="DA29">
        <f t="shared" si="4"/>
        <v>8.4600000000000009</v>
      </c>
      <c r="DB29">
        <f t="shared" si="0"/>
        <v>1.23</v>
      </c>
      <c r="DC29">
        <f t="shared" si="1"/>
        <v>0</v>
      </c>
    </row>
    <row r="30" spans="1:107">
      <c r="A30">
        <f>ROW(Source!A73)</f>
        <v>73</v>
      </c>
      <c r="B30">
        <v>35683522</v>
      </c>
      <c r="C30">
        <v>36361737</v>
      </c>
      <c r="D30">
        <v>29174913</v>
      </c>
      <c r="E30">
        <v>1</v>
      </c>
      <c r="F30">
        <v>1</v>
      </c>
      <c r="G30">
        <v>1</v>
      </c>
      <c r="H30">
        <v>2</v>
      </c>
      <c r="I30" t="s">
        <v>375</v>
      </c>
      <c r="J30" t="s">
        <v>376</v>
      </c>
      <c r="K30" t="s">
        <v>377</v>
      </c>
      <c r="L30">
        <v>1368</v>
      </c>
      <c r="N30">
        <v>1011</v>
      </c>
      <c r="O30" t="s">
        <v>343</v>
      </c>
      <c r="P30" t="s">
        <v>343</v>
      </c>
      <c r="Q30">
        <v>1</v>
      </c>
      <c r="W30">
        <v>0</v>
      </c>
      <c r="X30">
        <v>1230759911</v>
      </c>
      <c r="Y30">
        <v>0.19</v>
      </c>
      <c r="AA30">
        <v>0</v>
      </c>
      <c r="AB30">
        <v>918.77</v>
      </c>
      <c r="AC30">
        <v>381.76</v>
      </c>
      <c r="AD30">
        <v>0</v>
      </c>
      <c r="AE30">
        <v>0</v>
      </c>
      <c r="AF30">
        <v>87.17</v>
      </c>
      <c r="AG30">
        <v>11.6</v>
      </c>
      <c r="AH30">
        <v>0</v>
      </c>
      <c r="AI30">
        <v>1</v>
      </c>
      <c r="AJ30">
        <v>10.54</v>
      </c>
      <c r="AK30">
        <v>32.909999999999997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0.19</v>
      </c>
      <c r="AU30" t="s">
        <v>3</v>
      </c>
      <c r="AV30">
        <v>0</v>
      </c>
      <c r="AW30">
        <v>2</v>
      </c>
      <c r="AX30">
        <v>36361745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Y30*Source!I73</f>
        <v>2.8500000000000001E-3</v>
      </c>
      <c r="CY30">
        <f t="shared" si="2"/>
        <v>918.77</v>
      </c>
      <c r="CZ30">
        <f t="shared" si="3"/>
        <v>87.17</v>
      </c>
      <c r="DA30">
        <f t="shared" si="4"/>
        <v>10.54</v>
      </c>
      <c r="DB30">
        <f t="shared" si="0"/>
        <v>16.559999999999999</v>
      </c>
      <c r="DC30">
        <f t="shared" si="1"/>
        <v>2.2000000000000002</v>
      </c>
    </row>
    <row r="31" spans="1:107">
      <c r="A31">
        <f>ROW(Source!A73)</f>
        <v>73</v>
      </c>
      <c r="B31">
        <v>35683522</v>
      </c>
      <c r="C31">
        <v>36361737</v>
      </c>
      <c r="D31">
        <v>29107906</v>
      </c>
      <c r="E31">
        <v>1</v>
      </c>
      <c r="F31">
        <v>1</v>
      </c>
      <c r="G31">
        <v>1</v>
      </c>
      <c r="H31">
        <v>3</v>
      </c>
      <c r="I31" t="s">
        <v>401</v>
      </c>
      <c r="J31" t="s">
        <v>402</v>
      </c>
      <c r="K31" t="s">
        <v>403</v>
      </c>
      <c r="L31">
        <v>1348</v>
      </c>
      <c r="N31">
        <v>1009</v>
      </c>
      <c r="O31" t="s">
        <v>43</v>
      </c>
      <c r="P31" t="s">
        <v>43</v>
      </c>
      <c r="Q31">
        <v>1000</v>
      </c>
      <c r="W31">
        <v>0</v>
      </c>
      <c r="X31">
        <v>-399561490</v>
      </c>
      <c r="Y31">
        <v>1E-4</v>
      </c>
      <c r="AA31">
        <v>191774</v>
      </c>
      <c r="AB31">
        <v>0</v>
      </c>
      <c r="AC31">
        <v>0</v>
      </c>
      <c r="AD31">
        <v>0</v>
      </c>
      <c r="AE31">
        <v>37900</v>
      </c>
      <c r="AF31">
        <v>0</v>
      </c>
      <c r="AG31">
        <v>0</v>
      </c>
      <c r="AH31">
        <v>0</v>
      </c>
      <c r="AI31">
        <v>5.0599999999999996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1E-4</v>
      </c>
      <c r="AU31" t="s">
        <v>3</v>
      </c>
      <c r="AV31">
        <v>0</v>
      </c>
      <c r="AW31">
        <v>2</v>
      </c>
      <c r="AX31">
        <v>36361746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Y31*Source!I73</f>
        <v>1.5E-6</v>
      </c>
      <c r="CY31">
        <f t="shared" ref="CY31:CY44" si="5">AA31</f>
        <v>191774</v>
      </c>
      <c r="CZ31">
        <f t="shared" ref="CZ31:CZ44" si="6">AE31</f>
        <v>37900</v>
      </c>
      <c r="DA31">
        <f t="shared" ref="DA31:DA44" si="7">AI31</f>
        <v>5.0599999999999996</v>
      </c>
      <c r="DB31">
        <f t="shared" si="0"/>
        <v>3.79</v>
      </c>
      <c r="DC31">
        <f t="shared" si="1"/>
        <v>0</v>
      </c>
    </row>
    <row r="32" spans="1:107">
      <c r="A32">
        <f>ROW(Source!A73)</f>
        <v>73</v>
      </c>
      <c r="B32">
        <v>35683522</v>
      </c>
      <c r="C32">
        <v>36361737</v>
      </c>
      <c r="D32">
        <v>29107441</v>
      </c>
      <c r="E32">
        <v>1</v>
      </c>
      <c r="F32">
        <v>1</v>
      </c>
      <c r="G32">
        <v>1</v>
      </c>
      <c r="H32">
        <v>3</v>
      </c>
      <c r="I32" t="s">
        <v>404</v>
      </c>
      <c r="J32" t="s">
        <v>405</v>
      </c>
      <c r="K32" t="s">
        <v>406</v>
      </c>
      <c r="L32">
        <v>1339</v>
      </c>
      <c r="N32">
        <v>1007</v>
      </c>
      <c r="O32" t="s">
        <v>350</v>
      </c>
      <c r="P32" t="s">
        <v>350</v>
      </c>
      <c r="Q32">
        <v>1</v>
      </c>
      <c r="W32">
        <v>0</v>
      </c>
      <c r="X32">
        <v>-756465305</v>
      </c>
      <c r="Y32">
        <v>1.2</v>
      </c>
      <c r="AA32">
        <v>54.76</v>
      </c>
      <c r="AB32">
        <v>0</v>
      </c>
      <c r="AC32">
        <v>0</v>
      </c>
      <c r="AD32">
        <v>0</v>
      </c>
      <c r="AE32">
        <v>6.23</v>
      </c>
      <c r="AF32">
        <v>0</v>
      </c>
      <c r="AG32">
        <v>0</v>
      </c>
      <c r="AH32">
        <v>0</v>
      </c>
      <c r="AI32">
        <v>8.7899999999999991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1.2</v>
      </c>
      <c r="AU32" t="s">
        <v>3</v>
      </c>
      <c r="AV32">
        <v>0</v>
      </c>
      <c r="AW32">
        <v>2</v>
      </c>
      <c r="AX32">
        <v>36361747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Y32*Source!I73</f>
        <v>1.7999999999999999E-2</v>
      </c>
      <c r="CY32">
        <f t="shared" si="5"/>
        <v>54.76</v>
      </c>
      <c r="CZ32">
        <f t="shared" si="6"/>
        <v>6.23</v>
      </c>
      <c r="DA32">
        <f t="shared" si="7"/>
        <v>8.7899999999999991</v>
      </c>
      <c r="DB32">
        <f t="shared" si="0"/>
        <v>7.48</v>
      </c>
      <c r="DC32">
        <f t="shared" si="1"/>
        <v>0</v>
      </c>
    </row>
    <row r="33" spans="1:107">
      <c r="A33">
        <f>ROW(Source!A73)</f>
        <v>73</v>
      </c>
      <c r="B33">
        <v>35683522</v>
      </c>
      <c r="C33">
        <v>36361737</v>
      </c>
      <c r="D33">
        <v>29113598</v>
      </c>
      <c r="E33">
        <v>1</v>
      </c>
      <c r="F33">
        <v>1</v>
      </c>
      <c r="G33">
        <v>1</v>
      </c>
      <c r="H33">
        <v>3</v>
      </c>
      <c r="I33" t="s">
        <v>407</v>
      </c>
      <c r="J33" t="s">
        <v>408</v>
      </c>
      <c r="K33" t="s">
        <v>409</v>
      </c>
      <c r="L33">
        <v>1348</v>
      </c>
      <c r="N33">
        <v>1009</v>
      </c>
      <c r="O33" t="s">
        <v>43</v>
      </c>
      <c r="P33" t="s">
        <v>43</v>
      </c>
      <c r="Q33">
        <v>1000</v>
      </c>
      <c r="W33">
        <v>0</v>
      </c>
      <c r="X33">
        <v>-1012359093</v>
      </c>
      <c r="Y33">
        <v>3.0000000000000001E-5</v>
      </c>
      <c r="AA33">
        <v>32612.06</v>
      </c>
      <c r="AB33">
        <v>0</v>
      </c>
      <c r="AC33">
        <v>0</v>
      </c>
      <c r="AD33">
        <v>0</v>
      </c>
      <c r="AE33">
        <v>4455.2</v>
      </c>
      <c r="AF33">
        <v>0</v>
      </c>
      <c r="AG33">
        <v>0</v>
      </c>
      <c r="AH33">
        <v>0</v>
      </c>
      <c r="AI33">
        <v>7.32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3.0000000000000001E-5</v>
      </c>
      <c r="AU33" t="s">
        <v>3</v>
      </c>
      <c r="AV33">
        <v>0</v>
      </c>
      <c r="AW33">
        <v>2</v>
      </c>
      <c r="AX33">
        <v>36361748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Y33*Source!I73</f>
        <v>4.4999999999999998E-7</v>
      </c>
      <c r="CY33">
        <f t="shared" si="5"/>
        <v>32612.06</v>
      </c>
      <c r="CZ33">
        <f t="shared" si="6"/>
        <v>4455.2</v>
      </c>
      <c r="DA33">
        <f t="shared" si="7"/>
        <v>7.32</v>
      </c>
      <c r="DB33">
        <f t="shared" ref="DB33:DB50" si="8">ROUND(ROUND(AT33*CZ33,2),6)</f>
        <v>0.13</v>
      </c>
      <c r="DC33">
        <f t="shared" ref="DC33:DC50" si="9">ROUND(ROUND(AT33*AG33,2),6)</f>
        <v>0</v>
      </c>
    </row>
    <row r="34" spans="1:107">
      <c r="A34">
        <f>ROW(Source!A73)</f>
        <v>73</v>
      </c>
      <c r="B34">
        <v>35683522</v>
      </c>
      <c r="C34">
        <v>36361737</v>
      </c>
      <c r="D34">
        <v>29113797</v>
      </c>
      <c r="E34">
        <v>1</v>
      </c>
      <c r="F34">
        <v>1</v>
      </c>
      <c r="G34">
        <v>1</v>
      </c>
      <c r="H34">
        <v>3</v>
      </c>
      <c r="I34" t="s">
        <v>410</v>
      </c>
      <c r="J34" t="s">
        <v>411</v>
      </c>
      <c r="K34" t="s">
        <v>412</v>
      </c>
      <c r="L34">
        <v>1348</v>
      </c>
      <c r="N34">
        <v>1009</v>
      </c>
      <c r="O34" t="s">
        <v>43</v>
      </c>
      <c r="P34" t="s">
        <v>43</v>
      </c>
      <c r="Q34">
        <v>1000</v>
      </c>
      <c r="W34">
        <v>0</v>
      </c>
      <c r="X34">
        <v>-61748979</v>
      </c>
      <c r="Y34">
        <v>1.9400000000000001E-3</v>
      </c>
      <c r="AA34">
        <v>98301.6</v>
      </c>
      <c r="AB34">
        <v>0</v>
      </c>
      <c r="AC34">
        <v>0</v>
      </c>
      <c r="AD34">
        <v>0</v>
      </c>
      <c r="AE34">
        <v>4920</v>
      </c>
      <c r="AF34">
        <v>0</v>
      </c>
      <c r="AG34">
        <v>0</v>
      </c>
      <c r="AH34">
        <v>0</v>
      </c>
      <c r="AI34">
        <v>19.98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1.9400000000000001E-3</v>
      </c>
      <c r="AU34" t="s">
        <v>3</v>
      </c>
      <c r="AV34">
        <v>0</v>
      </c>
      <c r="AW34">
        <v>2</v>
      </c>
      <c r="AX34">
        <v>36361749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Y34*Source!I73</f>
        <v>2.9099999999999999E-5</v>
      </c>
      <c r="CY34">
        <f t="shared" si="5"/>
        <v>98301.6</v>
      </c>
      <c r="CZ34">
        <f t="shared" si="6"/>
        <v>4920</v>
      </c>
      <c r="DA34">
        <f t="shared" si="7"/>
        <v>19.98</v>
      </c>
      <c r="DB34">
        <f t="shared" si="8"/>
        <v>9.5399999999999991</v>
      </c>
      <c r="DC34">
        <f t="shared" si="9"/>
        <v>0</v>
      </c>
    </row>
    <row r="35" spans="1:107">
      <c r="A35">
        <f>ROW(Source!A73)</f>
        <v>73</v>
      </c>
      <c r="B35">
        <v>35683522</v>
      </c>
      <c r="C35">
        <v>36361737</v>
      </c>
      <c r="D35">
        <v>29113979</v>
      </c>
      <c r="E35">
        <v>1</v>
      </c>
      <c r="F35">
        <v>1</v>
      </c>
      <c r="G35">
        <v>1</v>
      </c>
      <c r="H35">
        <v>3</v>
      </c>
      <c r="I35" t="s">
        <v>413</v>
      </c>
      <c r="J35" t="s">
        <v>414</v>
      </c>
      <c r="K35" t="s">
        <v>415</v>
      </c>
      <c r="L35">
        <v>1348</v>
      </c>
      <c r="N35">
        <v>1009</v>
      </c>
      <c r="O35" t="s">
        <v>43</v>
      </c>
      <c r="P35" t="s">
        <v>43</v>
      </c>
      <c r="Q35">
        <v>1000</v>
      </c>
      <c r="W35">
        <v>0</v>
      </c>
      <c r="X35">
        <v>-1319080431</v>
      </c>
      <c r="Y35">
        <v>4.4000000000000002E-4</v>
      </c>
      <c r="AA35">
        <v>89992.41</v>
      </c>
      <c r="AB35">
        <v>0</v>
      </c>
      <c r="AC35">
        <v>0</v>
      </c>
      <c r="AD35">
        <v>0</v>
      </c>
      <c r="AE35">
        <v>9749.99</v>
      </c>
      <c r="AF35">
        <v>0</v>
      </c>
      <c r="AG35">
        <v>0</v>
      </c>
      <c r="AH35">
        <v>0</v>
      </c>
      <c r="AI35">
        <v>9.23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4.4000000000000002E-4</v>
      </c>
      <c r="AU35" t="s">
        <v>3</v>
      </c>
      <c r="AV35">
        <v>0</v>
      </c>
      <c r="AW35">
        <v>2</v>
      </c>
      <c r="AX35">
        <v>36361750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Y35*Source!I73</f>
        <v>6.6000000000000003E-6</v>
      </c>
      <c r="CY35">
        <f t="shared" si="5"/>
        <v>89992.41</v>
      </c>
      <c r="CZ35">
        <f t="shared" si="6"/>
        <v>9749.99</v>
      </c>
      <c r="DA35">
        <f t="shared" si="7"/>
        <v>9.23</v>
      </c>
      <c r="DB35">
        <f t="shared" si="8"/>
        <v>4.29</v>
      </c>
      <c r="DC35">
        <f t="shared" si="9"/>
        <v>0</v>
      </c>
    </row>
    <row r="36" spans="1:107">
      <c r="A36">
        <f>ROW(Source!A73)</f>
        <v>73</v>
      </c>
      <c r="B36">
        <v>35683522</v>
      </c>
      <c r="C36">
        <v>36361737</v>
      </c>
      <c r="D36">
        <v>29114247</v>
      </c>
      <c r="E36">
        <v>1</v>
      </c>
      <c r="F36">
        <v>1</v>
      </c>
      <c r="G36">
        <v>1</v>
      </c>
      <c r="H36">
        <v>3</v>
      </c>
      <c r="I36" t="s">
        <v>416</v>
      </c>
      <c r="J36" t="s">
        <v>417</v>
      </c>
      <c r="K36" t="s">
        <v>418</v>
      </c>
      <c r="L36">
        <v>1348</v>
      </c>
      <c r="N36">
        <v>1009</v>
      </c>
      <c r="O36" t="s">
        <v>43</v>
      </c>
      <c r="P36" t="s">
        <v>43</v>
      </c>
      <c r="Q36">
        <v>1000</v>
      </c>
      <c r="W36">
        <v>0</v>
      </c>
      <c r="X36">
        <v>969423507</v>
      </c>
      <c r="Y36">
        <v>2.1000000000000001E-2</v>
      </c>
      <c r="AA36">
        <v>83077.69</v>
      </c>
      <c r="AB36">
        <v>0</v>
      </c>
      <c r="AC36">
        <v>0</v>
      </c>
      <c r="AD36">
        <v>0</v>
      </c>
      <c r="AE36">
        <v>9040.01</v>
      </c>
      <c r="AF36">
        <v>0</v>
      </c>
      <c r="AG36">
        <v>0</v>
      </c>
      <c r="AH36">
        <v>0</v>
      </c>
      <c r="AI36">
        <v>9.19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2.1000000000000001E-2</v>
      </c>
      <c r="AU36" t="s">
        <v>3</v>
      </c>
      <c r="AV36">
        <v>0</v>
      </c>
      <c r="AW36">
        <v>2</v>
      </c>
      <c r="AX36">
        <v>36361751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Y36*Source!I73</f>
        <v>3.1500000000000001E-4</v>
      </c>
      <c r="CY36">
        <f t="shared" si="5"/>
        <v>83077.69</v>
      </c>
      <c r="CZ36">
        <f t="shared" si="6"/>
        <v>9040.01</v>
      </c>
      <c r="DA36">
        <f t="shared" si="7"/>
        <v>9.19</v>
      </c>
      <c r="DB36">
        <f t="shared" si="8"/>
        <v>189.84</v>
      </c>
      <c r="DC36">
        <f t="shared" si="9"/>
        <v>0</v>
      </c>
    </row>
    <row r="37" spans="1:107">
      <c r="A37">
        <f>ROW(Source!A73)</f>
        <v>73</v>
      </c>
      <c r="B37">
        <v>35683522</v>
      </c>
      <c r="C37">
        <v>36361737</v>
      </c>
      <c r="D37">
        <v>29114332</v>
      </c>
      <c r="E37">
        <v>1</v>
      </c>
      <c r="F37">
        <v>1</v>
      </c>
      <c r="G37">
        <v>1</v>
      </c>
      <c r="H37">
        <v>3</v>
      </c>
      <c r="I37" t="s">
        <v>419</v>
      </c>
      <c r="J37" t="s">
        <v>420</v>
      </c>
      <c r="K37" t="s">
        <v>421</v>
      </c>
      <c r="L37">
        <v>1348</v>
      </c>
      <c r="N37">
        <v>1009</v>
      </c>
      <c r="O37" t="s">
        <v>43</v>
      </c>
      <c r="P37" t="s">
        <v>43</v>
      </c>
      <c r="Q37">
        <v>1000</v>
      </c>
      <c r="W37">
        <v>0</v>
      </c>
      <c r="X37">
        <v>1561117559</v>
      </c>
      <c r="Y37">
        <v>1.0000000000000001E-5</v>
      </c>
      <c r="AA37">
        <v>54619.68</v>
      </c>
      <c r="AB37">
        <v>0</v>
      </c>
      <c r="AC37">
        <v>0</v>
      </c>
      <c r="AD37">
        <v>0</v>
      </c>
      <c r="AE37">
        <v>11978</v>
      </c>
      <c r="AF37">
        <v>0</v>
      </c>
      <c r="AG37">
        <v>0</v>
      </c>
      <c r="AH37">
        <v>0</v>
      </c>
      <c r="AI37">
        <v>4.5599999999999996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1.0000000000000001E-5</v>
      </c>
      <c r="AU37" t="s">
        <v>3</v>
      </c>
      <c r="AV37">
        <v>0</v>
      </c>
      <c r="AW37">
        <v>2</v>
      </c>
      <c r="AX37">
        <v>36361752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Y37*Source!I73</f>
        <v>1.5000000000000002E-7</v>
      </c>
      <c r="CY37">
        <f t="shared" si="5"/>
        <v>54619.68</v>
      </c>
      <c r="CZ37">
        <f t="shared" si="6"/>
        <v>11978</v>
      </c>
      <c r="DA37">
        <f t="shared" si="7"/>
        <v>4.5599999999999996</v>
      </c>
      <c r="DB37">
        <f t="shared" si="8"/>
        <v>0.12</v>
      </c>
      <c r="DC37">
        <f t="shared" si="9"/>
        <v>0</v>
      </c>
    </row>
    <row r="38" spans="1:107">
      <c r="A38">
        <f>ROW(Source!A73)</f>
        <v>73</v>
      </c>
      <c r="B38">
        <v>35683522</v>
      </c>
      <c r="C38">
        <v>36361737</v>
      </c>
      <c r="D38">
        <v>29107444</v>
      </c>
      <c r="E38">
        <v>1</v>
      </c>
      <c r="F38">
        <v>1</v>
      </c>
      <c r="G38">
        <v>1</v>
      </c>
      <c r="H38">
        <v>3</v>
      </c>
      <c r="I38" t="s">
        <v>422</v>
      </c>
      <c r="J38" t="s">
        <v>423</v>
      </c>
      <c r="K38" t="s">
        <v>424</v>
      </c>
      <c r="L38">
        <v>1346</v>
      </c>
      <c r="N38">
        <v>1009</v>
      </c>
      <c r="O38" t="s">
        <v>425</v>
      </c>
      <c r="P38" t="s">
        <v>425</v>
      </c>
      <c r="Q38">
        <v>1</v>
      </c>
      <c r="W38">
        <v>0</v>
      </c>
      <c r="X38">
        <v>-1817527483</v>
      </c>
      <c r="Y38">
        <v>0.36</v>
      </c>
      <c r="AA38">
        <v>55.48</v>
      </c>
      <c r="AB38">
        <v>0</v>
      </c>
      <c r="AC38">
        <v>0</v>
      </c>
      <c r="AD38">
        <v>0</v>
      </c>
      <c r="AE38">
        <v>6.09</v>
      </c>
      <c r="AF38">
        <v>0</v>
      </c>
      <c r="AG38">
        <v>0</v>
      </c>
      <c r="AH38">
        <v>0</v>
      </c>
      <c r="AI38">
        <v>9.11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0.36</v>
      </c>
      <c r="AU38" t="s">
        <v>3</v>
      </c>
      <c r="AV38">
        <v>0</v>
      </c>
      <c r="AW38">
        <v>2</v>
      </c>
      <c r="AX38">
        <v>36361753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Y38*Source!I73</f>
        <v>5.3999999999999994E-3</v>
      </c>
      <c r="CY38">
        <f t="shared" si="5"/>
        <v>55.48</v>
      </c>
      <c r="CZ38">
        <f t="shared" si="6"/>
        <v>6.09</v>
      </c>
      <c r="DA38">
        <f t="shared" si="7"/>
        <v>9.11</v>
      </c>
      <c r="DB38">
        <f t="shared" si="8"/>
        <v>2.19</v>
      </c>
      <c r="DC38">
        <f t="shared" si="9"/>
        <v>0</v>
      </c>
    </row>
    <row r="39" spans="1:107">
      <c r="A39">
        <f>ROW(Source!A73)</f>
        <v>73</v>
      </c>
      <c r="B39">
        <v>35683522</v>
      </c>
      <c r="C39">
        <v>36361737</v>
      </c>
      <c r="D39">
        <v>29110606</v>
      </c>
      <c r="E39">
        <v>1</v>
      </c>
      <c r="F39">
        <v>1</v>
      </c>
      <c r="G39">
        <v>1</v>
      </c>
      <c r="H39">
        <v>3</v>
      </c>
      <c r="I39" t="s">
        <v>426</v>
      </c>
      <c r="J39" t="s">
        <v>427</v>
      </c>
      <c r="K39" t="s">
        <v>428</v>
      </c>
      <c r="L39">
        <v>1348</v>
      </c>
      <c r="N39">
        <v>1009</v>
      </c>
      <c r="O39" t="s">
        <v>43</v>
      </c>
      <c r="P39" t="s">
        <v>43</v>
      </c>
      <c r="Q39">
        <v>1000</v>
      </c>
      <c r="W39">
        <v>0</v>
      </c>
      <c r="X39">
        <v>1170503714</v>
      </c>
      <c r="Y39">
        <v>5.9999999999999995E-4</v>
      </c>
      <c r="AA39">
        <v>85910.399999999994</v>
      </c>
      <c r="AB39">
        <v>0</v>
      </c>
      <c r="AC39">
        <v>0</v>
      </c>
      <c r="AD39">
        <v>0</v>
      </c>
      <c r="AE39">
        <v>9420</v>
      </c>
      <c r="AF39">
        <v>0</v>
      </c>
      <c r="AG39">
        <v>0</v>
      </c>
      <c r="AH39">
        <v>0</v>
      </c>
      <c r="AI39">
        <v>9.1199999999999992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5.9999999999999995E-4</v>
      </c>
      <c r="AU39" t="s">
        <v>3</v>
      </c>
      <c r="AV39">
        <v>0</v>
      </c>
      <c r="AW39">
        <v>2</v>
      </c>
      <c r="AX39">
        <v>36361754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Y39*Source!I73</f>
        <v>8.9999999999999985E-6</v>
      </c>
      <c r="CY39">
        <f t="shared" si="5"/>
        <v>85910.399999999994</v>
      </c>
      <c r="CZ39">
        <f t="shared" si="6"/>
        <v>9420</v>
      </c>
      <c r="DA39">
        <f t="shared" si="7"/>
        <v>9.1199999999999992</v>
      </c>
      <c r="DB39">
        <f t="shared" si="8"/>
        <v>5.65</v>
      </c>
      <c r="DC39">
        <f t="shared" si="9"/>
        <v>0</v>
      </c>
    </row>
    <row r="40" spans="1:107">
      <c r="A40">
        <f>ROW(Source!A73)</f>
        <v>73</v>
      </c>
      <c r="B40">
        <v>35683522</v>
      </c>
      <c r="C40">
        <v>36361737</v>
      </c>
      <c r="D40">
        <v>29115467</v>
      </c>
      <c r="E40">
        <v>1</v>
      </c>
      <c r="F40">
        <v>1</v>
      </c>
      <c r="G40">
        <v>1</v>
      </c>
      <c r="H40">
        <v>3</v>
      </c>
      <c r="I40" t="s">
        <v>429</v>
      </c>
      <c r="J40" t="s">
        <v>430</v>
      </c>
      <c r="K40" t="s">
        <v>431</v>
      </c>
      <c r="L40">
        <v>1339</v>
      </c>
      <c r="N40">
        <v>1007</v>
      </c>
      <c r="O40" t="s">
        <v>350</v>
      </c>
      <c r="P40" t="s">
        <v>350</v>
      </c>
      <c r="Q40">
        <v>1</v>
      </c>
      <c r="W40">
        <v>0</v>
      </c>
      <c r="X40">
        <v>-312411735</v>
      </c>
      <c r="Y40">
        <v>1.0300000000000001E-3</v>
      </c>
      <c r="AA40">
        <v>8397.9500000000007</v>
      </c>
      <c r="AB40">
        <v>0</v>
      </c>
      <c r="AC40">
        <v>0</v>
      </c>
      <c r="AD40">
        <v>0</v>
      </c>
      <c r="AE40">
        <v>1699.99</v>
      </c>
      <c r="AF40">
        <v>0</v>
      </c>
      <c r="AG40">
        <v>0</v>
      </c>
      <c r="AH40">
        <v>0</v>
      </c>
      <c r="AI40">
        <v>4.9400000000000004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1.0300000000000001E-3</v>
      </c>
      <c r="AU40" t="s">
        <v>3</v>
      </c>
      <c r="AV40">
        <v>0</v>
      </c>
      <c r="AW40">
        <v>2</v>
      </c>
      <c r="AX40">
        <v>36361755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Y40*Source!I73</f>
        <v>1.5449999999999999E-5</v>
      </c>
      <c r="CY40">
        <f t="shared" si="5"/>
        <v>8397.9500000000007</v>
      </c>
      <c r="CZ40">
        <f t="shared" si="6"/>
        <v>1699.99</v>
      </c>
      <c r="DA40">
        <f t="shared" si="7"/>
        <v>4.9400000000000004</v>
      </c>
      <c r="DB40">
        <f t="shared" si="8"/>
        <v>1.75</v>
      </c>
      <c r="DC40">
        <f t="shared" si="9"/>
        <v>0</v>
      </c>
    </row>
    <row r="41" spans="1:107">
      <c r="A41">
        <f>ROW(Source!A73)</f>
        <v>73</v>
      </c>
      <c r="B41">
        <v>35683522</v>
      </c>
      <c r="C41">
        <v>36361737</v>
      </c>
      <c r="D41">
        <v>29122102</v>
      </c>
      <c r="E41">
        <v>1</v>
      </c>
      <c r="F41">
        <v>1</v>
      </c>
      <c r="G41">
        <v>1</v>
      </c>
      <c r="H41">
        <v>3</v>
      </c>
      <c r="I41" t="s">
        <v>432</v>
      </c>
      <c r="J41" t="s">
        <v>433</v>
      </c>
      <c r="K41" t="s">
        <v>434</v>
      </c>
      <c r="L41">
        <v>1348</v>
      </c>
      <c r="N41">
        <v>1009</v>
      </c>
      <c r="O41" t="s">
        <v>43</v>
      </c>
      <c r="P41" t="s">
        <v>43</v>
      </c>
      <c r="Q41">
        <v>1000</v>
      </c>
      <c r="W41">
        <v>0</v>
      </c>
      <c r="X41">
        <v>-1142562182</v>
      </c>
      <c r="Y41">
        <v>3.1E-4</v>
      </c>
      <c r="AA41">
        <v>47641</v>
      </c>
      <c r="AB41">
        <v>0</v>
      </c>
      <c r="AC41">
        <v>0</v>
      </c>
      <c r="AD41">
        <v>0</v>
      </c>
      <c r="AE41">
        <v>15620</v>
      </c>
      <c r="AF41">
        <v>0</v>
      </c>
      <c r="AG41">
        <v>0</v>
      </c>
      <c r="AH41">
        <v>0</v>
      </c>
      <c r="AI41">
        <v>3.05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3.1E-4</v>
      </c>
      <c r="AU41" t="s">
        <v>3</v>
      </c>
      <c r="AV41">
        <v>0</v>
      </c>
      <c r="AW41">
        <v>2</v>
      </c>
      <c r="AX41">
        <v>36361756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Y41*Source!I73</f>
        <v>4.6499999999999995E-6</v>
      </c>
      <c r="CY41">
        <f t="shared" si="5"/>
        <v>47641</v>
      </c>
      <c r="CZ41">
        <f t="shared" si="6"/>
        <v>15620</v>
      </c>
      <c r="DA41">
        <f t="shared" si="7"/>
        <v>3.05</v>
      </c>
      <c r="DB41">
        <f t="shared" si="8"/>
        <v>4.84</v>
      </c>
      <c r="DC41">
        <f t="shared" si="9"/>
        <v>0</v>
      </c>
    </row>
    <row r="42" spans="1:107">
      <c r="A42">
        <f>ROW(Source!A73)</f>
        <v>73</v>
      </c>
      <c r="B42">
        <v>35683522</v>
      </c>
      <c r="C42">
        <v>36361737</v>
      </c>
      <c r="D42">
        <v>29129275</v>
      </c>
      <c r="E42">
        <v>1</v>
      </c>
      <c r="F42">
        <v>1</v>
      </c>
      <c r="G42">
        <v>1</v>
      </c>
      <c r="H42">
        <v>3</v>
      </c>
      <c r="I42" t="s">
        <v>129</v>
      </c>
      <c r="J42" t="s">
        <v>131</v>
      </c>
      <c r="K42" t="s">
        <v>130</v>
      </c>
      <c r="L42">
        <v>1348</v>
      </c>
      <c r="N42">
        <v>1009</v>
      </c>
      <c r="O42" t="s">
        <v>43</v>
      </c>
      <c r="P42" t="s">
        <v>43</v>
      </c>
      <c r="Q42">
        <v>1000</v>
      </c>
      <c r="W42">
        <v>0</v>
      </c>
      <c r="X42">
        <v>403940618</v>
      </c>
      <c r="Y42">
        <v>1</v>
      </c>
      <c r="AA42">
        <v>77617.8</v>
      </c>
      <c r="AB42">
        <v>0</v>
      </c>
      <c r="AC42">
        <v>0</v>
      </c>
      <c r="AD42">
        <v>0</v>
      </c>
      <c r="AE42">
        <v>8060</v>
      </c>
      <c r="AF42">
        <v>0</v>
      </c>
      <c r="AG42">
        <v>0</v>
      </c>
      <c r="AH42">
        <v>0</v>
      </c>
      <c r="AI42">
        <v>9.6300000000000008</v>
      </c>
      <c r="AJ42">
        <v>1</v>
      </c>
      <c r="AK42">
        <v>1</v>
      </c>
      <c r="AL42">
        <v>1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3</v>
      </c>
      <c r="AT42">
        <v>1</v>
      </c>
      <c r="AU42" t="s">
        <v>3</v>
      </c>
      <c r="AV42">
        <v>0</v>
      </c>
      <c r="AW42">
        <v>1</v>
      </c>
      <c r="AX42">
        <v>-1</v>
      </c>
      <c r="AY42">
        <v>0</v>
      </c>
      <c r="AZ42">
        <v>0</v>
      </c>
      <c r="BA42" t="s">
        <v>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Y42*Source!I73</f>
        <v>1.4999999999999999E-2</v>
      </c>
      <c r="CY42">
        <f t="shared" si="5"/>
        <v>77617.8</v>
      </c>
      <c r="CZ42">
        <f t="shared" si="6"/>
        <v>8060</v>
      </c>
      <c r="DA42">
        <f t="shared" si="7"/>
        <v>9.6300000000000008</v>
      </c>
      <c r="DB42">
        <f t="shared" si="8"/>
        <v>8060</v>
      </c>
      <c r="DC42">
        <f t="shared" si="9"/>
        <v>0</v>
      </c>
    </row>
    <row r="43" spans="1:107">
      <c r="A43">
        <f>ROW(Source!A73)</f>
        <v>73</v>
      </c>
      <c r="B43">
        <v>35683522</v>
      </c>
      <c r="C43">
        <v>36361737</v>
      </c>
      <c r="D43">
        <v>29129276</v>
      </c>
      <c r="E43">
        <v>1</v>
      </c>
      <c r="F43">
        <v>1</v>
      </c>
      <c r="G43">
        <v>1</v>
      </c>
      <c r="H43">
        <v>3</v>
      </c>
      <c r="I43" t="s">
        <v>435</v>
      </c>
      <c r="J43" t="s">
        <v>436</v>
      </c>
      <c r="K43" t="s">
        <v>437</v>
      </c>
      <c r="L43">
        <v>1348</v>
      </c>
      <c r="N43">
        <v>1009</v>
      </c>
      <c r="O43" t="s">
        <v>43</v>
      </c>
      <c r="P43" t="s">
        <v>43</v>
      </c>
      <c r="Q43">
        <v>1000</v>
      </c>
      <c r="W43">
        <v>0</v>
      </c>
      <c r="X43">
        <v>49960543</v>
      </c>
      <c r="Y43">
        <v>2.0000000000000001E-4</v>
      </c>
      <c r="AA43">
        <v>77582.720000000001</v>
      </c>
      <c r="AB43">
        <v>0</v>
      </c>
      <c r="AC43">
        <v>0</v>
      </c>
      <c r="AD43">
        <v>0</v>
      </c>
      <c r="AE43">
        <v>7712</v>
      </c>
      <c r="AF43">
        <v>0</v>
      </c>
      <c r="AG43">
        <v>0</v>
      </c>
      <c r="AH43">
        <v>0</v>
      </c>
      <c r="AI43">
        <v>10.06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2.0000000000000001E-4</v>
      </c>
      <c r="AU43" t="s">
        <v>3</v>
      </c>
      <c r="AV43">
        <v>0</v>
      </c>
      <c r="AW43">
        <v>2</v>
      </c>
      <c r="AX43">
        <v>36361757</v>
      </c>
      <c r="AY43">
        <v>1</v>
      </c>
      <c r="AZ43">
        <v>0</v>
      </c>
      <c r="BA43">
        <v>42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Y43*Source!I73</f>
        <v>3.0000000000000001E-6</v>
      </c>
      <c r="CY43">
        <f t="shared" si="5"/>
        <v>77582.720000000001</v>
      </c>
      <c r="CZ43">
        <f t="shared" si="6"/>
        <v>7712</v>
      </c>
      <c r="DA43">
        <f t="shared" si="7"/>
        <v>10.06</v>
      </c>
      <c r="DB43">
        <f t="shared" si="8"/>
        <v>1.54</v>
      </c>
      <c r="DC43">
        <f t="shared" si="9"/>
        <v>0</v>
      </c>
    </row>
    <row r="44" spans="1:107">
      <c r="A44">
        <f>ROW(Source!A73)</f>
        <v>73</v>
      </c>
      <c r="B44">
        <v>35683522</v>
      </c>
      <c r="C44">
        <v>36361737</v>
      </c>
      <c r="D44">
        <v>29162764</v>
      </c>
      <c r="E44">
        <v>1</v>
      </c>
      <c r="F44">
        <v>1</v>
      </c>
      <c r="G44">
        <v>1</v>
      </c>
      <c r="H44">
        <v>3</v>
      </c>
      <c r="I44" t="s">
        <v>438</v>
      </c>
      <c r="J44" t="s">
        <v>439</v>
      </c>
      <c r="K44" t="s">
        <v>440</v>
      </c>
      <c r="L44">
        <v>1302</v>
      </c>
      <c r="N44">
        <v>1003</v>
      </c>
      <c r="O44" t="s">
        <v>441</v>
      </c>
      <c r="P44" t="s">
        <v>441</v>
      </c>
      <c r="Q44">
        <v>10</v>
      </c>
      <c r="W44">
        <v>0</v>
      </c>
      <c r="X44">
        <v>838327806</v>
      </c>
      <c r="Y44">
        <v>1.8700000000000001E-2</v>
      </c>
      <c r="AA44">
        <v>386.05</v>
      </c>
      <c r="AB44">
        <v>0</v>
      </c>
      <c r="AC44">
        <v>0</v>
      </c>
      <c r="AD44">
        <v>0</v>
      </c>
      <c r="AE44">
        <v>71.489999999999995</v>
      </c>
      <c r="AF44">
        <v>0</v>
      </c>
      <c r="AG44">
        <v>0</v>
      </c>
      <c r="AH44">
        <v>0</v>
      </c>
      <c r="AI44">
        <v>5.4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1.8700000000000001E-2</v>
      </c>
      <c r="AU44" t="s">
        <v>3</v>
      </c>
      <c r="AV44">
        <v>0</v>
      </c>
      <c r="AW44">
        <v>2</v>
      </c>
      <c r="AX44">
        <v>36361759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Y44*Source!I73</f>
        <v>2.8049999999999999E-4</v>
      </c>
      <c r="CY44">
        <f t="shared" si="5"/>
        <v>386.05</v>
      </c>
      <c r="CZ44">
        <f t="shared" si="6"/>
        <v>71.489999999999995</v>
      </c>
      <c r="DA44">
        <f t="shared" si="7"/>
        <v>5.4</v>
      </c>
      <c r="DB44">
        <f t="shared" si="8"/>
        <v>1.34</v>
      </c>
      <c r="DC44">
        <f t="shared" si="9"/>
        <v>0</v>
      </c>
    </row>
    <row r="45" spans="1:107">
      <c r="A45">
        <f>ROW(Source!A75)</f>
        <v>75</v>
      </c>
      <c r="B45">
        <v>35683522</v>
      </c>
      <c r="C45">
        <v>36324458</v>
      </c>
      <c r="D45">
        <v>18411117</v>
      </c>
      <c r="E45">
        <v>1</v>
      </c>
      <c r="F45">
        <v>1</v>
      </c>
      <c r="G45">
        <v>1</v>
      </c>
      <c r="H45">
        <v>1</v>
      </c>
      <c r="I45" t="s">
        <v>442</v>
      </c>
      <c r="J45" t="s">
        <v>3</v>
      </c>
      <c r="K45" t="s">
        <v>443</v>
      </c>
      <c r="L45">
        <v>1369</v>
      </c>
      <c r="N45">
        <v>1013</v>
      </c>
      <c r="O45" t="s">
        <v>339</v>
      </c>
      <c r="P45" t="s">
        <v>339</v>
      </c>
      <c r="Q45">
        <v>1</v>
      </c>
      <c r="W45">
        <v>0</v>
      </c>
      <c r="X45">
        <v>-1739886638</v>
      </c>
      <c r="Y45">
        <v>23.3</v>
      </c>
      <c r="AA45">
        <v>0</v>
      </c>
      <c r="AB45">
        <v>0</v>
      </c>
      <c r="AC45">
        <v>0</v>
      </c>
      <c r="AD45">
        <v>314.08999999999997</v>
      </c>
      <c r="AE45">
        <v>0</v>
      </c>
      <c r="AF45">
        <v>0</v>
      </c>
      <c r="AG45">
        <v>0</v>
      </c>
      <c r="AH45">
        <v>314.08999999999997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23.3</v>
      </c>
      <c r="AU45" t="s">
        <v>3</v>
      </c>
      <c r="AV45">
        <v>1</v>
      </c>
      <c r="AW45">
        <v>2</v>
      </c>
      <c r="AX45">
        <v>36324459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Y45*Source!I75</f>
        <v>1.3979999999999999</v>
      </c>
      <c r="CY45">
        <f>AD45</f>
        <v>314.08999999999997</v>
      </c>
      <c r="CZ45">
        <f>AH45</f>
        <v>314.08999999999997</v>
      </c>
      <c r="DA45">
        <f>AL45</f>
        <v>1</v>
      </c>
      <c r="DB45">
        <f t="shared" si="8"/>
        <v>7318.3</v>
      </c>
      <c r="DC45">
        <f t="shared" si="9"/>
        <v>0</v>
      </c>
    </row>
    <row r="46" spans="1:107">
      <c r="A46">
        <f>ROW(Source!A75)</f>
        <v>75</v>
      </c>
      <c r="B46">
        <v>35683522</v>
      </c>
      <c r="C46">
        <v>36324458</v>
      </c>
      <c r="D46">
        <v>121548</v>
      </c>
      <c r="E46">
        <v>1</v>
      </c>
      <c r="F46">
        <v>1</v>
      </c>
      <c r="G46">
        <v>1</v>
      </c>
      <c r="H46">
        <v>1</v>
      </c>
      <c r="I46" t="s">
        <v>15</v>
      </c>
      <c r="J46" t="s">
        <v>3</v>
      </c>
      <c r="K46" t="s">
        <v>355</v>
      </c>
      <c r="L46">
        <v>608254</v>
      </c>
      <c r="N46">
        <v>1013</v>
      </c>
      <c r="O46" t="s">
        <v>356</v>
      </c>
      <c r="P46" t="s">
        <v>356</v>
      </c>
      <c r="Q46">
        <v>1</v>
      </c>
      <c r="W46">
        <v>0</v>
      </c>
      <c r="X46">
        <v>-185737400</v>
      </c>
      <c r="Y46">
        <v>22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22</v>
      </c>
      <c r="AU46" t="s">
        <v>3</v>
      </c>
      <c r="AV46">
        <v>2</v>
      </c>
      <c r="AW46">
        <v>2</v>
      </c>
      <c r="AX46">
        <v>36324460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Y46*Source!I75</f>
        <v>1.3199999999999998</v>
      </c>
      <c r="CY46">
        <f>AD46</f>
        <v>0</v>
      </c>
      <c r="CZ46">
        <f>AH46</f>
        <v>0</v>
      </c>
      <c r="DA46">
        <f>AL46</f>
        <v>1</v>
      </c>
      <c r="DB46">
        <f t="shared" si="8"/>
        <v>0</v>
      </c>
      <c r="DC46">
        <f t="shared" si="9"/>
        <v>0</v>
      </c>
    </row>
    <row r="47" spans="1:107">
      <c r="A47">
        <f>ROW(Source!A75)</f>
        <v>75</v>
      </c>
      <c r="B47">
        <v>35683522</v>
      </c>
      <c r="C47">
        <v>36324458</v>
      </c>
      <c r="D47">
        <v>29174501</v>
      </c>
      <c r="E47">
        <v>1</v>
      </c>
      <c r="F47">
        <v>1</v>
      </c>
      <c r="G47">
        <v>1</v>
      </c>
      <c r="H47">
        <v>2</v>
      </c>
      <c r="I47" t="s">
        <v>444</v>
      </c>
      <c r="J47" t="s">
        <v>445</v>
      </c>
      <c r="K47" t="s">
        <v>446</v>
      </c>
      <c r="L47">
        <v>1368</v>
      </c>
      <c r="N47">
        <v>1011</v>
      </c>
      <c r="O47" t="s">
        <v>343</v>
      </c>
      <c r="P47" t="s">
        <v>343</v>
      </c>
      <c r="Q47">
        <v>1</v>
      </c>
      <c r="W47">
        <v>0</v>
      </c>
      <c r="X47">
        <v>216413451</v>
      </c>
      <c r="Y47">
        <v>22</v>
      </c>
      <c r="AA47">
        <v>0</v>
      </c>
      <c r="AB47">
        <v>423.26</v>
      </c>
      <c r="AC47">
        <v>381.76</v>
      </c>
      <c r="AD47">
        <v>0</v>
      </c>
      <c r="AE47">
        <v>0</v>
      </c>
      <c r="AF47">
        <v>39.409999999999997</v>
      </c>
      <c r="AG47">
        <v>11.6</v>
      </c>
      <c r="AH47">
        <v>0</v>
      </c>
      <c r="AI47">
        <v>1</v>
      </c>
      <c r="AJ47">
        <v>10.74</v>
      </c>
      <c r="AK47">
        <v>32.909999999999997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22</v>
      </c>
      <c r="AU47" t="s">
        <v>3</v>
      </c>
      <c r="AV47">
        <v>0</v>
      </c>
      <c r="AW47">
        <v>2</v>
      </c>
      <c r="AX47">
        <v>36324461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Y47*Source!I75</f>
        <v>1.3199999999999998</v>
      </c>
      <c r="CY47">
        <f>AB47</f>
        <v>423.26</v>
      </c>
      <c r="CZ47">
        <f>AF47</f>
        <v>39.409999999999997</v>
      </c>
      <c r="DA47">
        <f>AJ47</f>
        <v>10.74</v>
      </c>
      <c r="DB47">
        <f t="shared" si="8"/>
        <v>867.02</v>
      </c>
      <c r="DC47">
        <f t="shared" si="9"/>
        <v>255.2</v>
      </c>
    </row>
    <row r="48" spans="1:107">
      <c r="A48">
        <f>ROW(Source!A75)</f>
        <v>75</v>
      </c>
      <c r="B48">
        <v>35683522</v>
      </c>
      <c r="C48">
        <v>36324458</v>
      </c>
      <c r="D48">
        <v>29174913</v>
      </c>
      <c r="E48">
        <v>1</v>
      </c>
      <c r="F48">
        <v>1</v>
      </c>
      <c r="G48">
        <v>1</v>
      </c>
      <c r="H48">
        <v>2</v>
      </c>
      <c r="I48" t="s">
        <v>375</v>
      </c>
      <c r="J48" t="s">
        <v>376</v>
      </c>
      <c r="K48" t="s">
        <v>377</v>
      </c>
      <c r="L48">
        <v>1368</v>
      </c>
      <c r="N48">
        <v>1011</v>
      </c>
      <c r="O48" t="s">
        <v>343</v>
      </c>
      <c r="P48" t="s">
        <v>343</v>
      </c>
      <c r="Q48">
        <v>1</v>
      </c>
      <c r="W48">
        <v>0</v>
      </c>
      <c r="X48">
        <v>1230759911</v>
      </c>
      <c r="Y48">
        <v>1.8</v>
      </c>
      <c r="AA48">
        <v>0</v>
      </c>
      <c r="AB48">
        <v>918.77</v>
      </c>
      <c r="AC48">
        <v>381.76</v>
      </c>
      <c r="AD48">
        <v>0</v>
      </c>
      <c r="AE48">
        <v>0</v>
      </c>
      <c r="AF48">
        <v>87.17</v>
      </c>
      <c r="AG48">
        <v>11.6</v>
      </c>
      <c r="AH48">
        <v>0</v>
      </c>
      <c r="AI48">
        <v>1</v>
      </c>
      <c r="AJ48">
        <v>10.54</v>
      </c>
      <c r="AK48">
        <v>32.909999999999997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1.8</v>
      </c>
      <c r="AU48" t="s">
        <v>3</v>
      </c>
      <c r="AV48">
        <v>0</v>
      </c>
      <c r="AW48">
        <v>2</v>
      </c>
      <c r="AX48">
        <v>36324462</v>
      </c>
      <c r="AY48">
        <v>1</v>
      </c>
      <c r="AZ48">
        <v>0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Y48*Source!I75</f>
        <v>0.108</v>
      </c>
      <c r="CY48">
        <f>AB48</f>
        <v>918.77</v>
      </c>
      <c r="CZ48">
        <f>AF48</f>
        <v>87.17</v>
      </c>
      <c r="DA48">
        <f>AJ48</f>
        <v>10.54</v>
      </c>
      <c r="DB48">
        <f t="shared" si="8"/>
        <v>156.91</v>
      </c>
      <c r="DC48">
        <f t="shared" si="9"/>
        <v>20.88</v>
      </c>
    </row>
    <row r="49" spans="1:107">
      <c r="A49">
        <f>ROW(Source!A75)</f>
        <v>75</v>
      </c>
      <c r="B49">
        <v>35683522</v>
      </c>
      <c r="C49">
        <v>36324458</v>
      </c>
      <c r="D49">
        <v>29115030</v>
      </c>
      <c r="E49">
        <v>1</v>
      </c>
      <c r="F49">
        <v>1</v>
      </c>
      <c r="G49">
        <v>1</v>
      </c>
      <c r="H49">
        <v>3</v>
      </c>
      <c r="I49" t="s">
        <v>447</v>
      </c>
      <c r="J49" t="s">
        <v>448</v>
      </c>
      <c r="K49" t="s">
        <v>449</v>
      </c>
      <c r="L49">
        <v>1354</v>
      </c>
      <c r="N49">
        <v>1010</v>
      </c>
      <c r="O49" t="s">
        <v>23</v>
      </c>
      <c r="P49" t="s">
        <v>23</v>
      </c>
      <c r="Q49">
        <v>1</v>
      </c>
      <c r="W49">
        <v>0</v>
      </c>
      <c r="X49">
        <v>2004405610</v>
      </c>
      <c r="Y49">
        <v>2.52</v>
      </c>
      <c r="AA49">
        <v>1284.82</v>
      </c>
      <c r="AB49">
        <v>0</v>
      </c>
      <c r="AC49">
        <v>0</v>
      </c>
      <c r="AD49">
        <v>0</v>
      </c>
      <c r="AE49">
        <v>452.4</v>
      </c>
      <c r="AF49">
        <v>0</v>
      </c>
      <c r="AG49">
        <v>0</v>
      </c>
      <c r="AH49">
        <v>0</v>
      </c>
      <c r="AI49">
        <v>2.84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2.52</v>
      </c>
      <c r="AU49" t="s">
        <v>3</v>
      </c>
      <c r="AV49">
        <v>0</v>
      </c>
      <c r="AW49">
        <v>2</v>
      </c>
      <c r="AX49">
        <v>36324463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Y49*Source!I75</f>
        <v>0.1512</v>
      </c>
      <c r="CY49">
        <f>AA49</f>
        <v>1284.82</v>
      </c>
      <c r="CZ49">
        <f>AE49</f>
        <v>452.4</v>
      </c>
      <c r="DA49">
        <f>AI49</f>
        <v>2.84</v>
      </c>
      <c r="DB49">
        <f t="shared" si="8"/>
        <v>1140.05</v>
      </c>
      <c r="DC49">
        <f t="shared" si="9"/>
        <v>0</v>
      </c>
    </row>
    <row r="50" spans="1:107">
      <c r="A50">
        <f>ROW(Source!A75)</f>
        <v>75</v>
      </c>
      <c r="B50">
        <v>35683522</v>
      </c>
      <c r="C50">
        <v>36324458</v>
      </c>
      <c r="D50">
        <v>29150040</v>
      </c>
      <c r="E50">
        <v>1</v>
      </c>
      <c r="F50">
        <v>1</v>
      </c>
      <c r="G50">
        <v>1</v>
      </c>
      <c r="H50">
        <v>3</v>
      </c>
      <c r="I50" t="s">
        <v>347</v>
      </c>
      <c r="J50" t="s">
        <v>348</v>
      </c>
      <c r="K50" t="s">
        <v>349</v>
      </c>
      <c r="L50">
        <v>1339</v>
      </c>
      <c r="N50">
        <v>1007</v>
      </c>
      <c r="O50" t="s">
        <v>350</v>
      </c>
      <c r="P50" t="s">
        <v>350</v>
      </c>
      <c r="Q50">
        <v>1</v>
      </c>
      <c r="W50">
        <v>0</v>
      </c>
      <c r="X50">
        <v>619799737</v>
      </c>
      <c r="Y50">
        <v>0.59399999999999997</v>
      </c>
      <c r="AA50">
        <v>22.2</v>
      </c>
      <c r="AB50">
        <v>0</v>
      </c>
      <c r="AC50">
        <v>0</v>
      </c>
      <c r="AD50">
        <v>0</v>
      </c>
      <c r="AE50">
        <v>2.44</v>
      </c>
      <c r="AF50">
        <v>0</v>
      </c>
      <c r="AG50">
        <v>0</v>
      </c>
      <c r="AH50">
        <v>0</v>
      </c>
      <c r="AI50">
        <v>9.1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0.59399999999999997</v>
      </c>
      <c r="AU50" t="s">
        <v>3</v>
      </c>
      <c r="AV50">
        <v>0</v>
      </c>
      <c r="AW50">
        <v>2</v>
      </c>
      <c r="AX50">
        <v>36324464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Y50*Source!I75</f>
        <v>3.5639999999999998E-2</v>
      </c>
      <c r="CY50">
        <f>AA50</f>
        <v>22.2</v>
      </c>
      <c r="CZ50">
        <f>AE50</f>
        <v>2.44</v>
      </c>
      <c r="DA50">
        <f>AI50</f>
        <v>9.1</v>
      </c>
      <c r="DB50">
        <f t="shared" si="8"/>
        <v>1.45</v>
      </c>
      <c r="DC50">
        <f t="shared" si="9"/>
        <v>0</v>
      </c>
    </row>
    <row r="51" spans="1:107">
      <c r="A51">
        <f>ROW(Source!A76)</f>
        <v>76</v>
      </c>
      <c r="B51">
        <v>35683522</v>
      </c>
      <c r="C51">
        <v>36324467</v>
      </c>
      <c r="D51">
        <v>18409850</v>
      </c>
      <c r="E51">
        <v>1</v>
      </c>
      <c r="F51">
        <v>1</v>
      </c>
      <c r="G51">
        <v>1</v>
      </c>
      <c r="H51">
        <v>1</v>
      </c>
      <c r="I51" t="s">
        <v>450</v>
      </c>
      <c r="J51" t="s">
        <v>3</v>
      </c>
      <c r="K51" t="s">
        <v>451</v>
      </c>
      <c r="L51">
        <v>1369</v>
      </c>
      <c r="N51">
        <v>1013</v>
      </c>
      <c r="O51" t="s">
        <v>339</v>
      </c>
      <c r="P51" t="s">
        <v>339</v>
      </c>
      <c r="Q51">
        <v>1</v>
      </c>
      <c r="W51">
        <v>0</v>
      </c>
      <c r="X51">
        <v>855544366</v>
      </c>
      <c r="Y51">
        <v>13.684999999999999</v>
      </c>
      <c r="AA51">
        <v>0</v>
      </c>
      <c r="AB51">
        <v>0</v>
      </c>
      <c r="AC51">
        <v>0</v>
      </c>
      <c r="AD51">
        <v>296.13</v>
      </c>
      <c r="AE51">
        <v>0</v>
      </c>
      <c r="AF51">
        <v>0</v>
      </c>
      <c r="AG51">
        <v>0</v>
      </c>
      <c r="AH51">
        <v>296.13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11.9</v>
      </c>
      <c r="AU51" t="s">
        <v>144</v>
      </c>
      <c r="AV51">
        <v>1</v>
      </c>
      <c r="AW51">
        <v>2</v>
      </c>
      <c r="AX51">
        <v>36324468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Y51*Source!I76</f>
        <v>0.82109999999999994</v>
      </c>
      <c r="CY51">
        <f>AD51</f>
        <v>296.13</v>
      </c>
      <c r="CZ51">
        <f>AH51</f>
        <v>296.13</v>
      </c>
      <c r="DA51">
        <f>AL51</f>
        <v>1</v>
      </c>
      <c r="DB51">
        <f>ROUND((ROUND(AT51*CZ51,2)*1.15),6)</f>
        <v>4052.5425</v>
      </c>
      <c r="DC51">
        <f>ROUND((ROUND(AT51*AG51,2)*1.15),6)</f>
        <v>0</v>
      </c>
    </row>
    <row r="52" spans="1:107">
      <c r="A52">
        <f>ROW(Source!A76)</f>
        <v>76</v>
      </c>
      <c r="B52">
        <v>35683522</v>
      </c>
      <c r="C52">
        <v>36324467</v>
      </c>
      <c r="D52">
        <v>29174913</v>
      </c>
      <c r="E52">
        <v>1</v>
      </c>
      <c r="F52">
        <v>1</v>
      </c>
      <c r="G52">
        <v>1</v>
      </c>
      <c r="H52">
        <v>2</v>
      </c>
      <c r="I52" t="s">
        <v>375</v>
      </c>
      <c r="J52" t="s">
        <v>376</v>
      </c>
      <c r="K52" t="s">
        <v>377</v>
      </c>
      <c r="L52">
        <v>1368</v>
      </c>
      <c r="N52">
        <v>1011</v>
      </c>
      <c r="O52" t="s">
        <v>343</v>
      </c>
      <c r="P52" t="s">
        <v>343</v>
      </c>
      <c r="Q52">
        <v>1</v>
      </c>
      <c r="W52">
        <v>0</v>
      </c>
      <c r="X52">
        <v>1230759911</v>
      </c>
      <c r="Y52">
        <v>3.7499999999999999E-2</v>
      </c>
      <c r="AA52">
        <v>0</v>
      </c>
      <c r="AB52">
        <v>918.77</v>
      </c>
      <c r="AC52">
        <v>381.76</v>
      </c>
      <c r="AD52">
        <v>0</v>
      </c>
      <c r="AE52">
        <v>0</v>
      </c>
      <c r="AF52">
        <v>87.17</v>
      </c>
      <c r="AG52">
        <v>11.6</v>
      </c>
      <c r="AH52">
        <v>0</v>
      </c>
      <c r="AI52">
        <v>1</v>
      </c>
      <c r="AJ52">
        <v>10.54</v>
      </c>
      <c r="AK52">
        <v>32.909999999999997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0.03</v>
      </c>
      <c r="AU52" t="s">
        <v>143</v>
      </c>
      <c r="AV52">
        <v>0</v>
      </c>
      <c r="AW52">
        <v>2</v>
      </c>
      <c r="AX52">
        <v>36324469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Y52*Source!I76</f>
        <v>2.2499999999999998E-3</v>
      </c>
      <c r="CY52">
        <f>AB52</f>
        <v>918.77</v>
      </c>
      <c r="CZ52">
        <f>AF52</f>
        <v>87.17</v>
      </c>
      <c r="DA52">
        <f>AJ52</f>
        <v>10.54</v>
      </c>
      <c r="DB52">
        <f>ROUND((ROUND(AT52*CZ52,2)*1.25),6)</f>
        <v>3.2749999999999999</v>
      </c>
      <c r="DC52">
        <f>ROUND((ROUND(AT52*AG52,2)*1.25),6)</f>
        <v>0.4375</v>
      </c>
    </row>
    <row r="53" spans="1:107">
      <c r="A53">
        <f>ROW(Source!A76)</f>
        <v>76</v>
      </c>
      <c r="B53">
        <v>35683522</v>
      </c>
      <c r="C53">
        <v>36324467</v>
      </c>
      <c r="D53">
        <v>29114195</v>
      </c>
      <c r="E53">
        <v>1</v>
      </c>
      <c r="F53">
        <v>1</v>
      </c>
      <c r="G53">
        <v>1</v>
      </c>
      <c r="H53">
        <v>3</v>
      </c>
      <c r="I53" t="s">
        <v>147</v>
      </c>
      <c r="J53" t="s">
        <v>150</v>
      </c>
      <c r="K53" t="s">
        <v>148</v>
      </c>
      <c r="L53">
        <v>1355</v>
      </c>
      <c r="N53">
        <v>1010</v>
      </c>
      <c r="O53" t="s">
        <v>149</v>
      </c>
      <c r="P53" t="s">
        <v>149</v>
      </c>
      <c r="Q53">
        <v>100</v>
      </c>
      <c r="W53">
        <v>0</v>
      </c>
      <c r="X53">
        <v>1589994030</v>
      </c>
      <c r="Y53">
        <v>1</v>
      </c>
      <c r="AA53">
        <v>937.65</v>
      </c>
      <c r="AB53">
        <v>0</v>
      </c>
      <c r="AC53">
        <v>0</v>
      </c>
      <c r="AD53">
        <v>0</v>
      </c>
      <c r="AE53">
        <v>285</v>
      </c>
      <c r="AF53">
        <v>0</v>
      </c>
      <c r="AG53">
        <v>0</v>
      </c>
      <c r="AH53">
        <v>0</v>
      </c>
      <c r="AI53">
        <v>3.29</v>
      </c>
      <c r="AJ53">
        <v>1</v>
      </c>
      <c r="AK53">
        <v>1</v>
      </c>
      <c r="AL53">
        <v>1</v>
      </c>
      <c r="AN53">
        <v>0</v>
      </c>
      <c r="AO53">
        <v>0</v>
      </c>
      <c r="AP53">
        <v>0</v>
      </c>
      <c r="AQ53">
        <v>0</v>
      </c>
      <c r="AR53">
        <v>0</v>
      </c>
      <c r="AS53" t="s">
        <v>3</v>
      </c>
      <c r="AT53">
        <v>1</v>
      </c>
      <c r="AU53" t="s">
        <v>3</v>
      </c>
      <c r="AV53">
        <v>0</v>
      </c>
      <c r="AW53">
        <v>1</v>
      </c>
      <c r="AX53">
        <v>-1</v>
      </c>
      <c r="AY53">
        <v>0</v>
      </c>
      <c r="AZ53">
        <v>0</v>
      </c>
      <c r="BA53" t="s">
        <v>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Y53*Source!I76</f>
        <v>0.06</v>
      </c>
      <c r="CY53">
        <f>AA53</f>
        <v>937.65</v>
      </c>
      <c r="CZ53">
        <f>AE53</f>
        <v>285</v>
      </c>
      <c r="DA53">
        <f>AI53</f>
        <v>3.29</v>
      </c>
      <c r="DB53">
        <f>ROUND(ROUND(AT53*CZ53,2),6)</f>
        <v>285</v>
      </c>
      <c r="DC53">
        <f>ROUND(ROUND(AT53*AG53,2),6)</f>
        <v>0</v>
      </c>
    </row>
    <row r="54" spans="1:107">
      <c r="A54">
        <f>ROW(Source!A78)</f>
        <v>78</v>
      </c>
      <c r="B54">
        <v>35683522</v>
      </c>
      <c r="C54">
        <v>36322081</v>
      </c>
      <c r="D54">
        <v>18416187</v>
      </c>
      <c r="E54">
        <v>1</v>
      </c>
      <c r="F54">
        <v>1</v>
      </c>
      <c r="G54">
        <v>1</v>
      </c>
      <c r="H54">
        <v>1</v>
      </c>
      <c r="I54" t="s">
        <v>452</v>
      </c>
      <c r="J54" t="s">
        <v>3</v>
      </c>
      <c r="K54" t="s">
        <v>453</v>
      </c>
      <c r="L54">
        <v>1369</v>
      </c>
      <c r="N54">
        <v>1013</v>
      </c>
      <c r="O54" t="s">
        <v>339</v>
      </c>
      <c r="P54" t="s">
        <v>339</v>
      </c>
      <c r="Q54">
        <v>1</v>
      </c>
      <c r="W54">
        <v>0</v>
      </c>
      <c r="X54">
        <v>-532570182</v>
      </c>
      <c r="Y54">
        <v>6.1064999999999987</v>
      </c>
      <c r="AA54">
        <v>0</v>
      </c>
      <c r="AB54">
        <v>0</v>
      </c>
      <c r="AC54">
        <v>0</v>
      </c>
      <c r="AD54">
        <v>347.72</v>
      </c>
      <c r="AE54">
        <v>0</v>
      </c>
      <c r="AF54">
        <v>0</v>
      </c>
      <c r="AG54">
        <v>0</v>
      </c>
      <c r="AH54">
        <v>347.72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5.31</v>
      </c>
      <c r="AU54" t="s">
        <v>144</v>
      </c>
      <c r="AV54">
        <v>1</v>
      </c>
      <c r="AW54">
        <v>2</v>
      </c>
      <c r="AX54">
        <v>36322082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Y54*Source!I78</f>
        <v>9.1597499999999971E-2</v>
      </c>
      <c r="CY54">
        <f>AD54</f>
        <v>347.72</v>
      </c>
      <c r="CZ54">
        <f>AH54</f>
        <v>347.72</v>
      </c>
      <c r="DA54">
        <f>AL54</f>
        <v>1</v>
      </c>
      <c r="DB54">
        <f>ROUND((ROUND(AT54*CZ54,2)*1.15),6)</f>
        <v>2123.3485000000001</v>
      </c>
      <c r="DC54">
        <f>ROUND((ROUND(AT54*AG54,2)*1.15),6)</f>
        <v>0</v>
      </c>
    </row>
    <row r="55" spans="1:107">
      <c r="A55">
        <f>ROW(Source!A78)</f>
        <v>78</v>
      </c>
      <c r="B55">
        <v>35683522</v>
      </c>
      <c r="C55">
        <v>36322081</v>
      </c>
      <c r="D55">
        <v>121548</v>
      </c>
      <c r="E55">
        <v>1</v>
      </c>
      <c r="F55">
        <v>1</v>
      </c>
      <c r="G55">
        <v>1</v>
      </c>
      <c r="H55">
        <v>1</v>
      </c>
      <c r="I55" t="s">
        <v>15</v>
      </c>
      <c r="J55" t="s">
        <v>3</v>
      </c>
      <c r="K55" t="s">
        <v>355</v>
      </c>
      <c r="L55">
        <v>608254</v>
      </c>
      <c r="N55">
        <v>1013</v>
      </c>
      <c r="O55" t="s">
        <v>356</v>
      </c>
      <c r="P55" t="s">
        <v>356</v>
      </c>
      <c r="Q55">
        <v>1</v>
      </c>
      <c r="W55">
        <v>0</v>
      </c>
      <c r="X55">
        <v>-185737400</v>
      </c>
      <c r="Y55">
        <v>1.2500000000000001E-2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0.01</v>
      </c>
      <c r="AU55" t="s">
        <v>143</v>
      </c>
      <c r="AV55">
        <v>2</v>
      </c>
      <c r="AW55">
        <v>2</v>
      </c>
      <c r="AX55">
        <v>36322083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Y55*Source!I78</f>
        <v>1.875E-4</v>
      </c>
      <c r="CY55">
        <f>AD55</f>
        <v>0</v>
      </c>
      <c r="CZ55">
        <f>AH55</f>
        <v>0</v>
      </c>
      <c r="DA55">
        <f>AL55</f>
        <v>1</v>
      </c>
      <c r="DB55">
        <f>ROUND((ROUND(AT55*CZ55,2)*1.25),6)</f>
        <v>0</v>
      </c>
      <c r="DC55">
        <f>ROUND((ROUND(AT55*AG55,2)*1.25),6)</f>
        <v>0</v>
      </c>
    </row>
    <row r="56" spans="1:107">
      <c r="A56">
        <f>ROW(Source!A78)</f>
        <v>78</v>
      </c>
      <c r="B56">
        <v>35683522</v>
      </c>
      <c r="C56">
        <v>36322081</v>
      </c>
      <c r="D56">
        <v>29172479</v>
      </c>
      <c r="E56">
        <v>1</v>
      </c>
      <c r="F56">
        <v>1</v>
      </c>
      <c r="G56">
        <v>1</v>
      </c>
      <c r="H56">
        <v>2</v>
      </c>
      <c r="I56" t="s">
        <v>454</v>
      </c>
      <c r="J56" t="s">
        <v>455</v>
      </c>
      <c r="K56" t="s">
        <v>456</v>
      </c>
      <c r="L56">
        <v>1368</v>
      </c>
      <c r="N56">
        <v>1011</v>
      </c>
      <c r="O56" t="s">
        <v>343</v>
      </c>
      <c r="P56" t="s">
        <v>343</v>
      </c>
      <c r="Q56">
        <v>1</v>
      </c>
      <c r="W56">
        <v>0</v>
      </c>
      <c r="X56">
        <v>1549832887</v>
      </c>
      <c r="Y56">
        <v>1.2500000000000001E-2</v>
      </c>
      <c r="AA56">
        <v>0</v>
      </c>
      <c r="AB56">
        <v>885.03</v>
      </c>
      <c r="AC56">
        <v>331.07</v>
      </c>
      <c r="AD56">
        <v>0</v>
      </c>
      <c r="AE56">
        <v>0</v>
      </c>
      <c r="AF56">
        <v>99.89</v>
      </c>
      <c r="AG56">
        <v>10.06</v>
      </c>
      <c r="AH56">
        <v>0</v>
      </c>
      <c r="AI56">
        <v>1</v>
      </c>
      <c r="AJ56">
        <v>8.86</v>
      </c>
      <c r="AK56">
        <v>32.909999999999997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0.01</v>
      </c>
      <c r="AU56" t="s">
        <v>143</v>
      </c>
      <c r="AV56">
        <v>0</v>
      </c>
      <c r="AW56">
        <v>2</v>
      </c>
      <c r="AX56">
        <v>36322084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Y56*Source!I78</f>
        <v>1.875E-4</v>
      </c>
      <c r="CY56">
        <f>AB56</f>
        <v>885.03</v>
      </c>
      <c r="CZ56">
        <f>AF56</f>
        <v>99.89</v>
      </c>
      <c r="DA56">
        <f>AJ56</f>
        <v>8.86</v>
      </c>
      <c r="DB56">
        <f>ROUND((ROUND(AT56*CZ56,2)*1.25),6)</f>
        <v>1.25</v>
      </c>
      <c r="DC56">
        <f>ROUND((ROUND(AT56*AG56,2)*1.25),6)</f>
        <v>0.125</v>
      </c>
    </row>
    <row r="57" spans="1:107">
      <c r="A57">
        <f>ROW(Source!A78)</f>
        <v>78</v>
      </c>
      <c r="B57">
        <v>35683522</v>
      </c>
      <c r="C57">
        <v>36322081</v>
      </c>
      <c r="D57">
        <v>29172513</v>
      </c>
      <c r="E57">
        <v>1</v>
      </c>
      <c r="F57">
        <v>1</v>
      </c>
      <c r="G57">
        <v>1</v>
      </c>
      <c r="H57">
        <v>2</v>
      </c>
      <c r="I57" t="s">
        <v>457</v>
      </c>
      <c r="J57" t="s">
        <v>458</v>
      </c>
      <c r="K57" t="s">
        <v>459</v>
      </c>
      <c r="L57">
        <v>1368</v>
      </c>
      <c r="N57">
        <v>1011</v>
      </c>
      <c r="O57" t="s">
        <v>343</v>
      </c>
      <c r="P57" t="s">
        <v>343</v>
      </c>
      <c r="Q57">
        <v>1</v>
      </c>
      <c r="W57">
        <v>0</v>
      </c>
      <c r="X57">
        <v>-1790740115</v>
      </c>
      <c r="Y57">
        <v>1.2500000000000001E-2</v>
      </c>
      <c r="AA57">
        <v>0</v>
      </c>
      <c r="AB57">
        <v>18.02</v>
      </c>
      <c r="AC57">
        <v>0</v>
      </c>
      <c r="AD57">
        <v>0</v>
      </c>
      <c r="AE57">
        <v>0</v>
      </c>
      <c r="AF57">
        <v>1.7</v>
      </c>
      <c r="AG57">
        <v>0</v>
      </c>
      <c r="AH57">
        <v>0</v>
      </c>
      <c r="AI57">
        <v>1</v>
      </c>
      <c r="AJ57">
        <v>10.6</v>
      </c>
      <c r="AK57">
        <v>32.909999999999997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0.01</v>
      </c>
      <c r="AU57" t="s">
        <v>143</v>
      </c>
      <c r="AV57">
        <v>0</v>
      </c>
      <c r="AW57">
        <v>2</v>
      </c>
      <c r="AX57">
        <v>36322085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Y57*Source!I78</f>
        <v>1.875E-4</v>
      </c>
      <c r="CY57">
        <f>AB57</f>
        <v>18.02</v>
      </c>
      <c r="CZ57">
        <f>AF57</f>
        <v>1.7</v>
      </c>
      <c r="DA57">
        <f>AJ57</f>
        <v>10.6</v>
      </c>
      <c r="DB57">
        <f>ROUND((ROUND(AT57*CZ57,2)*1.25),6)</f>
        <v>2.5000000000000001E-2</v>
      </c>
      <c r="DC57">
        <f>ROUND((ROUND(AT57*AG57,2)*1.25),6)</f>
        <v>0</v>
      </c>
    </row>
    <row r="58" spans="1:107">
      <c r="A58">
        <f>ROW(Source!A78)</f>
        <v>78</v>
      </c>
      <c r="B58">
        <v>35683522</v>
      </c>
      <c r="C58">
        <v>36322081</v>
      </c>
      <c r="D58">
        <v>29174653</v>
      </c>
      <c r="E58">
        <v>1</v>
      </c>
      <c r="F58">
        <v>1</v>
      </c>
      <c r="G58">
        <v>1</v>
      </c>
      <c r="H58">
        <v>2</v>
      </c>
      <c r="I58" t="s">
        <v>460</v>
      </c>
      <c r="J58" t="s">
        <v>461</v>
      </c>
      <c r="K58" t="s">
        <v>462</v>
      </c>
      <c r="L58">
        <v>1368</v>
      </c>
      <c r="N58">
        <v>1011</v>
      </c>
      <c r="O58" t="s">
        <v>343</v>
      </c>
      <c r="P58" t="s">
        <v>343</v>
      </c>
      <c r="Q58">
        <v>1</v>
      </c>
      <c r="W58">
        <v>0</v>
      </c>
      <c r="X58">
        <v>2094841884</v>
      </c>
      <c r="Y58">
        <v>1.4000000000000001</v>
      </c>
      <c r="AA58">
        <v>0</v>
      </c>
      <c r="AB58">
        <v>31.51</v>
      </c>
      <c r="AC58">
        <v>0</v>
      </c>
      <c r="AD58">
        <v>0</v>
      </c>
      <c r="AE58">
        <v>0</v>
      </c>
      <c r="AF58">
        <v>6.82</v>
      </c>
      <c r="AG58">
        <v>0</v>
      </c>
      <c r="AH58">
        <v>0</v>
      </c>
      <c r="AI58">
        <v>1</v>
      </c>
      <c r="AJ58">
        <v>4.62</v>
      </c>
      <c r="AK58">
        <v>32.909999999999997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1.1200000000000001</v>
      </c>
      <c r="AU58" t="s">
        <v>143</v>
      </c>
      <c r="AV58">
        <v>0</v>
      </c>
      <c r="AW58">
        <v>2</v>
      </c>
      <c r="AX58">
        <v>36322086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Y58*Source!I78</f>
        <v>2.1000000000000001E-2</v>
      </c>
      <c r="CY58">
        <f>AB58</f>
        <v>31.51</v>
      </c>
      <c r="CZ58">
        <f>AF58</f>
        <v>6.82</v>
      </c>
      <c r="DA58">
        <f>AJ58</f>
        <v>4.62</v>
      </c>
      <c r="DB58">
        <f>ROUND((ROUND(AT58*CZ58,2)*1.25),6)</f>
        <v>9.5500000000000007</v>
      </c>
      <c r="DC58">
        <f>ROUND((ROUND(AT58*AG58,2)*1.25),6)</f>
        <v>0</v>
      </c>
    </row>
    <row r="59" spans="1:107">
      <c r="A59">
        <f>ROW(Source!A78)</f>
        <v>78</v>
      </c>
      <c r="B59">
        <v>35683522</v>
      </c>
      <c r="C59">
        <v>36322081</v>
      </c>
      <c r="D59">
        <v>29174913</v>
      </c>
      <c r="E59">
        <v>1</v>
      </c>
      <c r="F59">
        <v>1</v>
      </c>
      <c r="G59">
        <v>1</v>
      </c>
      <c r="H59">
        <v>2</v>
      </c>
      <c r="I59" t="s">
        <v>375</v>
      </c>
      <c r="J59" t="s">
        <v>376</v>
      </c>
      <c r="K59" t="s">
        <v>377</v>
      </c>
      <c r="L59">
        <v>1368</v>
      </c>
      <c r="N59">
        <v>1011</v>
      </c>
      <c r="O59" t="s">
        <v>343</v>
      </c>
      <c r="P59" t="s">
        <v>343</v>
      </c>
      <c r="Q59">
        <v>1</v>
      </c>
      <c r="W59">
        <v>0</v>
      </c>
      <c r="X59">
        <v>1230759911</v>
      </c>
      <c r="Y59">
        <v>1.2500000000000001E-2</v>
      </c>
      <c r="AA59">
        <v>0</v>
      </c>
      <c r="AB59">
        <v>918.77</v>
      </c>
      <c r="AC59">
        <v>381.76</v>
      </c>
      <c r="AD59">
        <v>0</v>
      </c>
      <c r="AE59">
        <v>0</v>
      </c>
      <c r="AF59">
        <v>87.17</v>
      </c>
      <c r="AG59">
        <v>11.6</v>
      </c>
      <c r="AH59">
        <v>0</v>
      </c>
      <c r="AI59">
        <v>1</v>
      </c>
      <c r="AJ59">
        <v>10.54</v>
      </c>
      <c r="AK59">
        <v>32.909999999999997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0.01</v>
      </c>
      <c r="AU59" t="s">
        <v>143</v>
      </c>
      <c r="AV59">
        <v>0</v>
      </c>
      <c r="AW59">
        <v>2</v>
      </c>
      <c r="AX59">
        <v>36322087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Y59*Source!I78</f>
        <v>1.875E-4</v>
      </c>
      <c r="CY59">
        <f>AB59</f>
        <v>918.77</v>
      </c>
      <c r="CZ59">
        <f>AF59</f>
        <v>87.17</v>
      </c>
      <c r="DA59">
        <f>AJ59</f>
        <v>10.54</v>
      </c>
      <c r="DB59">
        <f>ROUND((ROUND(AT59*CZ59,2)*1.25),6)</f>
        <v>1.0874999999999999</v>
      </c>
      <c r="DC59">
        <f>ROUND((ROUND(AT59*AG59,2)*1.25),6)</f>
        <v>0.15</v>
      </c>
    </row>
    <row r="60" spans="1:107">
      <c r="A60">
        <f>ROW(Source!A78)</f>
        <v>78</v>
      </c>
      <c r="B60">
        <v>35683522</v>
      </c>
      <c r="C60">
        <v>36322081</v>
      </c>
      <c r="D60">
        <v>29122102</v>
      </c>
      <c r="E60">
        <v>1</v>
      </c>
      <c r="F60">
        <v>1</v>
      </c>
      <c r="G60">
        <v>1</v>
      </c>
      <c r="H60">
        <v>3</v>
      </c>
      <c r="I60" t="s">
        <v>432</v>
      </c>
      <c r="J60" t="s">
        <v>433</v>
      </c>
      <c r="K60" t="s">
        <v>434</v>
      </c>
      <c r="L60">
        <v>1348</v>
      </c>
      <c r="N60">
        <v>1009</v>
      </c>
      <c r="O60" t="s">
        <v>43</v>
      </c>
      <c r="P60" t="s">
        <v>43</v>
      </c>
      <c r="Q60">
        <v>1000</v>
      </c>
      <c r="W60">
        <v>0</v>
      </c>
      <c r="X60">
        <v>-1142562182</v>
      </c>
      <c r="Y60">
        <v>1.2E-2</v>
      </c>
      <c r="AA60">
        <v>47641</v>
      </c>
      <c r="AB60">
        <v>0</v>
      </c>
      <c r="AC60">
        <v>0</v>
      </c>
      <c r="AD60">
        <v>0</v>
      </c>
      <c r="AE60">
        <v>15620</v>
      </c>
      <c r="AF60">
        <v>0</v>
      </c>
      <c r="AG60">
        <v>0</v>
      </c>
      <c r="AH60">
        <v>0</v>
      </c>
      <c r="AI60">
        <v>3.05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1.2E-2</v>
      </c>
      <c r="AU60" t="s">
        <v>3</v>
      </c>
      <c r="AV60">
        <v>0</v>
      </c>
      <c r="AW60">
        <v>2</v>
      </c>
      <c r="AX60">
        <v>36322088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Y60*Source!I78</f>
        <v>1.7999999999999998E-4</v>
      </c>
      <c r="CY60">
        <f>AA60</f>
        <v>47641</v>
      </c>
      <c r="CZ60">
        <f>AE60</f>
        <v>15620</v>
      </c>
      <c r="DA60">
        <f>AI60</f>
        <v>3.05</v>
      </c>
      <c r="DB60">
        <f>ROUND(ROUND(AT60*CZ60,2),6)</f>
        <v>187.44</v>
      </c>
      <c r="DC60">
        <f>ROUND(ROUND(AT60*AG60,2),6)</f>
        <v>0</v>
      </c>
    </row>
    <row r="61" spans="1:107">
      <c r="A61">
        <f>ROW(Source!A78)</f>
        <v>78</v>
      </c>
      <c r="B61">
        <v>35683522</v>
      </c>
      <c r="C61">
        <v>36322081</v>
      </c>
      <c r="D61">
        <v>29122499</v>
      </c>
      <c r="E61">
        <v>1</v>
      </c>
      <c r="F61">
        <v>1</v>
      </c>
      <c r="G61">
        <v>1</v>
      </c>
      <c r="H61">
        <v>3</v>
      </c>
      <c r="I61" t="s">
        <v>463</v>
      </c>
      <c r="J61" t="s">
        <v>464</v>
      </c>
      <c r="K61" t="s">
        <v>465</v>
      </c>
      <c r="L61">
        <v>1348</v>
      </c>
      <c r="N61">
        <v>1009</v>
      </c>
      <c r="O61" t="s">
        <v>43</v>
      </c>
      <c r="P61" t="s">
        <v>43</v>
      </c>
      <c r="Q61">
        <v>1000</v>
      </c>
      <c r="W61">
        <v>0</v>
      </c>
      <c r="X61">
        <v>-34499403</v>
      </c>
      <c r="Y61">
        <v>2E-3</v>
      </c>
      <c r="AA61">
        <v>72580.100000000006</v>
      </c>
      <c r="AB61">
        <v>0</v>
      </c>
      <c r="AC61">
        <v>0</v>
      </c>
      <c r="AD61">
        <v>0</v>
      </c>
      <c r="AE61">
        <v>7640.01</v>
      </c>
      <c r="AF61">
        <v>0</v>
      </c>
      <c r="AG61">
        <v>0</v>
      </c>
      <c r="AH61">
        <v>0</v>
      </c>
      <c r="AI61">
        <v>9.5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2E-3</v>
      </c>
      <c r="AU61" t="s">
        <v>3</v>
      </c>
      <c r="AV61">
        <v>0</v>
      </c>
      <c r="AW61">
        <v>2</v>
      </c>
      <c r="AX61">
        <v>36322089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Y61*Source!I78</f>
        <v>3.0000000000000001E-5</v>
      </c>
      <c r="CY61">
        <f>AA61</f>
        <v>72580.100000000006</v>
      </c>
      <c r="CZ61">
        <f>AE61</f>
        <v>7640.01</v>
      </c>
      <c r="DA61">
        <f>AI61</f>
        <v>9.5</v>
      </c>
      <c r="DB61">
        <f>ROUND(ROUND(AT61*CZ61,2),6)</f>
        <v>15.28</v>
      </c>
      <c r="DC61">
        <f>ROUND(ROUND(AT61*AG61,2),6)</f>
        <v>0</v>
      </c>
    </row>
    <row r="62" spans="1:107">
      <c r="A62">
        <f>ROW(Source!A79)</f>
        <v>79</v>
      </c>
      <c r="B62">
        <v>35683522</v>
      </c>
      <c r="C62">
        <v>36322090</v>
      </c>
      <c r="D62">
        <v>18409850</v>
      </c>
      <c r="E62">
        <v>1</v>
      </c>
      <c r="F62">
        <v>1</v>
      </c>
      <c r="G62">
        <v>1</v>
      </c>
      <c r="H62">
        <v>1</v>
      </c>
      <c r="I62" t="s">
        <v>450</v>
      </c>
      <c r="J62" t="s">
        <v>3</v>
      </c>
      <c r="K62" t="s">
        <v>451</v>
      </c>
      <c r="L62">
        <v>1369</v>
      </c>
      <c r="N62">
        <v>1013</v>
      </c>
      <c r="O62" t="s">
        <v>339</v>
      </c>
      <c r="P62" t="s">
        <v>339</v>
      </c>
      <c r="Q62">
        <v>1</v>
      </c>
      <c r="W62">
        <v>0</v>
      </c>
      <c r="X62">
        <v>855544366</v>
      </c>
      <c r="Y62">
        <v>4.4044999999999996</v>
      </c>
      <c r="AA62">
        <v>0</v>
      </c>
      <c r="AB62">
        <v>0</v>
      </c>
      <c r="AC62">
        <v>0</v>
      </c>
      <c r="AD62">
        <v>296.13</v>
      </c>
      <c r="AE62">
        <v>0</v>
      </c>
      <c r="AF62">
        <v>0</v>
      </c>
      <c r="AG62">
        <v>0</v>
      </c>
      <c r="AH62">
        <v>296.13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3.83</v>
      </c>
      <c r="AU62" t="s">
        <v>144</v>
      </c>
      <c r="AV62">
        <v>1</v>
      </c>
      <c r="AW62">
        <v>2</v>
      </c>
      <c r="AX62">
        <v>36322091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Y62*Source!I79</f>
        <v>6.6067499999999987E-2</v>
      </c>
      <c r="CY62">
        <f>AD62</f>
        <v>296.13</v>
      </c>
      <c r="CZ62">
        <f>AH62</f>
        <v>296.13</v>
      </c>
      <c r="DA62">
        <f>AL62</f>
        <v>1</v>
      </c>
      <c r="DB62">
        <f>ROUND((ROUND(AT62*CZ62,2)*1.15),6)</f>
        <v>1304.307</v>
      </c>
      <c r="DC62">
        <f>ROUND((ROUND(AT62*AG62,2)*1.15),6)</f>
        <v>0</v>
      </c>
    </row>
    <row r="63" spans="1:107">
      <c r="A63">
        <f>ROW(Source!A79)</f>
        <v>79</v>
      </c>
      <c r="B63">
        <v>35683522</v>
      </c>
      <c r="C63">
        <v>36322090</v>
      </c>
      <c r="D63">
        <v>121548</v>
      </c>
      <c r="E63">
        <v>1</v>
      </c>
      <c r="F63">
        <v>1</v>
      </c>
      <c r="G63">
        <v>1</v>
      </c>
      <c r="H63">
        <v>1</v>
      </c>
      <c r="I63" t="s">
        <v>15</v>
      </c>
      <c r="J63" t="s">
        <v>3</v>
      </c>
      <c r="K63" t="s">
        <v>355</v>
      </c>
      <c r="L63">
        <v>608254</v>
      </c>
      <c r="N63">
        <v>1013</v>
      </c>
      <c r="O63" t="s">
        <v>356</v>
      </c>
      <c r="P63" t="s">
        <v>356</v>
      </c>
      <c r="Q63">
        <v>1</v>
      </c>
      <c r="W63">
        <v>0</v>
      </c>
      <c r="X63">
        <v>-185737400</v>
      </c>
      <c r="Y63">
        <v>1.2500000000000001E-2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0.01</v>
      </c>
      <c r="AU63" t="s">
        <v>143</v>
      </c>
      <c r="AV63">
        <v>2</v>
      </c>
      <c r="AW63">
        <v>2</v>
      </c>
      <c r="AX63">
        <v>36322092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Y63*Source!I79</f>
        <v>1.875E-4</v>
      </c>
      <c r="CY63">
        <f>AD63</f>
        <v>0</v>
      </c>
      <c r="CZ63">
        <f>AH63</f>
        <v>0</v>
      </c>
      <c r="DA63">
        <f>AL63</f>
        <v>1</v>
      </c>
      <c r="DB63">
        <f>ROUND((ROUND(AT63*CZ63,2)*1.25),6)</f>
        <v>0</v>
      </c>
      <c r="DC63">
        <f>ROUND((ROUND(AT63*AG63,2)*1.25),6)</f>
        <v>0</v>
      </c>
    </row>
    <row r="64" spans="1:107">
      <c r="A64">
        <f>ROW(Source!A79)</f>
        <v>79</v>
      </c>
      <c r="B64">
        <v>35683522</v>
      </c>
      <c r="C64">
        <v>36322090</v>
      </c>
      <c r="D64">
        <v>29172479</v>
      </c>
      <c r="E64">
        <v>1</v>
      </c>
      <c r="F64">
        <v>1</v>
      </c>
      <c r="G64">
        <v>1</v>
      </c>
      <c r="H64">
        <v>2</v>
      </c>
      <c r="I64" t="s">
        <v>454</v>
      </c>
      <c r="J64" t="s">
        <v>455</v>
      </c>
      <c r="K64" t="s">
        <v>456</v>
      </c>
      <c r="L64">
        <v>1368</v>
      </c>
      <c r="N64">
        <v>1011</v>
      </c>
      <c r="O64" t="s">
        <v>343</v>
      </c>
      <c r="P64" t="s">
        <v>343</v>
      </c>
      <c r="Q64">
        <v>1</v>
      </c>
      <c r="W64">
        <v>0</v>
      </c>
      <c r="X64">
        <v>1549832887</v>
      </c>
      <c r="Y64">
        <v>1.2500000000000001E-2</v>
      </c>
      <c r="AA64">
        <v>0</v>
      </c>
      <c r="AB64">
        <v>885.03</v>
      </c>
      <c r="AC64">
        <v>331.07</v>
      </c>
      <c r="AD64">
        <v>0</v>
      </c>
      <c r="AE64">
        <v>0</v>
      </c>
      <c r="AF64">
        <v>99.89</v>
      </c>
      <c r="AG64">
        <v>10.06</v>
      </c>
      <c r="AH64">
        <v>0</v>
      </c>
      <c r="AI64">
        <v>1</v>
      </c>
      <c r="AJ64">
        <v>8.86</v>
      </c>
      <c r="AK64">
        <v>32.909999999999997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0.01</v>
      </c>
      <c r="AU64" t="s">
        <v>143</v>
      </c>
      <c r="AV64">
        <v>0</v>
      </c>
      <c r="AW64">
        <v>2</v>
      </c>
      <c r="AX64">
        <v>36322093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Y64*Source!I79</f>
        <v>1.875E-4</v>
      </c>
      <c r="CY64">
        <f>AB64</f>
        <v>885.03</v>
      </c>
      <c r="CZ64">
        <f>AF64</f>
        <v>99.89</v>
      </c>
      <c r="DA64">
        <f>AJ64</f>
        <v>8.86</v>
      </c>
      <c r="DB64">
        <f>ROUND((ROUND(AT64*CZ64,2)*1.25),6)</f>
        <v>1.25</v>
      </c>
      <c r="DC64">
        <f>ROUND((ROUND(AT64*AG64,2)*1.25),6)</f>
        <v>0.125</v>
      </c>
    </row>
    <row r="65" spans="1:107">
      <c r="A65">
        <f>ROW(Source!A79)</f>
        <v>79</v>
      </c>
      <c r="B65">
        <v>35683522</v>
      </c>
      <c r="C65">
        <v>36322090</v>
      </c>
      <c r="D65">
        <v>29172513</v>
      </c>
      <c r="E65">
        <v>1</v>
      </c>
      <c r="F65">
        <v>1</v>
      </c>
      <c r="G65">
        <v>1</v>
      </c>
      <c r="H65">
        <v>2</v>
      </c>
      <c r="I65" t="s">
        <v>457</v>
      </c>
      <c r="J65" t="s">
        <v>458</v>
      </c>
      <c r="K65" t="s">
        <v>459</v>
      </c>
      <c r="L65">
        <v>1368</v>
      </c>
      <c r="N65">
        <v>1011</v>
      </c>
      <c r="O65" t="s">
        <v>343</v>
      </c>
      <c r="P65" t="s">
        <v>343</v>
      </c>
      <c r="Q65">
        <v>1</v>
      </c>
      <c r="W65">
        <v>0</v>
      </c>
      <c r="X65">
        <v>-1790740115</v>
      </c>
      <c r="Y65">
        <v>1.2500000000000001E-2</v>
      </c>
      <c r="AA65">
        <v>0</v>
      </c>
      <c r="AB65">
        <v>18.02</v>
      </c>
      <c r="AC65">
        <v>0</v>
      </c>
      <c r="AD65">
        <v>0</v>
      </c>
      <c r="AE65">
        <v>0</v>
      </c>
      <c r="AF65">
        <v>1.7</v>
      </c>
      <c r="AG65">
        <v>0</v>
      </c>
      <c r="AH65">
        <v>0</v>
      </c>
      <c r="AI65">
        <v>1</v>
      </c>
      <c r="AJ65">
        <v>10.6</v>
      </c>
      <c r="AK65">
        <v>32.909999999999997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0.01</v>
      </c>
      <c r="AU65" t="s">
        <v>143</v>
      </c>
      <c r="AV65">
        <v>0</v>
      </c>
      <c r="AW65">
        <v>2</v>
      </c>
      <c r="AX65">
        <v>36322094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Y65*Source!I79</f>
        <v>1.875E-4</v>
      </c>
      <c r="CY65">
        <f>AB65</f>
        <v>18.02</v>
      </c>
      <c r="CZ65">
        <f>AF65</f>
        <v>1.7</v>
      </c>
      <c r="DA65">
        <f>AJ65</f>
        <v>10.6</v>
      </c>
      <c r="DB65">
        <f>ROUND((ROUND(AT65*CZ65,2)*1.25),6)</f>
        <v>2.5000000000000001E-2</v>
      </c>
      <c r="DC65">
        <f>ROUND((ROUND(AT65*AG65,2)*1.25),6)</f>
        <v>0</v>
      </c>
    </row>
    <row r="66" spans="1:107">
      <c r="A66">
        <f>ROW(Source!A79)</f>
        <v>79</v>
      </c>
      <c r="B66">
        <v>35683522</v>
      </c>
      <c r="C66">
        <v>36322090</v>
      </c>
      <c r="D66">
        <v>29174653</v>
      </c>
      <c r="E66">
        <v>1</v>
      </c>
      <c r="F66">
        <v>1</v>
      </c>
      <c r="G66">
        <v>1</v>
      </c>
      <c r="H66">
        <v>2</v>
      </c>
      <c r="I66" t="s">
        <v>460</v>
      </c>
      <c r="J66" t="s">
        <v>461</v>
      </c>
      <c r="K66" t="s">
        <v>462</v>
      </c>
      <c r="L66">
        <v>1368</v>
      </c>
      <c r="N66">
        <v>1011</v>
      </c>
      <c r="O66" t="s">
        <v>343</v>
      </c>
      <c r="P66" t="s">
        <v>343</v>
      </c>
      <c r="Q66">
        <v>1</v>
      </c>
      <c r="W66">
        <v>0</v>
      </c>
      <c r="X66">
        <v>2094841884</v>
      </c>
      <c r="Y66">
        <v>0.8125</v>
      </c>
      <c r="AA66">
        <v>0</v>
      </c>
      <c r="AB66">
        <v>31.51</v>
      </c>
      <c r="AC66">
        <v>0</v>
      </c>
      <c r="AD66">
        <v>0</v>
      </c>
      <c r="AE66">
        <v>0</v>
      </c>
      <c r="AF66">
        <v>6.82</v>
      </c>
      <c r="AG66">
        <v>0</v>
      </c>
      <c r="AH66">
        <v>0</v>
      </c>
      <c r="AI66">
        <v>1</v>
      </c>
      <c r="AJ66">
        <v>4.62</v>
      </c>
      <c r="AK66">
        <v>32.909999999999997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0.65</v>
      </c>
      <c r="AU66" t="s">
        <v>143</v>
      </c>
      <c r="AV66">
        <v>0</v>
      </c>
      <c r="AW66">
        <v>2</v>
      </c>
      <c r="AX66">
        <v>36322095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Y66*Source!I79</f>
        <v>1.21875E-2</v>
      </c>
      <c r="CY66">
        <f>AB66</f>
        <v>31.51</v>
      </c>
      <c r="CZ66">
        <f>AF66</f>
        <v>6.82</v>
      </c>
      <c r="DA66">
        <f>AJ66</f>
        <v>4.62</v>
      </c>
      <c r="DB66">
        <f>ROUND((ROUND(AT66*CZ66,2)*1.25),6)</f>
        <v>5.5374999999999996</v>
      </c>
      <c r="DC66">
        <f>ROUND((ROUND(AT66*AG66,2)*1.25),6)</f>
        <v>0</v>
      </c>
    </row>
    <row r="67" spans="1:107">
      <c r="A67">
        <f>ROW(Source!A79)</f>
        <v>79</v>
      </c>
      <c r="B67">
        <v>35683522</v>
      </c>
      <c r="C67">
        <v>36322090</v>
      </c>
      <c r="D67">
        <v>29174913</v>
      </c>
      <c r="E67">
        <v>1</v>
      </c>
      <c r="F67">
        <v>1</v>
      </c>
      <c r="G67">
        <v>1</v>
      </c>
      <c r="H67">
        <v>2</v>
      </c>
      <c r="I67" t="s">
        <v>375</v>
      </c>
      <c r="J67" t="s">
        <v>376</v>
      </c>
      <c r="K67" t="s">
        <v>377</v>
      </c>
      <c r="L67">
        <v>1368</v>
      </c>
      <c r="N67">
        <v>1011</v>
      </c>
      <c r="O67" t="s">
        <v>343</v>
      </c>
      <c r="P67" t="s">
        <v>343</v>
      </c>
      <c r="Q67">
        <v>1</v>
      </c>
      <c r="W67">
        <v>0</v>
      </c>
      <c r="X67">
        <v>1230759911</v>
      </c>
      <c r="Y67">
        <v>1.2500000000000001E-2</v>
      </c>
      <c r="AA67">
        <v>0</v>
      </c>
      <c r="AB67">
        <v>918.77</v>
      </c>
      <c r="AC67">
        <v>381.76</v>
      </c>
      <c r="AD67">
        <v>0</v>
      </c>
      <c r="AE67">
        <v>0</v>
      </c>
      <c r="AF67">
        <v>87.17</v>
      </c>
      <c r="AG67">
        <v>11.6</v>
      </c>
      <c r="AH67">
        <v>0</v>
      </c>
      <c r="AI67">
        <v>1</v>
      </c>
      <c r="AJ67">
        <v>10.54</v>
      </c>
      <c r="AK67">
        <v>32.909999999999997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0.01</v>
      </c>
      <c r="AU67" t="s">
        <v>143</v>
      </c>
      <c r="AV67">
        <v>0</v>
      </c>
      <c r="AW67">
        <v>2</v>
      </c>
      <c r="AX67">
        <v>36322096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Y67*Source!I79</f>
        <v>1.875E-4</v>
      </c>
      <c r="CY67">
        <f>AB67</f>
        <v>918.77</v>
      </c>
      <c r="CZ67">
        <f>AF67</f>
        <v>87.17</v>
      </c>
      <c r="DA67">
        <f>AJ67</f>
        <v>10.54</v>
      </c>
      <c r="DB67">
        <f>ROUND((ROUND(AT67*CZ67,2)*1.25),6)</f>
        <v>1.0874999999999999</v>
      </c>
      <c r="DC67">
        <f>ROUND((ROUND(AT67*AG67,2)*1.25),6)</f>
        <v>0.15</v>
      </c>
    </row>
    <row r="68" spans="1:107">
      <c r="A68">
        <f>ROW(Source!A79)</f>
        <v>79</v>
      </c>
      <c r="B68">
        <v>35683522</v>
      </c>
      <c r="C68">
        <v>36322090</v>
      </c>
      <c r="D68">
        <v>29107700</v>
      </c>
      <c r="E68">
        <v>1</v>
      </c>
      <c r="F68">
        <v>1</v>
      </c>
      <c r="G68">
        <v>1</v>
      </c>
      <c r="H68">
        <v>3</v>
      </c>
      <c r="I68" t="s">
        <v>466</v>
      </c>
      <c r="J68" t="s">
        <v>467</v>
      </c>
      <c r="K68" t="s">
        <v>468</v>
      </c>
      <c r="L68">
        <v>1348</v>
      </c>
      <c r="N68">
        <v>1009</v>
      </c>
      <c r="O68" t="s">
        <v>43</v>
      </c>
      <c r="P68" t="s">
        <v>43</v>
      </c>
      <c r="Q68">
        <v>1000</v>
      </c>
      <c r="W68">
        <v>0</v>
      </c>
      <c r="X68">
        <v>1694202031</v>
      </c>
      <c r="Y68">
        <v>1.4E-3</v>
      </c>
      <c r="AA68">
        <v>62669.89</v>
      </c>
      <c r="AB68">
        <v>0</v>
      </c>
      <c r="AC68">
        <v>0</v>
      </c>
      <c r="AD68">
        <v>0</v>
      </c>
      <c r="AE68">
        <v>6667.01</v>
      </c>
      <c r="AF68">
        <v>0</v>
      </c>
      <c r="AG68">
        <v>0</v>
      </c>
      <c r="AH68">
        <v>0</v>
      </c>
      <c r="AI68">
        <v>9.4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1.4E-3</v>
      </c>
      <c r="AU68" t="s">
        <v>3</v>
      </c>
      <c r="AV68">
        <v>0</v>
      </c>
      <c r="AW68">
        <v>2</v>
      </c>
      <c r="AX68">
        <v>36322097</v>
      </c>
      <c r="AY68">
        <v>1</v>
      </c>
      <c r="AZ68">
        <v>0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Y68*Source!I79</f>
        <v>2.0999999999999999E-5</v>
      </c>
      <c r="CY68">
        <f>AA68</f>
        <v>62669.89</v>
      </c>
      <c r="CZ68">
        <f>AE68</f>
        <v>6667.01</v>
      </c>
      <c r="DA68">
        <f>AI68</f>
        <v>9.4</v>
      </c>
      <c r="DB68">
        <f>ROUND(ROUND(AT68*CZ68,2),6)</f>
        <v>9.33</v>
      </c>
      <c r="DC68">
        <f>ROUND(ROUND(AT68*AG68,2),6)</f>
        <v>0</v>
      </c>
    </row>
    <row r="69" spans="1:107">
      <c r="A69">
        <f>ROW(Source!A79)</f>
        <v>79</v>
      </c>
      <c r="B69">
        <v>35683522</v>
      </c>
      <c r="C69">
        <v>36322090</v>
      </c>
      <c r="D69">
        <v>29122980</v>
      </c>
      <c r="E69">
        <v>1</v>
      </c>
      <c r="F69">
        <v>1</v>
      </c>
      <c r="G69">
        <v>1</v>
      </c>
      <c r="H69">
        <v>3</v>
      </c>
      <c r="I69" t="s">
        <v>469</v>
      </c>
      <c r="J69" t="s">
        <v>470</v>
      </c>
      <c r="K69" t="s">
        <v>471</v>
      </c>
      <c r="L69">
        <v>1348</v>
      </c>
      <c r="N69">
        <v>1009</v>
      </c>
      <c r="O69" t="s">
        <v>43</v>
      </c>
      <c r="P69" t="s">
        <v>43</v>
      </c>
      <c r="Q69">
        <v>1000</v>
      </c>
      <c r="W69">
        <v>0</v>
      </c>
      <c r="X69">
        <v>1302899598</v>
      </c>
      <c r="Y69">
        <v>1.9E-2</v>
      </c>
      <c r="AA69">
        <v>60242.76</v>
      </c>
      <c r="AB69">
        <v>0</v>
      </c>
      <c r="AC69">
        <v>0</v>
      </c>
      <c r="AD69">
        <v>0</v>
      </c>
      <c r="AE69">
        <v>14985.76</v>
      </c>
      <c r="AF69">
        <v>0</v>
      </c>
      <c r="AG69">
        <v>0</v>
      </c>
      <c r="AH69">
        <v>0</v>
      </c>
      <c r="AI69">
        <v>4.0199999999999996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1.9E-2</v>
      </c>
      <c r="AU69" t="s">
        <v>3</v>
      </c>
      <c r="AV69">
        <v>0</v>
      </c>
      <c r="AW69">
        <v>2</v>
      </c>
      <c r="AX69">
        <v>36322098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Y69*Source!I79</f>
        <v>2.8499999999999999E-4</v>
      </c>
      <c r="CY69">
        <f>AA69</f>
        <v>60242.76</v>
      </c>
      <c r="CZ69">
        <f>AE69</f>
        <v>14985.76</v>
      </c>
      <c r="DA69">
        <f>AI69</f>
        <v>4.0199999999999996</v>
      </c>
      <c r="DB69">
        <f>ROUND(ROUND(AT69*CZ69,2),6)</f>
        <v>284.73</v>
      </c>
      <c r="DC69">
        <f>ROUND(ROUND(AT69*AG69,2),6)</f>
        <v>0</v>
      </c>
    </row>
    <row r="70" spans="1:107">
      <c r="A70">
        <f>ROW(Source!A80)</f>
        <v>80</v>
      </c>
      <c r="B70">
        <v>35683522</v>
      </c>
      <c r="C70">
        <v>35683790</v>
      </c>
      <c r="D70">
        <v>18410572</v>
      </c>
      <c r="E70">
        <v>1</v>
      </c>
      <c r="F70">
        <v>1</v>
      </c>
      <c r="G70">
        <v>1</v>
      </c>
      <c r="H70">
        <v>1</v>
      </c>
      <c r="I70" t="s">
        <v>384</v>
      </c>
      <c r="J70" t="s">
        <v>3</v>
      </c>
      <c r="K70" t="s">
        <v>385</v>
      </c>
      <c r="L70">
        <v>1369</v>
      </c>
      <c r="N70">
        <v>1013</v>
      </c>
      <c r="O70" t="s">
        <v>339</v>
      </c>
      <c r="P70" t="s">
        <v>339</v>
      </c>
      <c r="Q70">
        <v>1</v>
      </c>
      <c r="W70">
        <v>0</v>
      </c>
      <c r="X70">
        <v>-546915240</v>
      </c>
      <c r="Y70">
        <v>40.824999999999996</v>
      </c>
      <c r="AA70">
        <v>0</v>
      </c>
      <c r="AB70">
        <v>0</v>
      </c>
      <c r="AC70">
        <v>0</v>
      </c>
      <c r="AD70">
        <v>285.36</v>
      </c>
      <c r="AE70">
        <v>0</v>
      </c>
      <c r="AF70">
        <v>0</v>
      </c>
      <c r="AG70">
        <v>0</v>
      </c>
      <c r="AH70">
        <v>285.36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35.5</v>
      </c>
      <c r="AU70" t="s">
        <v>144</v>
      </c>
      <c r="AV70">
        <v>1</v>
      </c>
      <c r="AW70">
        <v>2</v>
      </c>
      <c r="AX70">
        <v>35683815</v>
      </c>
      <c r="AY70">
        <v>2</v>
      </c>
      <c r="AZ70">
        <v>131072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Y70*Source!I80</f>
        <v>0.81649999999999989</v>
      </c>
      <c r="CY70">
        <f>AD70</f>
        <v>285.36</v>
      </c>
      <c r="CZ70">
        <f>AH70</f>
        <v>285.36</v>
      </c>
      <c r="DA70">
        <f>AL70</f>
        <v>1</v>
      </c>
      <c r="DB70">
        <f>ROUND((ROUND(AT70*CZ70,2)*1.15),6)</f>
        <v>11649.822</v>
      </c>
      <c r="DC70">
        <f>ROUND((ROUND(AT70*AG70,2)*1.15),6)</f>
        <v>0</v>
      </c>
    </row>
    <row r="71" spans="1:107">
      <c r="A71">
        <f>ROW(Source!A80)</f>
        <v>80</v>
      </c>
      <c r="B71">
        <v>35683522</v>
      </c>
      <c r="C71">
        <v>35683790</v>
      </c>
      <c r="D71">
        <v>121548</v>
      </c>
      <c r="E71">
        <v>1</v>
      </c>
      <c r="F71">
        <v>1</v>
      </c>
      <c r="G71">
        <v>1</v>
      </c>
      <c r="H71">
        <v>1</v>
      </c>
      <c r="I71" t="s">
        <v>15</v>
      </c>
      <c r="J71" t="s">
        <v>3</v>
      </c>
      <c r="K71" t="s">
        <v>355</v>
      </c>
      <c r="L71">
        <v>608254</v>
      </c>
      <c r="N71">
        <v>1013</v>
      </c>
      <c r="O71" t="s">
        <v>356</v>
      </c>
      <c r="P71" t="s">
        <v>356</v>
      </c>
      <c r="Q71">
        <v>1</v>
      </c>
      <c r="W71">
        <v>0</v>
      </c>
      <c r="X71">
        <v>-185737400</v>
      </c>
      <c r="Y71">
        <v>3.2624999999999997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2.61</v>
      </c>
      <c r="AU71" t="s">
        <v>143</v>
      </c>
      <c r="AV71">
        <v>2</v>
      </c>
      <c r="AW71">
        <v>2</v>
      </c>
      <c r="AX71">
        <v>35683816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Y71*Source!I80</f>
        <v>6.5250000000000002E-2</v>
      </c>
      <c r="CY71">
        <f>AD71</f>
        <v>0</v>
      </c>
      <c r="CZ71">
        <f>AH71</f>
        <v>0</v>
      </c>
      <c r="DA71">
        <f>AL71</f>
        <v>1</v>
      </c>
      <c r="DB71">
        <f t="shared" ref="DB71:DB80" si="10">ROUND((ROUND(AT71*CZ71,2)*1.25),6)</f>
        <v>0</v>
      </c>
      <c r="DC71">
        <f t="shared" ref="DC71:DC80" si="11">ROUND((ROUND(AT71*AG71,2)*1.25),6)</f>
        <v>0</v>
      </c>
    </row>
    <row r="72" spans="1:107">
      <c r="A72">
        <f>ROW(Source!A80)</f>
        <v>80</v>
      </c>
      <c r="B72">
        <v>35683522</v>
      </c>
      <c r="C72">
        <v>35683790</v>
      </c>
      <c r="D72">
        <v>29172285</v>
      </c>
      <c r="E72">
        <v>1</v>
      </c>
      <c r="F72">
        <v>1</v>
      </c>
      <c r="G72">
        <v>1</v>
      </c>
      <c r="H72">
        <v>2</v>
      </c>
      <c r="I72" t="s">
        <v>386</v>
      </c>
      <c r="J72" t="s">
        <v>472</v>
      </c>
      <c r="K72" t="s">
        <v>388</v>
      </c>
      <c r="L72">
        <v>1368</v>
      </c>
      <c r="N72">
        <v>1011</v>
      </c>
      <c r="O72" t="s">
        <v>343</v>
      </c>
      <c r="P72" t="s">
        <v>343</v>
      </c>
      <c r="Q72">
        <v>1</v>
      </c>
      <c r="W72">
        <v>0</v>
      </c>
      <c r="X72">
        <v>-1710824664</v>
      </c>
      <c r="Y72">
        <v>0.05</v>
      </c>
      <c r="AA72">
        <v>0</v>
      </c>
      <c r="AB72">
        <v>960.54</v>
      </c>
      <c r="AC72">
        <v>507.47</v>
      </c>
      <c r="AD72">
        <v>0</v>
      </c>
      <c r="AE72">
        <v>0</v>
      </c>
      <c r="AF72">
        <v>120.52</v>
      </c>
      <c r="AG72">
        <v>15.42</v>
      </c>
      <c r="AH72">
        <v>0</v>
      </c>
      <c r="AI72">
        <v>1</v>
      </c>
      <c r="AJ72">
        <v>7.97</v>
      </c>
      <c r="AK72">
        <v>32.909999999999997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0.04</v>
      </c>
      <c r="AU72" t="s">
        <v>143</v>
      </c>
      <c r="AV72">
        <v>0</v>
      </c>
      <c r="AW72">
        <v>2</v>
      </c>
      <c r="AX72">
        <v>35683817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Y72*Source!I80</f>
        <v>1E-3</v>
      </c>
      <c r="CY72">
        <f t="shared" ref="CY72:CY80" si="12">AB72</f>
        <v>960.54</v>
      </c>
      <c r="CZ72">
        <f t="shared" ref="CZ72:CZ80" si="13">AF72</f>
        <v>120.52</v>
      </c>
      <c r="DA72">
        <f t="shared" ref="DA72:DA80" si="14">AJ72</f>
        <v>7.97</v>
      </c>
      <c r="DB72">
        <f t="shared" si="10"/>
        <v>6.0250000000000004</v>
      </c>
      <c r="DC72">
        <f t="shared" si="11"/>
        <v>0.77500000000000002</v>
      </c>
    </row>
    <row r="73" spans="1:107">
      <c r="A73">
        <f>ROW(Source!A80)</f>
        <v>80</v>
      </c>
      <c r="B73">
        <v>35683522</v>
      </c>
      <c r="C73">
        <v>35683790</v>
      </c>
      <c r="D73">
        <v>29172379</v>
      </c>
      <c r="E73">
        <v>1</v>
      </c>
      <c r="F73">
        <v>1</v>
      </c>
      <c r="G73">
        <v>1</v>
      </c>
      <c r="H73">
        <v>2</v>
      </c>
      <c r="I73" t="s">
        <v>389</v>
      </c>
      <c r="J73" t="s">
        <v>473</v>
      </c>
      <c r="K73" t="s">
        <v>391</v>
      </c>
      <c r="L73">
        <v>1368</v>
      </c>
      <c r="N73">
        <v>1011</v>
      </c>
      <c r="O73" t="s">
        <v>343</v>
      </c>
      <c r="P73" t="s">
        <v>343</v>
      </c>
      <c r="Q73">
        <v>1</v>
      </c>
      <c r="W73">
        <v>0</v>
      </c>
      <c r="X73">
        <v>-151619853</v>
      </c>
      <c r="Y73">
        <v>0.26250000000000001</v>
      </c>
      <c r="AA73">
        <v>0</v>
      </c>
      <c r="AB73">
        <v>1084.1600000000001</v>
      </c>
      <c r="AC73">
        <v>444.29</v>
      </c>
      <c r="AD73">
        <v>0</v>
      </c>
      <c r="AE73">
        <v>0</v>
      </c>
      <c r="AF73">
        <v>112</v>
      </c>
      <c r="AG73">
        <v>13.5</v>
      </c>
      <c r="AH73">
        <v>0</v>
      </c>
      <c r="AI73">
        <v>1</v>
      </c>
      <c r="AJ73">
        <v>9.68</v>
      </c>
      <c r="AK73">
        <v>32.909999999999997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0.21</v>
      </c>
      <c r="AU73" t="s">
        <v>143</v>
      </c>
      <c r="AV73">
        <v>0</v>
      </c>
      <c r="AW73">
        <v>2</v>
      </c>
      <c r="AX73">
        <v>35683818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Y73*Source!I80</f>
        <v>5.2500000000000003E-3</v>
      </c>
      <c r="CY73">
        <f t="shared" si="12"/>
        <v>1084.1600000000001</v>
      </c>
      <c r="CZ73">
        <f t="shared" si="13"/>
        <v>112</v>
      </c>
      <c r="DA73">
        <f t="shared" si="14"/>
        <v>9.68</v>
      </c>
      <c r="DB73">
        <f t="shared" si="10"/>
        <v>29.4</v>
      </c>
      <c r="DC73">
        <f t="shared" si="11"/>
        <v>3.55</v>
      </c>
    </row>
    <row r="74" spans="1:107">
      <c r="A74">
        <f>ROW(Source!A80)</f>
        <v>80</v>
      </c>
      <c r="B74">
        <v>35683522</v>
      </c>
      <c r="C74">
        <v>35683790</v>
      </c>
      <c r="D74">
        <v>29172409</v>
      </c>
      <c r="E74">
        <v>1</v>
      </c>
      <c r="F74">
        <v>1</v>
      </c>
      <c r="G74">
        <v>1</v>
      </c>
      <c r="H74">
        <v>2</v>
      </c>
      <c r="I74" t="s">
        <v>474</v>
      </c>
      <c r="J74" t="s">
        <v>475</v>
      </c>
      <c r="K74" t="s">
        <v>476</v>
      </c>
      <c r="L74">
        <v>1368</v>
      </c>
      <c r="N74">
        <v>1011</v>
      </c>
      <c r="O74" t="s">
        <v>343</v>
      </c>
      <c r="P74" t="s">
        <v>343</v>
      </c>
      <c r="Q74">
        <v>1</v>
      </c>
      <c r="W74">
        <v>0</v>
      </c>
      <c r="X74">
        <v>1494694365</v>
      </c>
      <c r="Y74">
        <v>2.9499999999999997</v>
      </c>
      <c r="AA74">
        <v>0</v>
      </c>
      <c r="AB74">
        <v>1358.76</v>
      </c>
      <c r="AC74">
        <v>473.9</v>
      </c>
      <c r="AD74">
        <v>0</v>
      </c>
      <c r="AE74">
        <v>0</v>
      </c>
      <c r="AF74">
        <v>175.55</v>
      </c>
      <c r="AG74">
        <v>14.4</v>
      </c>
      <c r="AH74">
        <v>0</v>
      </c>
      <c r="AI74">
        <v>1</v>
      </c>
      <c r="AJ74">
        <v>7.74</v>
      </c>
      <c r="AK74">
        <v>32.909999999999997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2.36</v>
      </c>
      <c r="AU74" t="s">
        <v>143</v>
      </c>
      <c r="AV74">
        <v>0</v>
      </c>
      <c r="AW74">
        <v>2</v>
      </c>
      <c r="AX74">
        <v>35683819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Y74*Source!I80</f>
        <v>5.8999999999999997E-2</v>
      </c>
      <c r="CY74">
        <f t="shared" si="12"/>
        <v>1358.76</v>
      </c>
      <c r="CZ74">
        <f t="shared" si="13"/>
        <v>175.55</v>
      </c>
      <c r="DA74">
        <f t="shared" si="14"/>
        <v>7.74</v>
      </c>
      <c r="DB74">
        <f t="shared" si="10"/>
        <v>517.875</v>
      </c>
      <c r="DC74">
        <f t="shared" si="11"/>
        <v>42.475000000000001</v>
      </c>
    </row>
    <row r="75" spans="1:107">
      <c r="A75">
        <f>ROW(Source!A80)</f>
        <v>80</v>
      </c>
      <c r="B75">
        <v>35683522</v>
      </c>
      <c r="C75">
        <v>35683790</v>
      </c>
      <c r="D75">
        <v>29172498</v>
      </c>
      <c r="E75">
        <v>1</v>
      </c>
      <c r="F75">
        <v>1</v>
      </c>
      <c r="G75">
        <v>1</v>
      </c>
      <c r="H75">
        <v>2</v>
      </c>
      <c r="I75" t="s">
        <v>477</v>
      </c>
      <c r="J75" t="s">
        <v>478</v>
      </c>
      <c r="K75" t="s">
        <v>479</v>
      </c>
      <c r="L75">
        <v>1368</v>
      </c>
      <c r="N75">
        <v>1011</v>
      </c>
      <c r="O75" t="s">
        <v>343</v>
      </c>
      <c r="P75" t="s">
        <v>343</v>
      </c>
      <c r="Q75">
        <v>1</v>
      </c>
      <c r="W75">
        <v>0</v>
      </c>
      <c r="X75">
        <v>2059246442</v>
      </c>
      <c r="Y75">
        <v>1.2375</v>
      </c>
      <c r="AA75">
        <v>0</v>
      </c>
      <c r="AB75">
        <v>10.07</v>
      </c>
      <c r="AC75">
        <v>0</v>
      </c>
      <c r="AD75">
        <v>0</v>
      </c>
      <c r="AE75">
        <v>0</v>
      </c>
      <c r="AF75">
        <v>2.37</v>
      </c>
      <c r="AG75">
        <v>0</v>
      </c>
      <c r="AH75">
        <v>0</v>
      </c>
      <c r="AI75">
        <v>1</v>
      </c>
      <c r="AJ75">
        <v>4.25</v>
      </c>
      <c r="AK75">
        <v>32.909999999999997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0.99</v>
      </c>
      <c r="AU75" t="s">
        <v>143</v>
      </c>
      <c r="AV75">
        <v>0</v>
      </c>
      <c r="AW75">
        <v>2</v>
      </c>
      <c r="AX75">
        <v>35683820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Y75*Source!I80</f>
        <v>2.4750000000000001E-2</v>
      </c>
      <c r="CY75">
        <f t="shared" si="12"/>
        <v>10.07</v>
      </c>
      <c r="CZ75">
        <f t="shared" si="13"/>
        <v>2.37</v>
      </c>
      <c r="DA75">
        <f t="shared" si="14"/>
        <v>4.25</v>
      </c>
      <c r="DB75">
        <f t="shared" si="10"/>
        <v>2.9375</v>
      </c>
      <c r="DC75">
        <f t="shared" si="11"/>
        <v>0</v>
      </c>
    </row>
    <row r="76" spans="1:107">
      <c r="A76">
        <f>ROW(Source!A80)</f>
        <v>80</v>
      </c>
      <c r="B76">
        <v>35683522</v>
      </c>
      <c r="C76">
        <v>35683790</v>
      </c>
      <c r="D76">
        <v>29172659</v>
      </c>
      <c r="E76">
        <v>1</v>
      </c>
      <c r="F76">
        <v>1</v>
      </c>
      <c r="G76">
        <v>1</v>
      </c>
      <c r="H76">
        <v>2</v>
      </c>
      <c r="I76" t="s">
        <v>395</v>
      </c>
      <c r="J76" t="s">
        <v>480</v>
      </c>
      <c r="K76" t="s">
        <v>397</v>
      </c>
      <c r="L76">
        <v>1368</v>
      </c>
      <c r="N76">
        <v>1011</v>
      </c>
      <c r="O76" t="s">
        <v>343</v>
      </c>
      <c r="P76" t="s">
        <v>343</v>
      </c>
      <c r="Q76">
        <v>1</v>
      </c>
      <c r="W76">
        <v>0</v>
      </c>
      <c r="X76">
        <v>-664376910</v>
      </c>
      <c r="Y76">
        <v>2.1</v>
      </c>
      <c r="AA76">
        <v>0</v>
      </c>
      <c r="AB76">
        <v>8.5399999999999991</v>
      </c>
      <c r="AC76">
        <v>0</v>
      </c>
      <c r="AD76">
        <v>0</v>
      </c>
      <c r="AE76">
        <v>0</v>
      </c>
      <c r="AF76">
        <v>1.2</v>
      </c>
      <c r="AG76">
        <v>0</v>
      </c>
      <c r="AH76">
        <v>0</v>
      </c>
      <c r="AI76">
        <v>1</v>
      </c>
      <c r="AJ76">
        <v>7.12</v>
      </c>
      <c r="AK76">
        <v>32.909999999999997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1.68</v>
      </c>
      <c r="AU76" t="s">
        <v>143</v>
      </c>
      <c r="AV76">
        <v>0</v>
      </c>
      <c r="AW76">
        <v>2</v>
      </c>
      <c r="AX76">
        <v>35683821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Y76*Source!I80</f>
        <v>4.2000000000000003E-2</v>
      </c>
      <c r="CY76">
        <f t="shared" si="12"/>
        <v>8.5399999999999991</v>
      </c>
      <c r="CZ76">
        <f t="shared" si="13"/>
        <v>1.2</v>
      </c>
      <c r="DA76">
        <f t="shared" si="14"/>
        <v>7.12</v>
      </c>
      <c r="DB76">
        <f t="shared" si="10"/>
        <v>2.5249999999999999</v>
      </c>
      <c r="DC76">
        <f t="shared" si="11"/>
        <v>0</v>
      </c>
    </row>
    <row r="77" spans="1:107">
      <c r="A77">
        <f>ROW(Source!A80)</f>
        <v>80</v>
      </c>
      <c r="B77">
        <v>35683522</v>
      </c>
      <c r="C77">
        <v>35683790</v>
      </c>
      <c r="D77">
        <v>29172669</v>
      </c>
      <c r="E77">
        <v>1</v>
      </c>
      <c r="F77">
        <v>1</v>
      </c>
      <c r="G77">
        <v>1</v>
      </c>
      <c r="H77">
        <v>2</v>
      </c>
      <c r="I77" t="s">
        <v>398</v>
      </c>
      <c r="J77" t="s">
        <v>481</v>
      </c>
      <c r="K77" t="s">
        <v>400</v>
      </c>
      <c r="L77">
        <v>1368</v>
      </c>
      <c r="N77">
        <v>1011</v>
      </c>
      <c r="O77" t="s">
        <v>343</v>
      </c>
      <c r="P77" t="s">
        <v>343</v>
      </c>
      <c r="Q77">
        <v>1</v>
      </c>
      <c r="W77">
        <v>0</v>
      </c>
      <c r="X77">
        <v>341785304</v>
      </c>
      <c r="Y77">
        <v>0.22499999999999998</v>
      </c>
      <c r="AA77">
        <v>0</v>
      </c>
      <c r="AB77">
        <v>104.14</v>
      </c>
      <c r="AC77">
        <v>0</v>
      </c>
      <c r="AD77">
        <v>0</v>
      </c>
      <c r="AE77">
        <v>0</v>
      </c>
      <c r="AF77">
        <v>12.31</v>
      </c>
      <c r="AG77">
        <v>0</v>
      </c>
      <c r="AH77">
        <v>0</v>
      </c>
      <c r="AI77">
        <v>1</v>
      </c>
      <c r="AJ77">
        <v>8.4600000000000009</v>
      </c>
      <c r="AK77">
        <v>32.909999999999997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0.18</v>
      </c>
      <c r="AU77" t="s">
        <v>143</v>
      </c>
      <c r="AV77">
        <v>0</v>
      </c>
      <c r="AW77">
        <v>2</v>
      </c>
      <c r="AX77">
        <v>35683822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Y77*Source!I80</f>
        <v>4.4999999999999997E-3</v>
      </c>
      <c r="CY77">
        <f t="shared" si="12"/>
        <v>104.14</v>
      </c>
      <c r="CZ77">
        <f t="shared" si="13"/>
        <v>12.31</v>
      </c>
      <c r="DA77">
        <f t="shared" si="14"/>
        <v>8.4600000000000009</v>
      </c>
      <c r="DB77">
        <f t="shared" si="10"/>
        <v>2.7749999999999999</v>
      </c>
      <c r="DC77">
        <f t="shared" si="11"/>
        <v>0</v>
      </c>
    </row>
    <row r="78" spans="1:107">
      <c r="A78">
        <f>ROW(Source!A80)</f>
        <v>80</v>
      </c>
      <c r="B78">
        <v>35683522</v>
      </c>
      <c r="C78">
        <v>35683790</v>
      </c>
      <c r="D78">
        <v>29172679</v>
      </c>
      <c r="E78">
        <v>1</v>
      </c>
      <c r="F78">
        <v>1</v>
      </c>
      <c r="G78">
        <v>1</v>
      </c>
      <c r="H78">
        <v>2</v>
      </c>
      <c r="I78" t="s">
        <v>482</v>
      </c>
      <c r="J78" t="s">
        <v>483</v>
      </c>
      <c r="K78" t="s">
        <v>484</v>
      </c>
      <c r="L78">
        <v>1368</v>
      </c>
      <c r="N78">
        <v>1011</v>
      </c>
      <c r="O78" t="s">
        <v>343</v>
      </c>
      <c r="P78" t="s">
        <v>343</v>
      </c>
      <c r="Q78">
        <v>1</v>
      </c>
      <c r="W78">
        <v>0</v>
      </c>
      <c r="X78">
        <v>12839444</v>
      </c>
      <c r="Y78">
        <v>2.5000000000000001E-2</v>
      </c>
      <c r="AA78">
        <v>0</v>
      </c>
      <c r="AB78">
        <v>56.75</v>
      </c>
      <c r="AC78">
        <v>0</v>
      </c>
      <c r="AD78">
        <v>0</v>
      </c>
      <c r="AE78">
        <v>0</v>
      </c>
      <c r="AF78">
        <v>6.7</v>
      </c>
      <c r="AG78">
        <v>0</v>
      </c>
      <c r="AH78">
        <v>0</v>
      </c>
      <c r="AI78">
        <v>1</v>
      </c>
      <c r="AJ78">
        <v>8.4700000000000006</v>
      </c>
      <c r="AK78">
        <v>32.909999999999997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0.02</v>
      </c>
      <c r="AU78" t="s">
        <v>143</v>
      </c>
      <c r="AV78">
        <v>0</v>
      </c>
      <c r="AW78">
        <v>2</v>
      </c>
      <c r="AX78">
        <v>35683823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Y78*Source!I80</f>
        <v>5.0000000000000001E-4</v>
      </c>
      <c r="CY78">
        <f t="shared" si="12"/>
        <v>56.75</v>
      </c>
      <c r="CZ78">
        <f t="shared" si="13"/>
        <v>6.7</v>
      </c>
      <c r="DA78">
        <f t="shared" si="14"/>
        <v>8.4700000000000006</v>
      </c>
      <c r="DB78">
        <f t="shared" si="10"/>
        <v>0.16250000000000001</v>
      </c>
      <c r="DC78">
        <f t="shared" si="11"/>
        <v>0</v>
      </c>
    </row>
    <row r="79" spans="1:107">
      <c r="A79">
        <f>ROW(Source!A80)</f>
        <v>80</v>
      </c>
      <c r="B79">
        <v>35683522</v>
      </c>
      <c r="C79">
        <v>35683790</v>
      </c>
      <c r="D79">
        <v>29174500</v>
      </c>
      <c r="E79">
        <v>1</v>
      </c>
      <c r="F79">
        <v>1</v>
      </c>
      <c r="G79">
        <v>1</v>
      </c>
      <c r="H79">
        <v>2</v>
      </c>
      <c r="I79" t="s">
        <v>485</v>
      </c>
      <c r="J79" t="s">
        <v>486</v>
      </c>
      <c r="K79" t="s">
        <v>487</v>
      </c>
      <c r="L79">
        <v>1368</v>
      </c>
      <c r="N79">
        <v>1011</v>
      </c>
      <c r="O79" t="s">
        <v>343</v>
      </c>
      <c r="P79" t="s">
        <v>343</v>
      </c>
      <c r="Q79">
        <v>1</v>
      </c>
      <c r="W79">
        <v>0</v>
      </c>
      <c r="X79">
        <v>-239831557</v>
      </c>
      <c r="Y79">
        <v>3.0125000000000002</v>
      </c>
      <c r="AA79">
        <v>0</v>
      </c>
      <c r="AB79">
        <v>7.33</v>
      </c>
      <c r="AC79">
        <v>0</v>
      </c>
      <c r="AD79">
        <v>0</v>
      </c>
      <c r="AE79">
        <v>0</v>
      </c>
      <c r="AF79">
        <v>1.95</v>
      </c>
      <c r="AG79">
        <v>0</v>
      </c>
      <c r="AH79">
        <v>0</v>
      </c>
      <c r="AI79">
        <v>1</v>
      </c>
      <c r="AJ79">
        <v>3.76</v>
      </c>
      <c r="AK79">
        <v>32.909999999999997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</v>
      </c>
      <c r="AT79">
        <v>2.41</v>
      </c>
      <c r="AU79" t="s">
        <v>143</v>
      </c>
      <c r="AV79">
        <v>0</v>
      </c>
      <c r="AW79">
        <v>2</v>
      </c>
      <c r="AX79">
        <v>35683824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Y79*Source!I80</f>
        <v>6.0250000000000005E-2</v>
      </c>
      <c r="CY79">
        <f t="shared" si="12"/>
        <v>7.33</v>
      </c>
      <c r="CZ79">
        <f t="shared" si="13"/>
        <v>1.95</v>
      </c>
      <c r="DA79">
        <f t="shared" si="14"/>
        <v>3.76</v>
      </c>
      <c r="DB79">
        <f t="shared" si="10"/>
        <v>5.875</v>
      </c>
      <c r="DC79">
        <f t="shared" si="11"/>
        <v>0</v>
      </c>
    </row>
    <row r="80" spans="1:107">
      <c r="A80">
        <f>ROW(Source!A80)</f>
        <v>80</v>
      </c>
      <c r="B80">
        <v>35683522</v>
      </c>
      <c r="C80">
        <v>35683790</v>
      </c>
      <c r="D80">
        <v>29174913</v>
      </c>
      <c r="E80">
        <v>1</v>
      </c>
      <c r="F80">
        <v>1</v>
      </c>
      <c r="G80">
        <v>1</v>
      </c>
      <c r="H80">
        <v>2</v>
      </c>
      <c r="I80" t="s">
        <v>375</v>
      </c>
      <c r="J80" t="s">
        <v>488</v>
      </c>
      <c r="K80" t="s">
        <v>377</v>
      </c>
      <c r="L80">
        <v>1368</v>
      </c>
      <c r="N80">
        <v>1011</v>
      </c>
      <c r="O80" t="s">
        <v>343</v>
      </c>
      <c r="P80" t="s">
        <v>343</v>
      </c>
      <c r="Q80">
        <v>1</v>
      </c>
      <c r="W80">
        <v>0</v>
      </c>
      <c r="X80">
        <v>458544584</v>
      </c>
      <c r="Y80">
        <v>0.4</v>
      </c>
      <c r="AA80">
        <v>0</v>
      </c>
      <c r="AB80">
        <v>918.77</v>
      </c>
      <c r="AC80">
        <v>381.76</v>
      </c>
      <c r="AD80">
        <v>0</v>
      </c>
      <c r="AE80">
        <v>0</v>
      </c>
      <c r="AF80">
        <v>87.17</v>
      </c>
      <c r="AG80">
        <v>11.6</v>
      </c>
      <c r="AH80">
        <v>0</v>
      </c>
      <c r="AI80">
        <v>1</v>
      </c>
      <c r="AJ80">
        <v>10.54</v>
      </c>
      <c r="AK80">
        <v>32.909999999999997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0.32</v>
      </c>
      <c r="AU80" t="s">
        <v>143</v>
      </c>
      <c r="AV80">
        <v>0</v>
      </c>
      <c r="AW80">
        <v>2</v>
      </c>
      <c r="AX80">
        <v>35683825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Y80*Source!I80</f>
        <v>8.0000000000000002E-3</v>
      </c>
      <c r="CY80">
        <f t="shared" si="12"/>
        <v>918.77</v>
      </c>
      <c r="CZ80">
        <f t="shared" si="13"/>
        <v>87.17</v>
      </c>
      <c r="DA80">
        <f t="shared" si="14"/>
        <v>10.54</v>
      </c>
      <c r="DB80">
        <f t="shared" si="10"/>
        <v>34.862499999999997</v>
      </c>
      <c r="DC80">
        <f t="shared" si="11"/>
        <v>4.6375000000000002</v>
      </c>
    </row>
    <row r="81" spans="1:107">
      <c r="A81">
        <f>ROW(Source!A80)</f>
        <v>80</v>
      </c>
      <c r="B81">
        <v>35683522</v>
      </c>
      <c r="C81">
        <v>35683790</v>
      </c>
      <c r="D81">
        <v>29107906</v>
      </c>
      <c r="E81">
        <v>1</v>
      </c>
      <c r="F81">
        <v>1</v>
      </c>
      <c r="G81">
        <v>1</v>
      </c>
      <c r="H81">
        <v>3</v>
      </c>
      <c r="I81" t="s">
        <v>401</v>
      </c>
      <c r="J81" t="s">
        <v>489</v>
      </c>
      <c r="K81" t="s">
        <v>403</v>
      </c>
      <c r="L81">
        <v>1348</v>
      </c>
      <c r="N81">
        <v>1009</v>
      </c>
      <c r="O81" t="s">
        <v>43</v>
      </c>
      <c r="P81" t="s">
        <v>43</v>
      </c>
      <c r="Q81">
        <v>1000</v>
      </c>
      <c r="W81">
        <v>0</v>
      </c>
      <c r="X81">
        <v>1503255097</v>
      </c>
      <c r="Y81">
        <v>1.4999999999999999E-4</v>
      </c>
      <c r="AA81">
        <v>191774</v>
      </c>
      <c r="AB81">
        <v>0</v>
      </c>
      <c r="AC81">
        <v>0</v>
      </c>
      <c r="AD81">
        <v>0</v>
      </c>
      <c r="AE81">
        <v>37900</v>
      </c>
      <c r="AF81">
        <v>0</v>
      </c>
      <c r="AG81">
        <v>0</v>
      </c>
      <c r="AH81">
        <v>0</v>
      </c>
      <c r="AI81">
        <v>5.0599999999999996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1.4999999999999999E-4</v>
      </c>
      <c r="AU81" t="s">
        <v>3</v>
      </c>
      <c r="AV81">
        <v>0</v>
      </c>
      <c r="AW81">
        <v>2</v>
      </c>
      <c r="AX81">
        <v>35683826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Y81*Source!I80</f>
        <v>2.9999999999999997E-6</v>
      </c>
      <c r="CY81">
        <f t="shared" ref="CY81:CY93" si="15">AA81</f>
        <v>191774</v>
      </c>
      <c r="CZ81">
        <f t="shared" ref="CZ81:CZ93" si="16">AE81</f>
        <v>37900</v>
      </c>
      <c r="DA81">
        <f t="shared" ref="DA81:DA93" si="17">AI81</f>
        <v>5.0599999999999996</v>
      </c>
      <c r="DB81">
        <f t="shared" ref="DB81:DB93" si="18">ROUND(ROUND(AT81*CZ81,2),6)</f>
        <v>5.69</v>
      </c>
      <c r="DC81">
        <f t="shared" ref="DC81:DC93" si="19">ROUND(ROUND(AT81*AG81,2),6)</f>
        <v>0</v>
      </c>
    </row>
    <row r="82" spans="1:107">
      <c r="A82">
        <f>ROW(Source!A80)</f>
        <v>80</v>
      </c>
      <c r="B82">
        <v>35683522</v>
      </c>
      <c r="C82">
        <v>35683790</v>
      </c>
      <c r="D82">
        <v>29107441</v>
      </c>
      <c r="E82">
        <v>1</v>
      </c>
      <c r="F82">
        <v>1</v>
      </c>
      <c r="G82">
        <v>1</v>
      </c>
      <c r="H82">
        <v>3</v>
      </c>
      <c r="I82" t="s">
        <v>404</v>
      </c>
      <c r="J82" t="s">
        <v>490</v>
      </c>
      <c r="K82" t="s">
        <v>406</v>
      </c>
      <c r="L82">
        <v>1339</v>
      </c>
      <c r="N82">
        <v>1007</v>
      </c>
      <c r="O82" t="s">
        <v>350</v>
      </c>
      <c r="P82" t="s">
        <v>350</v>
      </c>
      <c r="Q82">
        <v>1</v>
      </c>
      <c r="W82">
        <v>0</v>
      </c>
      <c r="X82">
        <v>1086220539</v>
      </c>
      <c r="Y82">
        <v>1.4</v>
      </c>
      <c r="AA82">
        <v>54.76</v>
      </c>
      <c r="AB82">
        <v>0</v>
      </c>
      <c r="AC82">
        <v>0</v>
      </c>
      <c r="AD82">
        <v>0</v>
      </c>
      <c r="AE82">
        <v>6.23</v>
      </c>
      <c r="AF82">
        <v>0</v>
      </c>
      <c r="AG82">
        <v>0</v>
      </c>
      <c r="AH82">
        <v>0</v>
      </c>
      <c r="AI82">
        <v>8.7899999999999991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1.4</v>
      </c>
      <c r="AU82" t="s">
        <v>3</v>
      </c>
      <c r="AV82">
        <v>0</v>
      </c>
      <c r="AW82">
        <v>2</v>
      </c>
      <c r="AX82">
        <v>35683827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Y82*Source!I80</f>
        <v>2.7999999999999997E-2</v>
      </c>
      <c r="CY82">
        <f t="shared" si="15"/>
        <v>54.76</v>
      </c>
      <c r="CZ82">
        <f t="shared" si="16"/>
        <v>6.23</v>
      </c>
      <c r="DA82">
        <f t="shared" si="17"/>
        <v>8.7899999999999991</v>
      </c>
      <c r="DB82">
        <f t="shared" si="18"/>
        <v>8.7200000000000006</v>
      </c>
      <c r="DC82">
        <f t="shared" si="19"/>
        <v>0</v>
      </c>
    </row>
    <row r="83" spans="1:107">
      <c r="A83">
        <f>ROW(Source!A80)</f>
        <v>80</v>
      </c>
      <c r="B83">
        <v>35683522</v>
      </c>
      <c r="C83">
        <v>35683790</v>
      </c>
      <c r="D83">
        <v>29113598</v>
      </c>
      <c r="E83">
        <v>1</v>
      </c>
      <c r="F83">
        <v>1</v>
      </c>
      <c r="G83">
        <v>1</v>
      </c>
      <c r="H83">
        <v>3</v>
      </c>
      <c r="I83" t="s">
        <v>407</v>
      </c>
      <c r="J83" t="s">
        <v>491</v>
      </c>
      <c r="K83" t="s">
        <v>409</v>
      </c>
      <c r="L83">
        <v>1348</v>
      </c>
      <c r="N83">
        <v>1009</v>
      </c>
      <c r="O83" t="s">
        <v>43</v>
      </c>
      <c r="P83" t="s">
        <v>43</v>
      </c>
      <c r="Q83">
        <v>1000</v>
      </c>
      <c r="W83">
        <v>0</v>
      </c>
      <c r="X83">
        <v>-18179437</v>
      </c>
      <c r="Y83">
        <v>4.0000000000000003E-5</v>
      </c>
      <c r="AA83">
        <v>32612.06</v>
      </c>
      <c r="AB83">
        <v>0</v>
      </c>
      <c r="AC83">
        <v>0</v>
      </c>
      <c r="AD83">
        <v>0</v>
      </c>
      <c r="AE83">
        <v>4455.2</v>
      </c>
      <c r="AF83">
        <v>0</v>
      </c>
      <c r="AG83">
        <v>0</v>
      </c>
      <c r="AH83">
        <v>0</v>
      </c>
      <c r="AI83">
        <v>7.32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4.0000000000000003E-5</v>
      </c>
      <c r="AU83" t="s">
        <v>3</v>
      </c>
      <c r="AV83">
        <v>0</v>
      </c>
      <c r="AW83">
        <v>2</v>
      </c>
      <c r="AX83">
        <v>35683828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Y83*Source!I80</f>
        <v>8.0000000000000007E-7</v>
      </c>
      <c r="CY83">
        <f t="shared" si="15"/>
        <v>32612.06</v>
      </c>
      <c r="CZ83">
        <f t="shared" si="16"/>
        <v>4455.2</v>
      </c>
      <c r="DA83">
        <f t="shared" si="17"/>
        <v>7.32</v>
      </c>
      <c r="DB83">
        <f t="shared" si="18"/>
        <v>0.18</v>
      </c>
      <c r="DC83">
        <f t="shared" si="19"/>
        <v>0</v>
      </c>
    </row>
    <row r="84" spans="1:107">
      <c r="A84">
        <f>ROW(Source!A80)</f>
        <v>80</v>
      </c>
      <c r="B84">
        <v>35683522</v>
      </c>
      <c r="C84">
        <v>35683790</v>
      </c>
      <c r="D84">
        <v>29113797</v>
      </c>
      <c r="E84">
        <v>1</v>
      </c>
      <c r="F84">
        <v>1</v>
      </c>
      <c r="G84">
        <v>1</v>
      </c>
      <c r="H84">
        <v>3</v>
      </c>
      <c r="I84" t="s">
        <v>410</v>
      </c>
      <c r="J84" t="s">
        <v>492</v>
      </c>
      <c r="K84" t="s">
        <v>412</v>
      </c>
      <c r="L84">
        <v>1348</v>
      </c>
      <c r="N84">
        <v>1009</v>
      </c>
      <c r="O84" t="s">
        <v>43</v>
      </c>
      <c r="P84" t="s">
        <v>43</v>
      </c>
      <c r="Q84">
        <v>1000</v>
      </c>
      <c r="W84">
        <v>0</v>
      </c>
      <c r="X84">
        <v>-1732621387</v>
      </c>
      <c r="Y84">
        <v>2.97E-3</v>
      </c>
      <c r="AA84">
        <v>98301.6</v>
      </c>
      <c r="AB84">
        <v>0</v>
      </c>
      <c r="AC84">
        <v>0</v>
      </c>
      <c r="AD84">
        <v>0</v>
      </c>
      <c r="AE84">
        <v>4920</v>
      </c>
      <c r="AF84">
        <v>0</v>
      </c>
      <c r="AG84">
        <v>0</v>
      </c>
      <c r="AH84">
        <v>0</v>
      </c>
      <c r="AI84">
        <v>19.98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2.97E-3</v>
      </c>
      <c r="AU84" t="s">
        <v>3</v>
      </c>
      <c r="AV84">
        <v>0</v>
      </c>
      <c r="AW84">
        <v>2</v>
      </c>
      <c r="AX84">
        <v>35683829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Y84*Source!I80</f>
        <v>5.94E-5</v>
      </c>
      <c r="CY84">
        <f t="shared" si="15"/>
        <v>98301.6</v>
      </c>
      <c r="CZ84">
        <f t="shared" si="16"/>
        <v>4920</v>
      </c>
      <c r="DA84">
        <f t="shared" si="17"/>
        <v>19.98</v>
      </c>
      <c r="DB84">
        <f t="shared" si="18"/>
        <v>14.61</v>
      </c>
      <c r="DC84">
        <f t="shared" si="19"/>
        <v>0</v>
      </c>
    </row>
    <row r="85" spans="1:107">
      <c r="A85">
        <f>ROW(Source!A80)</f>
        <v>80</v>
      </c>
      <c r="B85">
        <v>35683522</v>
      </c>
      <c r="C85">
        <v>35683790</v>
      </c>
      <c r="D85">
        <v>29113979</v>
      </c>
      <c r="E85">
        <v>1</v>
      </c>
      <c r="F85">
        <v>1</v>
      </c>
      <c r="G85">
        <v>1</v>
      </c>
      <c r="H85">
        <v>3</v>
      </c>
      <c r="I85" t="s">
        <v>413</v>
      </c>
      <c r="J85" t="s">
        <v>493</v>
      </c>
      <c r="K85" t="s">
        <v>415</v>
      </c>
      <c r="L85">
        <v>1348</v>
      </c>
      <c r="N85">
        <v>1009</v>
      </c>
      <c r="O85" t="s">
        <v>43</v>
      </c>
      <c r="P85" t="s">
        <v>43</v>
      </c>
      <c r="Q85">
        <v>1000</v>
      </c>
      <c r="W85">
        <v>0</v>
      </c>
      <c r="X85">
        <v>1352318502</v>
      </c>
      <c r="Y85">
        <v>6.0999999999999997E-4</v>
      </c>
      <c r="AA85">
        <v>89992.41</v>
      </c>
      <c r="AB85">
        <v>0</v>
      </c>
      <c r="AC85">
        <v>0</v>
      </c>
      <c r="AD85">
        <v>0</v>
      </c>
      <c r="AE85">
        <v>9749.99</v>
      </c>
      <c r="AF85">
        <v>0</v>
      </c>
      <c r="AG85">
        <v>0</v>
      </c>
      <c r="AH85">
        <v>0</v>
      </c>
      <c r="AI85">
        <v>9.23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6.0999999999999997E-4</v>
      </c>
      <c r="AU85" t="s">
        <v>3</v>
      </c>
      <c r="AV85">
        <v>0</v>
      </c>
      <c r="AW85">
        <v>2</v>
      </c>
      <c r="AX85">
        <v>35683830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Y85*Source!I80</f>
        <v>1.22E-5</v>
      </c>
      <c r="CY85">
        <f t="shared" si="15"/>
        <v>89992.41</v>
      </c>
      <c r="CZ85">
        <f t="shared" si="16"/>
        <v>9749.99</v>
      </c>
      <c r="DA85">
        <f t="shared" si="17"/>
        <v>9.23</v>
      </c>
      <c r="DB85">
        <f t="shared" si="18"/>
        <v>5.95</v>
      </c>
      <c r="DC85">
        <f t="shared" si="19"/>
        <v>0</v>
      </c>
    </row>
    <row r="86" spans="1:107">
      <c r="A86">
        <f>ROW(Source!A80)</f>
        <v>80</v>
      </c>
      <c r="B86">
        <v>35683522</v>
      </c>
      <c r="C86">
        <v>35683790</v>
      </c>
      <c r="D86">
        <v>29114247</v>
      </c>
      <c r="E86">
        <v>1</v>
      </c>
      <c r="F86">
        <v>1</v>
      </c>
      <c r="G86">
        <v>1</v>
      </c>
      <c r="H86">
        <v>3</v>
      </c>
      <c r="I86" t="s">
        <v>416</v>
      </c>
      <c r="J86" t="s">
        <v>494</v>
      </c>
      <c r="K86" t="s">
        <v>418</v>
      </c>
      <c r="L86">
        <v>1348</v>
      </c>
      <c r="N86">
        <v>1009</v>
      </c>
      <c r="O86" t="s">
        <v>43</v>
      </c>
      <c r="P86" t="s">
        <v>43</v>
      </c>
      <c r="Q86">
        <v>1000</v>
      </c>
      <c r="W86">
        <v>0</v>
      </c>
      <c r="X86">
        <v>-2116060276</v>
      </c>
      <c r="Y86">
        <v>2.2000000000000001E-3</v>
      </c>
      <c r="AA86">
        <v>83077.69</v>
      </c>
      <c r="AB86">
        <v>0</v>
      </c>
      <c r="AC86">
        <v>0</v>
      </c>
      <c r="AD86">
        <v>0</v>
      </c>
      <c r="AE86">
        <v>9040.01</v>
      </c>
      <c r="AF86">
        <v>0</v>
      </c>
      <c r="AG86">
        <v>0</v>
      </c>
      <c r="AH86">
        <v>0</v>
      </c>
      <c r="AI86">
        <v>9.19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2.2000000000000001E-3</v>
      </c>
      <c r="AU86" t="s">
        <v>3</v>
      </c>
      <c r="AV86">
        <v>0</v>
      </c>
      <c r="AW86">
        <v>2</v>
      </c>
      <c r="AX86">
        <v>35683831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Y86*Source!I80</f>
        <v>4.4000000000000006E-5</v>
      </c>
      <c r="CY86">
        <f t="shared" si="15"/>
        <v>83077.69</v>
      </c>
      <c r="CZ86">
        <f t="shared" si="16"/>
        <v>9040.01</v>
      </c>
      <c r="DA86">
        <f t="shared" si="17"/>
        <v>9.19</v>
      </c>
      <c r="DB86">
        <f t="shared" si="18"/>
        <v>19.89</v>
      </c>
      <c r="DC86">
        <f t="shared" si="19"/>
        <v>0</v>
      </c>
    </row>
    <row r="87" spans="1:107">
      <c r="A87">
        <f>ROW(Source!A80)</f>
        <v>80</v>
      </c>
      <c r="B87">
        <v>35683522</v>
      </c>
      <c r="C87">
        <v>35683790</v>
      </c>
      <c r="D87">
        <v>29107444</v>
      </c>
      <c r="E87">
        <v>1</v>
      </c>
      <c r="F87">
        <v>1</v>
      </c>
      <c r="G87">
        <v>1</v>
      </c>
      <c r="H87">
        <v>3</v>
      </c>
      <c r="I87" t="s">
        <v>422</v>
      </c>
      <c r="J87" t="s">
        <v>495</v>
      </c>
      <c r="K87" t="s">
        <v>424</v>
      </c>
      <c r="L87">
        <v>1346</v>
      </c>
      <c r="N87">
        <v>1009</v>
      </c>
      <c r="O87" t="s">
        <v>425</v>
      </c>
      <c r="P87" t="s">
        <v>425</v>
      </c>
      <c r="Q87">
        <v>1</v>
      </c>
      <c r="W87">
        <v>0</v>
      </c>
      <c r="X87">
        <v>-1984574147</v>
      </c>
      <c r="Y87">
        <v>0.42</v>
      </c>
      <c r="AA87">
        <v>55.48</v>
      </c>
      <c r="AB87">
        <v>0</v>
      </c>
      <c r="AC87">
        <v>0</v>
      </c>
      <c r="AD87">
        <v>0</v>
      </c>
      <c r="AE87">
        <v>6.09</v>
      </c>
      <c r="AF87">
        <v>0</v>
      </c>
      <c r="AG87">
        <v>0</v>
      </c>
      <c r="AH87">
        <v>0</v>
      </c>
      <c r="AI87">
        <v>9.11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0.42</v>
      </c>
      <c r="AU87" t="s">
        <v>3</v>
      </c>
      <c r="AV87">
        <v>0</v>
      </c>
      <c r="AW87">
        <v>2</v>
      </c>
      <c r="AX87">
        <v>35683832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Y87*Source!I80</f>
        <v>8.3999999999999995E-3</v>
      </c>
      <c r="CY87">
        <f t="shared" si="15"/>
        <v>55.48</v>
      </c>
      <c r="CZ87">
        <f t="shared" si="16"/>
        <v>6.09</v>
      </c>
      <c r="DA87">
        <f t="shared" si="17"/>
        <v>9.11</v>
      </c>
      <c r="DB87">
        <f t="shared" si="18"/>
        <v>2.56</v>
      </c>
      <c r="DC87">
        <f t="shared" si="19"/>
        <v>0</v>
      </c>
    </row>
    <row r="88" spans="1:107">
      <c r="A88">
        <f>ROW(Source!A80)</f>
        <v>80</v>
      </c>
      <c r="B88">
        <v>35683522</v>
      </c>
      <c r="C88">
        <v>35683790</v>
      </c>
      <c r="D88">
        <v>29110606</v>
      </c>
      <c r="E88">
        <v>1</v>
      </c>
      <c r="F88">
        <v>1</v>
      </c>
      <c r="G88">
        <v>1</v>
      </c>
      <c r="H88">
        <v>3</v>
      </c>
      <c r="I88" t="s">
        <v>426</v>
      </c>
      <c r="J88" t="s">
        <v>496</v>
      </c>
      <c r="K88" t="s">
        <v>428</v>
      </c>
      <c r="L88">
        <v>1348</v>
      </c>
      <c r="N88">
        <v>1009</v>
      </c>
      <c r="O88" t="s">
        <v>43</v>
      </c>
      <c r="P88" t="s">
        <v>43</v>
      </c>
      <c r="Q88">
        <v>1000</v>
      </c>
      <c r="W88">
        <v>0</v>
      </c>
      <c r="X88">
        <v>-1672330871</v>
      </c>
      <c r="Y88">
        <v>9.0000000000000006E-5</v>
      </c>
      <c r="AA88">
        <v>85910.399999999994</v>
      </c>
      <c r="AB88">
        <v>0</v>
      </c>
      <c r="AC88">
        <v>0</v>
      </c>
      <c r="AD88">
        <v>0</v>
      </c>
      <c r="AE88">
        <v>9420</v>
      </c>
      <c r="AF88">
        <v>0</v>
      </c>
      <c r="AG88">
        <v>0</v>
      </c>
      <c r="AH88">
        <v>0</v>
      </c>
      <c r="AI88">
        <v>9.1199999999999992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9.0000000000000006E-5</v>
      </c>
      <c r="AU88" t="s">
        <v>3</v>
      </c>
      <c r="AV88">
        <v>0</v>
      </c>
      <c r="AW88">
        <v>2</v>
      </c>
      <c r="AX88">
        <v>35683833</v>
      </c>
      <c r="AY88">
        <v>1</v>
      </c>
      <c r="AZ88">
        <v>0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Y88*Source!I80</f>
        <v>1.8000000000000001E-6</v>
      </c>
      <c r="CY88">
        <f t="shared" si="15"/>
        <v>85910.399999999994</v>
      </c>
      <c r="CZ88">
        <f t="shared" si="16"/>
        <v>9420</v>
      </c>
      <c r="DA88">
        <f t="shared" si="17"/>
        <v>9.1199999999999992</v>
      </c>
      <c r="DB88">
        <f t="shared" si="18"/>
        <v>0.85</v>
      </c>
      <c r="DC88">
        <f t="shared" si="19"/>
        <v>0</v>
      </c>
    </row>
    <row r="89" spans="1:107">
      <c r="A89">
        <f>ROW(Source!A80)</f>
        <v>80</v>
      </c>
      <c r="B89">
        <v>35683522</v>
      </c>
      <c r="C89">
        <v>35683790</v>
      </c>
      <c r="D89">
        <v>29115467</v>
      </c>
      <c r="E89">
        <v>1</v>
      </c>
      <c r="F89">
        <v>1</v>
      </c>
      <c r="G89">
        <v>1</v>
      </c>
      <c r="H89">
        <v>3</v>
      </c>
      <c r="I89" t="s">
        <v>429</v>
      </c>
      <c r="J89" t="s">
        <v>497</v>
      </c>
      <c r="K89" t="s">
        <v>431</v>
      </c>
      <c r="L89">
        <v>1339</v>
      </c>
      <c r="N89">
        <v>1007</v>
      </c>
      <c r="O89" t="s">
        <v>350</v>
      </c>
      <c r="P89" t="s">
        <v>350</v>
      </c>
      <c r="Q89">
        <v>1</v>
      </c>
      <c r="W89">
        <v>0</v>
      </c>
      <c r="X89">
        <v>501780071</v>
      </c>
      <c r="Y89">
        <v>1.2999999999999999E-3</v>
      </c>
      <c r="AA89">
        <v>8397.9500000000007</v>
      </c>
      <c r="AB89">
        <v>0</v>
      </c>
      <c r="AC89">
        <v>0</v>
      </c>
      <c r="AD89">
        <v>0</v>
      </c>
      <c r="AE89">
        <v>1699.99</v>
      </c>
      <c r="AF89">
        <v>0</v>
      </c>
      <c r="AG89">
        <v>0</v>
      </c>
      <c r="AH89">
        <v>0</v>
      </c>
      <c r="AI89">
        <v>4.9400000000000004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1.2999999999999999E-3</v>
      </c>
      <c r="AU89" t="s">
        <v>3</v>
      </c>
      <c r="AV89">
        <v>0</v>
      </c>
      <c r="AW89">
        <v>2</v>
      </c>
      <c r="AX89">
        <v>35683836</v>
      </c>
      <c r="AY89">
        <v>1</v>
      </c>
      <c r="AZ89">
        <v>0</v>
      </c>
      <c r="BA89">
        <v>91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Y89*Source!I80</f>
        <v>2.5999999999999998E-5</v>
      </c>
      <c r="CY89">
        <f t="shared" si="15"/>
        <v>8397.9500000000007</v>
      </c>
      <c r="CZ89">
        <f t="shared" si="16"/>
        <v>1699.99</v>
      </c>
      <c r="DA89">
        <f t="shared" si="17"/>
        <v>4.9400000000000004</v>
      </c>
      <c r="DB89">
        <f t="shared" si="18"/>
        <v>2.21</v>
      </c>
      <c r="DC89">
        <f t="shared" si="19"/>
        <v>0</v>
      </c>
    </row>
    <row r="90" spans="1:107">
      <c r="A90">
        <f>ROW(Source!A80)</f>
        <v>80</v>
      </c>
      <c r="B90">
        <v>35683522</v>
      </c>
      <c r="C90">
        <v>35683790</v>
      </c>
      <c r="D90">
        <v>29122102</v>
      </c>
      <c r="E90">
        <v>1</v>
      </c>
      <c r="F90">
        <v>1</v>
      </c>
      <c r="G90">
        <v>1</v>
      </c>
      <c r="H90">
        <v>3</v>
      </c>
      <c r="I90" t="s">
        <v>432</v>
      </c>
      <c r="J90" t="s">
        <v>498</v>
      </c>
      <c r="K90" t="s">
        <v>434</v>
      </c>
      <c r="L90">
        <v>1348</v>
      </c>
      <c r="N90">
        <v>1009</v>
      </c>
      <c r="O90" t="s">
        <v>43</v>
      </c>
      <c r="P90" t="s">
        <v>43</v>
      </c>
      <c r="Q90">
        <v>1000</v>
      </c>
      <c r="W90">
        <v>0</v>
      </c>
      <c r="X90">
        <v>191355920</v>
      </c>
      <c r="Y90">
        <v>4.6999999999999999E-4</v>
      </c>
      <c r="AA90">
        <v>47641</v>
      </c>
      <c r="AB90">
        <v>0</v>
      </c>
      <c r="AC90">
        <v>0</v>
      </c>
      <c r="AD90">
        <v>0</v>
      </c>
      <c r="AE90">
        <v>15620</v>
      </c>
      <c r="AF90">
        <v>0</v>
      </c>
      <c r="AG90">
        <v>0</v>
      </c>
      <c r="AH90">
        <v>0</v>
      </c>
      <c r="AI90">
        <v>3.05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4.6999999999999999E-4</v>
      </c>
      <c r="AU90" t="s">
        <v>3</v>
      </c>
      <c r="AV90">
        <v>0</v>
      </c>
      <c r="AW90">
        <v>2</v>
      </c>
      <c r="AX90">
        <v>35683837</v>
      </c>
      <c r="AY90">
        <v>1</v>
      </c>
      <c r="AZ90">
        <v>0</v>
      </c>
      <c r="BA90">
        <v>92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Y90*Source!I80</f>
        <v>9.3999999999999998E-6</v>
      </c>
      <c r="CY90">
        <f t="shared" si="15"/>
        <v>47641</v>
      </c>
      <c r="CZ90">
        <f t="shared" si="16"/>
        <v>15620</v>
      </c>
      <c r="DA90">
        <f t="shared" si="17"/>
        <v>3.05</v>
      </c>
      <c r="DB90">
        <f t="shared" si="18"/>
        <v>7.34</v>
      </c>
      <c r="DC90">
        <f t="shared" si="19"/>
        <v>0</v>
      </c>
    </row>
    <row r="91" spans="1:107">
      <c r="A91">
        <f>ROW(Source!A80)</f>
        <v>80</v>
      </c>
      <c r="B91">
        <v>35683522</v>
      </c>
      <c r="C91">
        <v>35683790</v>
      </c>
      <c r="D91">
        <v>29129276</v>
      </c>
      <c r="E91">
        <v>1</v>
      </c>
      <c r="F91">
        <v>1</v>
      </c>
      <c r="G91">
        <v>1</v>
      </c>
      <c r="H91">
        <v>3</v>
      </c>
      <c r="I91" t="s">
        <v>435</v>
      </c>
      <c r="J91" t="s">
        <v>499</v>
      </c>
      <c r="K91" t="s">
        <v>437</v>
      </c>
      <c r="L91">
        <v>1348</v>
      </c>
      <c r="N91">
        <v>1009</v>
      </c>
      <c r="O91" t="s">
        <v>43</v>
      </c>
      <c r="P91" t="s">
        <v>43</v>
      </c>
      <c r="Q91">
        <v>1000</v>
      </c>
      <c r="W91">
        <v>0</v>
      </c>
      <c r="X91">
        <v>1896961303</v>
      </c>
      <c r="Y91">
        <v>1.0999999999999999E-2</v>
      </c>
      <c r="AA91">
        <v>77582.720000000001</v>
      </c>
      <c r="AB91">
        <v>0</v>
      </c>
      <c r="AC91">
        <v>0</v>
      </c>
      <c r="AD91">
        <v>0</v>
      </c>
      <c r="AE91">
        <v>7712</v>
      </c>
      <c r="AF91">
        <v>0</v>
      </c>
      <c r="AG91">
        <v>0</v>
      </c>
      <c r="AH91">
        <v>0</v>
      </c>
      <c r="AI91">
        <v>10.06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1.0999999999999999E-2</v>
      </c>
      <c r="AU91" t="s">
        <v>3</v>
      </c>
      <c r="AV91">
        <v>0</v>
      </c>
      <c r="AW91">
        <v>2</v>
      </c>
      <c r="AX91">
        <v>35683838</v>
      </c>
      <c r="AY91">
        <v>1</v>
      </c>
      <c r="AZ91">
        <v>0</v>
      </c>
      <c r="BA91">
        <v>93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Y91*Source!I80</f>
        <v>2.1999999999999998E-4</v>
      </c>
      <c r="CY91">
        <f t="shared" si="15"/>
        <v>77582.720000000001</v>
      </c>
      <c r="CZ91">
        <f t="shared" si="16"/>
        <v>7712</v>
      </c>
      <c r="DA91">
        <f t="shared" si="17"/>
        <v>10.06</v>
      </c>
      <c r="DB91">
        <f t="shared" si="18"/>
        <v>84.83</v>
      </c>
      <c r="DC91">
        <f t="shared" si="19"/>
        <v>0</v>
      </c>
    </row>
    <row r="92" spans="1:107">
      <c r="A92">
        <f>ROW(Source!A80)</f>
        <v>80</v>
      </c>
      <c r="B92">
        <v>35683522</v>
      </c>
      <c r="C92">
        <v>35683790</v>
      </c>
      <c r="D92">
        <v>29162764</v>
      </c>
      <c r="E92">
        <v>1</v>
      </c>
      <c r="F92">
        <v>1</v>
      </c>
      <c r="G92">
        <v>1</v>
      </c>
      <c r="H92">
        <v>3</v>
      </c>
      <c r="I92" t="s">
        <v>438</v>
      </c>
      <c r="J92" t="s">
        <v>500</v>
      </c>
      <c r="K92" t="s">
        <v>440</v>
      </c>
      <c r="L92">
        <v>1302</v>
      </c>
      <c r="N92">
        <v>1003</v>
      </c>
      <c r="O92" t="s">
        <v>441</v>
      </c>
      <c r="P92" t="s">
        <v>441</v>
      </c>
      <c r="Q92">
        <v>10</v>
      </c>
      <c r="W92">
        <v>0</v>
      </c>
      <c r="X92">
        <v>-74884692</v>
      </c>
      <c r="Y92">
        <v>1.6E-2</v>
      </c>
      <c r="AA92">
        <v>386.05</v>
      </c>
      <c r="AB92">
        <v>0</v>
      </c>
      <c r="AC92">
        <v>0</v>
      </c>
      <c r="AD92">
        <v>0</v>
      </c>
      <c r="AE92">
        <v>71.489999999999995</v>
      </c>
      <c r="AF92">
        <v>0</v>
      </c>
      <c r="AG92">
        <v>0</v>
      </c>
      <c r="AH92">
        <v>0</v>
      </c>
      <c r="AI92">
        <v>5.4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1.6E-2</v>
      </c>
      <c r="AU92" t="s">
        <v>3</v>
      </c>
      <c r="AV92">
        <v>0</v>
      </c>
      <c r="AW92">
        <v>2</v>
      </c>
      <c r="AX92">
        <v>35683839</v>
      </c>
      <c r="AY92">
        <v>1</v>
      </c>
      <c r="AZ92">
        <v>0</v>
      </c>
      <c r="BA92">
        <v>94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Y92*Source!I80</f>
        <v>3.2000000000000003E-4</v>
      </c>
      <c r="CY92">
        <f t="shared" si="15"/>
        <v>386.05</v>
      </c>
      <c r="CZ92">
        <f t="shared" si="16"/>
        <v>71.489999999999995</v>
      </c>
      <c r="DA92">
        <f t="shared" si="17"/>
        <v>5.4</v>
      </c>
      <c r="DB92">
        <f t="shared" si="18"/>
        <v>1.1399999999999999</v>
      </c>
      <c r="DC92">
        <f t="shared" si="19"/>
        <v>0</v>
      </c>
    </row>
    <row r="93" spans="1:107">
      <c r="A93">
        <f>ROW(Source!A80)</f>
        <v>80</v>
      </c>
      <c r="B93">
        <v>35683522</v>
      </c>
      <c r="C93">
        <v>35683790</v>
      </c>
      <c r="D93">
        <v>0</v>
      </c>
      <c r="E93">
        <v>1</v>
      </c>
      <c r="F93">
        <v>1</v>
      </c>
      <c r="G93">
        <v>1</v>
      </c>
      <c r="H93">
        <v>3</v>
      </c>
      <c r="I93" t="s">
        <v>168</v>
      </c>
      <c r="J93" t="s">
        <v>3</v>
      </c>
      <c r="K93" t="s">
        <v>169</v>
      </c>
      <c r="L93">
        <v>688405</v>
      </c>
      <c r="N93">
        <v>1005</v>
      </c>
      <c r="O93" t="s">
        <v>170</v>
      </c>
      <c r="P93" t="s">
        <v>171</v>
      </c>
      <c r="Q93">
        <v>1</v>
      </c>
      <c r="W93">
        <v>0</v>
      </c>
      <c r="X93">
        <v>2120758438</v>
      </c>
      <c r="Y93">
        <v>150</v>
      </c>
      <c r="AA93">
        <v>554.66999999999996</v>
      </c>
      <c r="AB93">
        <v>0</v>
      </c>
      <c r="AC93">
        <v>0</v>
      </c>
      <c r="AD93">
        <v>0</v>
      </c>
      <c r="AE93">
        <v>554.66999999999996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0</v>
      </c>
      <c r="AP93">
        <v>0</v>
      </c>
      <c r="AQ93">
        <v>0</v>
      </c>
      <c r="AR93">
        <v>0</v>
      </c>
      <c r="AS93" t="s">
        <v>3</v>
      </c>
      <c r="AT93">
        <v>150</v>
      </c>
      <c r="AU93" t="s">
        <v>3</v>
      </c>
      <c r="AV93">
        <v>0</v>
      </c>
      <c r="AW93">
        <v>1</v>
      </c>
      <c r="AX93">
        <v>-1</v>
      </c>
      <c r="AY93">
        <v>0</v>
      </c>
      <c r="AZ93">
        <v>0</v>
      </c>
      <c r="BA93" t="s">
        <v>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Y93*Source!I80</f>
        <v>3</v>
      </c>
      <c r="CY93">
        <f t="shared" si="15"/>
        <v>554.66999999999996</v>
      </c>
      <c r="CZ93">
        <f t="shared" si="16"/>
        <v>554.66999999999996</v>
      </c>
      <c r="DA93">
        <f t="shared" si="17"/>
        <v>1</v>
      </c>
      <c r="DB93">
        <f t="shared" si="18"/>
        <v>83200.5</v>
      </c>
      <c r="DC93">
        <f t="shared" si="19"/>
        <v>0</v>
      </c>
    </row>
    <row r="94" spans="1:107">
      <c r="A94">
        <f>ROW(Source!A82)</f>
        <v>82</v>
      </c>
      <c r="B94">
        <v>35683522</v>
      </c>
      <c r="C94">
        <v>36361775</v>
      </c>
      <c r="D94">
        <v>18413593</v>
      </c>
      <c r="E94">
        <v>1</v>
      </c>
      <c r="F94">
        <v>1</v>
      </c>
      <c r="G94">
        <v>1</v>
      </c>
      <c r="H94">
        <v>1</v>
      </c>
      <c r="I94" t="s">
        <v>501</v>
      </c>
      <c r="J94" t="s">
        <v>3</v>
      </c>
      <c r="K94" t="s">
        <v>502</v>
      </c>
      <c r="L94">
        <v>1369</v>
      </c>
      <c r="N94">
        <v>1013</v>
      </c>
      <c r="O94" t="s">
        <v>339</v>
      </c>
      <c r="P94" t="s">
        <v>339</v>
      </c>
      <c r="Q94">
        <v>1</v>
      </c>
      <c r="W94">
        <v>0</v>
      </c>
      <c r="X94">
        <v>770741471</v>
      </c>
      <c r="Y94">
        <v>3.1969999999999996</v>
      </c>
      <c r="AA94">
        <v>0</v>
      </c>
      <c r="AB94">
        <v>0</v>
      </c>
      <c r="AC94">
        <v>0</v>
      </c>
      <c r="AD94">
        <v>328.46</v>
      </c>
      <c r="AE94">
        <v>0</v>
      </c>
      <c r="AF94">
        <v>0</v>
      </c>
      <c r="AG94">
        <v>0</v>
      </c>
      <c r="AH94">
        <v>328.46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2.78</v>
      </c>
      <c r="AU94" t="s">
        <v>144</v>
      </c>
      <c r="AV94">
        <v>1</v>
      </c>
      <c r="AW94">
        <v>2</v>
      </c>
      <c r="AX94">
        <v>36361776</v>
      </c>
      <c r="AY94">
        <v>1</v>
      </c>
      <c r="AZ94">
        <v>0</v>
      </c>
      <c r="BA94">
        <v>95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Y94*Source!I82</f>
        <v>9.5909999999999993</v>
      </c>
      <c r="CY94">
        <f>AD94</f>
        <v>328.46</v>
      </c>
      <c r="CZ94">
        <f>AH94</f>
        <v>328.46</v>
      </c>
      <c r="DA94">
        <f>AL94</f>
        <v>1</v>
      </c>
      <c r="DB94">
        <f>ROUND((ROUND(AT94*CZ94,2)*1.15),6)</f>
        <v>1050.088</v>
      </c>
      <c r="DC94">
        <f>ROUND((ROUND(AT94*AG94,2)*1.15),6)</f>
        <v>0</v>
      </c>
    </row>
    <row r="95" spans="1:107">
      <c r="A95">
        <f>ROW(Source!A82)</f>
        <v>82</v>
      </c>
      <c r="B95">
        <v>35683522</v>
      </c>
      <c r="C95">
        <v>36361775</v>
      </c>
      <c r="D95">
        <v>29172657</v>
      </c>
      <c r="E95">
        <v>1</v>
      </c>
      <c r="F95">
        <v>1</v>
      </c>
      <c r="G95">
        <v>1</v>
      </c>
      <c r="H95">
        <v>2</v>
      </c>
      <c r="I95" t="s">
        <v>372</v>
      </c>
      <c r="J95" t="s">
        <v>373</v>
      </c>
      <c r="K95" t="s">
        <v>374</v>
      </c>
      <c r="L95">
        <v>1368</v>
      </c>
      <c r="N95">
        <v>1011</v>
      </c>
      <c r="O95" t="s">
        <v>343</v>
      </c>
      <c r="P95" t="s">
        <v>343</v>
      </c>
      <c r="Q95">
        <v>1</v>
      </c>
      <c r="W95">
        <v>0</v>
      </c>
      <c r="X95">
        <v>1474986261</v>
      </c>
      <c r="Y95">
        <v>0.91249999999999998</v>
      </c>
      <c r="AA95">
        <v>0</v>
      </c>
      <c r="AB95">
        <v>60.26</v>
      </c>
      <c r="AC95">
        <v>0</v>
      </c>
      <c r="AD95">
        <v>0</v>
      </c>
      <c r="AE95">
        <v>0</v>
      </c>
      <c r="AF95">
        <v>8.1</v>
      </c>
      <c r="AG95">
        <v>0</v>
      </c>
      <c r="AH95">
        <v>0</v>
      </c>
      <c r="AI95">
        <v>1</v>
      </c>
      <c r="AJ95">
        <v>7.44</v>
      </c>
      <c r="AK95">
        <v>32.909999999999997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0.73</v>
      </c>
      <c r="AU95" t="s">
        <v>143</v>
      </c>
      <c r="AV95">
        <v>0</v>
      </c>
      <c r="AW95">
        <v>2</v>
      </c>
      <c r="AX95">
        <v>36361777</v>
      </c>
      <c r="AY95">
        <v>1</v>
      </c>
      <c r="AZ95">
        <v>0</v>
      </c>
      <c r="BA95">
        <v>96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Y95*Source!I82</f>
        <v>2.7374999999999998</v>
      </c>
      <c r="CY95">
        <f>AB95</f>
        <v>60.26</v>
      </c>
      <c r="CZ95">
        <f>AF95</f>
        <v>8.1</v>
      </c>
      <c r="DA95">
        <f>AJ95</f>
        <v>7.44</v>
      </c>
      <c r="DB95">
        <f>ROUND((ROUND(AT95*CZ95,2)*1.25),6)</f>
        <v>7.3875000000000002</v>
      </c>
      <c r="DC95">
        <f>ROUND((ROUND(AT95*AG95,2)*1.25),6)</f>
        <v>0</v>
      </c>
    </row>
    <row r="96" spans="1:107">
      <c r="A96">
        <f>ROW(Source!A82)</f>
        <v>82</v>
      </c>
      <c r="B96">
        <v>35683522</v>
      </c>
      <c r="C96">
        <v>36361775</v>
      </c>
      <c r="D96">
        <v>29173472</v>
      </c>
      <c r="E96">
        <v>1</v>
      </c>
      <c r="F96">
        <v>1</v>
      </c>
      <c r="G96">
        <v>1</v>
      </c>
      <c r="H96">
        <v>2</v>
      </c>
      <c r="I96" t="s">
        <v>503</v>
      </c>
      <c r="J96" t="s">
        <v>504</v>
      </c>
      <c r="K96" t="s">
        <v>505</v>
      </c>
      <c r="L96">
        <v>1368</v>
      </c>
      <c r="N96">
        <v>1011</v>
      </c>
      <c r="O96" t="s">
        <v>343</v>
      </c>
      <c r="P96" t="s">
        <v>343</v>
      </c>
      <c r="Q96">
        <v>1</v>
      </c>
      <c r="W96">
        <v>0</v>
      </c>
      <c r="X96">
        <v>-1937814132</v>
      </c>
      <c r="Y96">
        <v>0.96250000000000002</v>
      </c>
      <c r="AA96">
        <v>0</v>
      </c>
      <c r="AB96">
        <v>12.75</v>
      </c>
      <c r="AC96">
        <v>0</v>
      </c>
      <c r="AD96">
        <v>0</v>
      </c>
      <c r="AE96">
        <v>0</v>
      </c>
      <c r="AF96">
        <v>3</v>
      </c>
      <c r="AG96">
        <v>0</v>
      </c>
      <c r="AH96">
        <v>0</v>
      </c>
      <c r="AI96">
        <v>1</v>
      </c>
      <c r="AJ96">
        <v>4.25</v>
      </c>
      <c r="AK96">
        <v>32.909999999999997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0.77</v>
      </c>
      <c r="AU96" t="s">
        <v>143</v>
      </c>
      <c r="AV96">
        <v>0</v>
      </c>
      <c r="AW96">
        <v>2</v>
      </c>
      <c r="AX96">
        <v>36361778</v>
      </c>
      <c r="AY96">
        <v>1</v>
      </c>
      <c r="AZ96">
        <v>0</v>
      </c>
      <c r="BA96">
        <v>97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Y96*Source!I82</f>
        <v>2.8875000000000002</v>
      </c>
      <c r="CY96">
        <f>AB96</f>
        <v>12.75</v>
      </c>
      <c r="CZ96">
        <f>AF96</f>
        <v>3</v>
      </c>
      <c r="DA96">
        <f>AJ96</f>
        <v>4.25</v>
      </c>
      <c r="DB96">
        <f>ROUND((ROUND(AT96*CZ96,2)*1.25),6)</f>
        <v>2.8875000000000002</v>
      </c>
      <c r="DC96">
        <f>ROUND((ROUND(AT96*AG96,2)*1.25),6)</f>
        <v>0</v>
      </c>
    </row>
    <row r="97" spans="1:107">
      <c r="A97">
        <f>ROW(Source!A82)</f>
        <v>82</v>
      </c>
      <c r="B97">
        <v>35683522</v>
      </c>
      <c r="C97">
        <v>36361775</v>
      </c>
      <c r="D97">
        <v>29174580</v>
      </c>
      <c r="E97">
        <v>1</v>
      </c>
      <c r="F97">
        <v>1</v>
      </c>
      <c r="G97">
        <v>1</v>
      </c>
      <c r="H97">
        <v>2</v>
      </c>
      <c r="I97" t="s">
        <v>506</v>
      </c>
      <c r="J97" t="s">
        <v>507</v>
      </c>
      <c r="K97" t="s">
        <v>508</v>
      </c>
      <c r="L97">
        <v>1368</v>
      </c>
      <c r="N97">
        <v>1011</v>
      </c>
      <c r="O97" t="s">
        <v>343</v>
      </c>
      <c r="P97" t="s">
        <v>343</v>
      </c>
      <c r="Q97">
        <v>1</v>
      </c>
      <c r="W97">
        <v>0</v>
      </c>
      <c r="X97">
        <v>-991672839</v>
      </c>
      <c r="Y97">
        <v>0.91249999999999998</v>
      </c>
      <c r="AA97">
        <v>0</v>
      </c>
      <c r="AB97">
        <v>31.87</v>
      </c>
      <c r="AC97">
        <v>0</v>
      </c>
      <c r="AD97">
        <v>0</v>
      </c>
      <c r="AE97">
        <v>0</v>
      </c>
      <c r="AF97">
        <v>2.08</v>
      </c>
      <c r="AG97">
        <v>0</v>
      </c>
      <c r="AH97">
        <v>0</v>
      </c>
      <c r="AI97">
        <v>1</v>
      </c>
      <c r="AJ97">
        <v>15.32</v>
      </c>
      <c r="AK97">
        <v>32.909999999999997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0.73</v>
      </c>
      <c r="AU97" t="s">
        <v>143</v>
      </c>
      <c r="AV97">
        <v>0</v>
      </c>
      <c r="AW97">
        <v>2</v>
      </c>
      <c r="AX97">
        <v>36361779</v>
      </c>
      <c r="AY97">
        <v>1</v>
      </c>
      <c r="AZ97">
        <v>0</v>
      </c>
      <c r="BA97">
        <v>98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Y97*Source!I82</f>
        <v>2.7374999999999998</v>
      </c>
      <c r="CY97">
        <f>AB97</f>
        <v>31.87</v>
      </c>
      <c r="CZ97">
        <f>AF97</f>
        <v>2.08</v>
      </c>
      <c r="DA97">
        <f>AJ97</f>
        <v>15.32</v>
      </c>
      <c r="DB97">
        <f>ROUND((ROUND(AT97*CZ97,2)*1.25),6)</f>
        <v>1.9</v>
      </c>
      <c r="DC97">
        <f>ROUND((ROUND(AT97*AG97,2)*1.25),6)</f>
        <v>0</v>
      </c>
    </row>
    <row r="98" spans="1:107">
      <c r="A98">
        <f>ROW(Source!A82)</f>
        <v>82</v>
      </c>
      <c r="B98">
        <v>35683522</v>
      </c>
      <c r="C98">
        <v>36361775</v>
      </c>
      <c r="D98">
        <v>29174913</v>
      </c>
      <c r="E98">
        <v>1</v>
      </c>
      <c r="F98">
        <v>1</v>
      </c>
      <c r="G98">
        <v>1</v>
      </c>
      <c r="H98">
        <v>2</v>
      </c>
      <c r="I98" t="s">
        <v>375</v>
      </c>
      <c r="J98" t="s">
        <v>376</v>
      </c>
      <c r="K98" t="s">
        <v>377</v>
      </c>
      <c r="L98">
        <v>1368</v>
      </c>
      <c r="N98">
        <v>1011</v>
      </c>
      <c r="O98" t="s">
        <v>343</v>
      </c>
      <c r="P98" t="s">
        <v>343</v>
      </c>
      <c r="Q98">
        <v>1</v>
      </c>
      <c r="W98">
        <v>0</v>
      </c>
      <c r="X98">
        <v>1230759911</v>
      </c>
      <c r="Y98">
        <v>2.5000000000000001E-2</v>
      </c>
      <c r="AA98">
        <v>0</v>
      </c>
      <c r="AB98">
        <v>918.77</v>
      </c>
      <c r="AC98">
        <v>381.76</v>
      </c>
      <c r="AD98">
        <v>0</v>
      </c>
      <c r="AE98">
        <v>0</v>
      </c>
      <c r="AF98">
        <v>87.17</v>
      </c>
      <c r="AG98">
        <v>11.6</v>
      </c>
      <c r="AH98">
        <v>0</v>
      </c>
      <c r="AI98">
        <v>1</v>
      </c>
      <c r="AJ98">
        <v>10.54</v>
      </c>
      <c r="AK98">
        <v>32.909999999999997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0.02</v>
      </c>
      <c r="AU98" t="s">
        <v>143</v>
      </c>
      <c r="AV98">
        <v>0</v>
      </c>
      <c r="AW98">
        <v>2</v>
      </c>
      <c r="AX98">
        <v>36361780</v>
      </c>
      <c r="AY98">
        <v>1</v>
      </c>
      <c r="AZ98">
        <v>0</v>
      </c>
      <c r="BA98">
        <v>99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Y98*Source!I82</f>
        <v>7.5000000000000011E-2</v>
      </c>
      <c r="CY98">
        <f>AB98</f>
        <v>918.77</v>
      </c>
      <c r="CZ98">
        <f>AF98</f>
        <v>87.17</v>
      </c>
      <c r="DA98">
        <f>AJ98</f>
        <v>10.54</v>
      </c>
      <c r="DB98">
        <f>ROUND((ROUND(AT98*CZ98,2)*1.25),6)</f>
        <v>2.1749999999999998</v>
      </c>
      <c r="DC98">
        <f>ROUND((ROUND(AT98*AG98,2)*1.25),6)</f>
        <v>0.28749999999999998</v>
      </c>
    </row>
    <row r="99" spans="1:107">
      <c r="A99">
        <f>ROW(Source!A82)</f>
        <v>82</v>
      </c>
      <c r="B99">
        <v>35683522</v>
      </c>
      <c r="C99">
        <v>36361775</v>
      </c>
      <c r="D99">
        <v>29114842</v>
      </c>
      <c r="E99">
        <v>1</v>
      </c>
      <c r="F99">
        <v>1</v>
      </c>
      <c r="G99">
        <v>1</v>
      </c>
      <c r="H99">
        <v>3</v>
      </c>
      <c r="I99" t="s">
        <v>189</v>
      </c>
      <c r="J99" t="s">
        <v>192</v>
      </c>
      <c r="K99" t="s">
        <v>190</v>
      </c>
      <c r="L99">
        <v>1035</v>
      </c>
      <c r="N99">
        <v>1013</v>
      </c>
      <c r="O99" t="s">
        <v>191</v>
      </c>
      <c r="P99" t="s">
        <v>191</v>
      </c>
      <c r="Q99">
        <v>1</v>
      </c>
      <c r="W99">
        <v>0</v>
      </c>
      <c r="X99">
        <v>1265058672</v>
      </c>
      <c r="Y99">
        <v>0.33333299999999999</v>
      </c>
      <c r="AA99">
        <v>612.64</v>
      </c>
      <c r="AB99">
        <v>0</v>
      </c>
      <c r="AC99">
        <v>0</v>
      </c>
      <c r="AD99">
        <v>0</v>
      </c>
      <c r="AE99">
        <v>94.69</v>
      </c>
      <c r="AF99">
        <v>0</v>
      </c>
      <c r="AG99">
        <v>0</v>
      </c>
      <c r="AH99">
        <v>0</v>
      </c>
      <c r="AI99">
        <v>6.47</v>
      </c>
      <c r="AJ99">
        <v>1</v>
      </c>
      <c r="AK99">
        <v>1</v>
      </c>
      <c r="AL99">
        <v>1</v>
      </c>
      <c r="AN99">
        <v>0</v>
      </c>
      <c r="AO99">
        <v>0</v>
      </c>
      <c r="AP99">
        <v>0</v>
      </c>
      <c r="AQ99">
        <v>0</v>
      </c>
      <c r="AR99">
        <v>0</v>
      </c>
      <c r="AS99" t="s">
        <v>3</v>
      </c>
      <c r="AT99">
        <v>0.33333299999999999</v>
      </c>
      <c r="AU99" t="s">
        <v>3</v>
      </c>
      <c r="AV99">
        <v>0</v>
      </c>
      <c r="AW99">
        <v>1</v>
      </c>
      <c r="AX99">
        <v>-1</v>
      </c>
      <c r="AY99">
        <v>0</v>
      </c>
      <c r="AZ99">
        <v>0</v>
      </c>
      <c r="BA99" t="s">
        <v>3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Y99*Source!I82</f>
        <v>0.99999899999999997</v>
      </c>
      <c r="CY99">
        <f t="shared" ref="CY99:CY104" si="20">AA99</f>
        <v>612.64</v>
      </c>
      <c r="CZ99">
        <f t="shared" ref="CZ99:CZ104" si="21">AE99</f>
        <v>94.69</v>
      </c>
      <c r="DA99">
        <f t="shared" ref="DA99:DA104" si="22">AI99</f>
        <v>6.47</v>
      </c>
      <c r="DB99">
        <f t="shared" ref="DB99:DB104" si="23">ROUND(ROUND(AT99*CZ99,2),6)</f>
        <v>31.56</v>
      </c>
      <c r="DC99">
        <f t="shared" ref="DC99:DC104" si="24">ROUND(ROUND(AT99*AG99,2),6)</f>
        <v>0</v>
      </c>
    </row>
    <row r="100" spans="1:107">
      <c r="A100">
        <f>ROW(Source!A82)</f>
        <v>82</v>
      </c>
      <c r="B100">
        <v>35683522</v>
      </c>
      <c r="C100">
        <v>36361775</v>
      </c>
      <c r="D100">
        <v>29113979</v>
      </c>
      <c r="E100">
        <v>1</v>
      </c>
      <c r="F100">
        <v>1</v>
      </c>
      <c r="G100">
        <v>1</v>
      </c>
      <c r="H100">
        <v>3</v>
      </c>
      <c r="I100" t="s">
        <v>413</v>
      </c>
      <c r="J100" t="s">
        <v>414</v>
      </c>
      <c r="K100" t="s">
        <v>415</v>
      </c>
      <c r="L100">
        <v>1348</v>
      </c>
      <c r="N100">
        <v>1009</v>
      </c>
      <c r="O100" t="s">
        <v>43</v>
      </c>
      <c r="P100" t="s">
        <v>43</v>
      </c>
      <c r="Q100">
        <v>1000</v>
      </c>
      <c r="W100">
        <v>0</v>
      </c>
      <c r="X100">
        <v>-1319080431</v>
      </c>
      <c r="Y100">
        <v>8.0000000000000007E-5</v>
      </c>
      <c r="AA100">
        <v>89992.41</v>
      </c>
      <c r="AB100">
        <v>0</v>
      </c>
      <c r="AC100">
        <v>0</v>
      </c>
      <c r="AD100">
        <v>0</v>
      </c>
      <c r="AE100">
        <v>9749.99</v>
      </c>
      <c r="AF100">
        <v>0</v>
      </c>
      <c r="AG100">
        <v>0</v>
      </c>
      <c r="AH100">
        <v>0</v>
      </c>
      <c r="AI100">
        <v>9.23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8.0000000000000007E-5</v>
      </c>
      <c r="AU100" t="s">
        <v>3</v>
      </c>
      <c r="AV100">
        <v>0</v>
      </c>
      <c r="AW100">
        <v>2</v>
      </c>
      <c r="AX100">
        <v>36361781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Y100*Source!I82</f>
        <v>2.4000000000000003E-4</v>
      </c>
      <c r="CY100">
        <f t="shared" si="20"/>
        <v>89992.41</v>
      </c>
      <c r="CZ100">
        <f t="shared" si="21"/>
        <v>9749.99</v>
      </c>
      <c r="DA100">
        <f t="shared" si="22"/>
        <v>9.23</v>
      </c>
      <c r="DB100">
        <f t="shared" si="23"/>
        <v>0.78</v>
      </c>
      <c r="DC100">
        <f t="shared" si="24"/>
        <v>0</v>
      </c>
    </row>
    <row r="101" spans="1:107">
      <c r="A101">
        <f>ROW(Source!A82)</f>
        <v>82</v>
      </c>
      <c r="B101">
        <v>35683522</v>
      </c>
      <c r="C101">
        <v>36361775</v>
      </c>
      <c r="D101">
        <v>29114168</v>
      </c>
      <c r="E101">
        <v>1</v>
      </c>
      <c r="F101">
        <v>1</v>
      </c>
      <c r="G101">
        <v>1</v>
      </c>
      <c r="H101">
        <v>3</v>
      </c>
      <c r="I101" t="s">
        <v>509</v>
      </c>
      <c r="J101" t="s">
        <v>510</v>
      </c>
      <c r="K101" t="s">
        <v>511</v>
      </c>
      <c r="L101">
        <v>1348</v>
      </c>
      <c r="N101">
        <v>1009</v>
      </c>
      <c r="O101" t="s">
        <v>43</v>
      </c>
      <c r="P101" t="s">
        <v>43</v>
      </c>
      <c r="Q101">
        <v>1000</v>
      </c>
      <c r="W101">
        <v>0</v>
      </c>
      <c r="X101">
        <v>-1054332451</v>
      </c>
      <c r="Y101">
        <v>3.0000000000000001E-3</v>
      </c>
      <c r="AA101">
        <v>145784.64000000001</v>
      </c>
      <c r="AB101">
        <v>0</v>
      </c>
      <c r="AC101">
        <v>0</v>
      </c>
      <c r="AD101">
        <v>0</v>
      </c>
      <c r="AE101">
        <v>10068</v>
      </c>
      <c r="AF101">
        <v>0</v>
      </c>
      <c r="AG101">
        <v>0</v>
      </c>
      <c r="AH101">
        <v>0</v>
      </c>
      <c r="AI101">
        <v>14.48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3.0000000000000001E-3</v>
      </c>
      <c r="AU101" t="s">
        <v>3</v>
      </c>
      <c r="AV101">
        <v>0</v>
      </c>
      <c r="AW101">
        <v>2</v>
      </c>
      <c r="AX101">
        <v>36361782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Y101*Source!I82</f>
        <v>9.0000000000000011E-3</v>
      </c>
      <c r="CY101">
        <f t="shared" si="20"/>
        <v>145784.64000000001</v>
      </c>
      <c r="CZ101">
        <f t="shared" si="21"/>
        <v>10068</v>
      </c>
      <c r="DA101">
        <f t="shared" si="22"/>
        <v>14.48</v>
      </c>
      <c r="DB101">
        <f t="shared" si="23"/>
        <v>30.2</v>
      </c>
      <c r="DC101">
        <f t="shared" si="24"/>
        <v>0</v>
      </c>
    </row>
    <row r="102" spans="1:107">
      <c r="A102">
        <f>ROW(Source!A82)</f>
        <v>82</v>
      </c>
      <c r="B102">
        <v>35683522</v>
      </c>
      <c r="C102">
        <v>36361775</v>
      </c>
      <c r="D102">
        <v>29107992</v>
      </c>
      <c r="E102">
        <v>1</v>
      </c>
      <c r="F102">
        <v>1</v>
      </c>
      <c r="G102">
        <v>1</v>
      </c>
      <c r="H102">
        <v>3</v>
      </c>
      <c r="I102" t="s">
        <v>512</v>
      </c>
      <c r="J102" t="s">
        <v>513</v>
      </c>
      <c r="K102" t="s">
        <v>514</v>
      </c>
      <c r="L102">
        <v>1354</v>
      </c>
      <c r="N102">
        <v>1010</v>
      </c>
      <c r="O102" t="s">
        <v>23</v>
      </c>
      <c r="P102" t="s">
        <v>23</v>
      </c>
      <c r="Q102">
        <v>1</v>
      </c>
      <c r="W102">
        <v>0</v>
      </c>
      <c r="X102">
        <v>-1691144696</v>
      </c>
      <c r="Y102">
        <v>0.19</v>
      </c>
      <c r="AA102">
        <v>492.8</v>
      </c>
      <c r="AB102">
        <v>0</v>
      </c>
      <c r="AC102">
        <v>0</v>
      </c>
      <c r="AD102">
        <v>0</v>
      </c>
      <c r="AE102">
        <v>115.41</v>
      </c>
      <c r="AF102">
        <v>0</v>
      </c>
      <c r="AG102">
        <v>0</v>
      </c>
      <c r="AH102">
        <v>0</v>
      </c>
      <c r="AI102">
        <v>4.2699999999999996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0.19</v>
      </c>
      <c r="AU102" t="s">
        <v>3</v>
      </c>
      <c r="AV102">
        <v>0</v>
      </c>
      <c r="AW102">
        <v>2</v>
      </c>
      <c r="AX102">
        <v>36361783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Y102*Source!I82</f>
        <v>0.57000000000000006</v>
      </c>
      <c r="CY102">
        <f t="shared" si="20"/>
        <v>492.8</v>
      </c>
      <c r="CZ102">
        <f t="shared" si="21"/>
        <v>115.41</v>
      </c>
      <c r="DA102">
        <f t="shared" si="22"/>
        <v>4.2699999999999996</v>
      </c>
      <c r="DB102">
        <f t="shared" si="23"/>
        <v>21.93</v>
      </c>
      <c r="DC102">
        <f t="shared" si="24"/>
        <v>0</v>
      </c>
    </row>
    <row r="103" spans="1:107">
      <c r="A103">
        <f>ROW(Source!A82)</f>
        <v>82</v>
      </c>
      <c r="B103">
        <v>35683522</v>
      </c>
      <c r="C103">
        <v>36361775</v>
      </c>
      <c r="D103">
        <v>29130608</v>
      </c>
      <c r="E103">
        <v>1</v>
      </c>
      <c r="F103">
        <v>1</v>
      </c>
      <c r="G103">
        <v>1</v>
      </c>
      <c r="H103">
        <v>3</v>
      </c>
      <c r="I103" t="s">
        <v>181</v>
      </c>
      <c r="J103" t="s">
        <v>183</v>
      </c>
      <c r="K103" t="s">
        <v>182</v>
      </c>
      <c r="L103">
        <v>1354</v>
      </c>
      <c r="N103">
        <v>1010</v>
      </c>
      <c r="O103" t="s">
        <v>23</v>
      </c>
      <c r="P103" t="s">
        <v>23</v>
      </c>
      <c r="Q103">
        <v>1</v>
      </c>
      <c r="W103">
        <v>1</v>
      </c>
      <c r="X103">
        <v>-629368040</v>
      </c>
      <c r="Y103">
        <v>0</v>
      </c>
      <c r="AA103">
        <v>14660.71</v>
      </c>
      <c r="AB103">
        <v>0</v>
      </c>
      <c r="AC103">
        <v>0</v>
      </c>
      <c r="AD103">
        <v>0</v>
      </c>
      <c r="AE103">
        <v>4729.26</v>
      </c>
      <c r="AF103">
        <v>0</v>
      </c>
      <c r="AG103">
        <v>0</v>
      </c>
      <c r="AH103">
        <v>0</v>
      </c>
      <c r="AI103">
        <v>3.1</v>
      </c>
      <c r="AJ103">
        <v>1</v>
      </c>
      <c r="AK103">
        <v>1</v>
      </c>
      <c r="AL103">
        <v>1</v>
      </c>
      <c r="AN103">
        <v>1</v>
      </c>
      <c r="AO103">
        <v>0</v>
      </c>
      <c r="AP103">
        <v>0</v>
      </c>
      <c r="AQ103">
        <v>0</v>
      </c>
      <c r="AR103">
        <v>0</v>
      </c>
      <c r="AS103" t="s">
        <v>3</v>
      </c>
      <c r="AT103">
        <v>0</v>
      </c>
      <c r="AU103" t="s">
        <v>3</v>
      </c>
      <c r="AV103">
        <v>0</v>
      </c>
      <c r="AW103">
        <v>2</v>
      </c>
      <c r="AX103">
        <v>36361784</v>
      </c>
      <c r="AY103">
        <v>1</v>
      </c>
      <c r="AZ103">
        <v>0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Y103*Source!I82</f>
        <v>0</v>
      </c>
      <c r="CY103">
        <f t="shared" si="20"/>
        <v>14660.71</v>
      </c>
      <c r="CZ103">
        <f t="shared" si="21"/>
        <v>4729.26</v>
      </c>
      <c r="DA103">
        <f t="shared" si="22"/>
        <v>3.1</v>
      </c>
      <c r="DB103">
        <f t="shared" si="23"/>
        <v>0</v>
      </c>
      <c r="DC103">
        <f t="shared" si="24"/>
        <v>0</v>
      </c>
    </row>
    <row r="104" spans="1:107">
      <c r="A104">
        <f>ROW(Source!A82)</f>
        <v>82</v>
      </c>
      <c r="B104">
        <v>35683522</v>
      </c>
      <c r="C104">
        <v>36361775</v>
      </c>
      <c r="D104">
        <v>29130614</v>
      </c>
      <c r="E104">
        <v>1</v>
      </c>
      <c r="F104">
        <v>1</v>
      </c>
      <c r="G104">
        <v>1</v>
      </c>
      <c r="H104">
        <v>3</v>
      </c>
      <c r="I104" t="s">
        <v>185</v>
      </c>
      <c r="J104" t="s">
        <v>187</v>
      </c>
      <c r="K104" t="s">
        <v>186</v>
      </c>
      <c r="L104">
        <v>1354</v>
      </c>
      <c r="N104">
        <v>1010</v>
      </c>
      <c r="O104" t="s">
        <v>23</v>
      </c>
      <c r="P104" t="s">
        <v>23</v>
      </c>
      <c r="Q104">
        <v>1</v>
      </c>
      <c r="W104">
        <v>0</v>
      </c>
      <c r="X104">
        <v>594655363</v>
      </c>
      <c r="Y104">
        <v>0.33333299999999999</v>
      </c>
      <c r="AA104">
        <v>17974.59</v>
      </c>
      <c r="AB104">
        <v>0</v>
      </c>
      <c r="AC104">
        <v>0</v>
      </c>
      <c r="AD104">
        <v>0</v>
      </c>
      <c r="AE104">
        <v>5688.16</v>
      </c>
      <c r="AF104">
        <v>0</v>
      </c>
      <c r="AG104">
        <v>0</v>
      </c>
      <c r="AH104">
        <v>0</v>
      </c>
      <c r="AI104">
        <v>3.16</v>
      </c>
      <c r="AJ104">
        <v>1</v>
      </c>
      <c r="AK104">
        <v>1</v>
      </c>
      <c r="AL104">
        <v>1</v>
      </c>
      <c r="AN104">
        <v>0</v>
      </c>
      <c r="AO104">
        <v>0</v>
      </c>
      <c r="AP104">
        <v>0</v>
      </c>
      <c r="AQ104">
        <v>0</v>
      </c>
      <c r="AR104">
        <v>0</v>
      </c>
      <c r="AS104" t="s">
        <v>3</v>
      </c>
      <c r="AT104">
        <v>0.33333299999999999</v>
      </c>
      <c r="AU104" t="s">
        <v>3</v>
      </c>
      <c r="AV104">
        <v>0</v>
      </c>
      <c r="AW104">
        <v>1</v>
      </c>
      <c r="AX104">
        <v>-1</v>
      </c>
      <c r="AY104">
        <v>0</v>
      </c>
      <c r="AZ104">
        <v>0</v>
      </c>
      <c r="BA104" t="s">
        <v>3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Y104*Source!I82</f>
        <v>0.99999899999999997</v>
      </c>
      <c r="CY104">
        <f t="shared" si="20"/>
        <v>17974.59</v>
      </c>
      <c r="CZ104">
        <f t="shared" si="21"/>
        <v>5688.16</v>
      </c>
      <c r="DA104">
        <f t="shared" si="22"/>
        <v>3.16</v>
      </c>
      <c r="DB104">
        <f t="shared" si="23"/>
        <v>1896.05</v>
      </c>
      <c r="DC104">
        <f t="shared" si="24"/>
        <v>0</v>
      </c>
    </row>
    <row r="105" spans="1:107">
      <c r="A105">
        <f>ROW(Source!A86)</f>
        <v>86</v>
      </c>
      <c r="B105">
        <v>35683522</v>
      </c>
      <c r="C105">
        <v>35687488</v>
      </c>
      <c r="D105">
        <v>18413627</v>
      </c>
      <c r="E105">
        <v>1</v>
      </c>
      <c r="F105">
        <v>1</v>
      </c>
      <c r="G105">
        <v>1</v>
      </c>
      <c r="H105">
        <v>1</v>
      </c>
      <c r="I105" t="s">
        <v>515</v>
      </c>
      <c r="J105" t="s">
        <v>3</v>
      </c>
      <c r="K105" t="s">
        <v>516</v>
      </c>
      <c r="L105">
        <v>1369</v>
      </c>
      <c r="N105">
        <v>1013</v>
      </c>
      <c r="O105" t="s">
        <v>339</v>
      </c>
      <c r="P105" t="s">
        <v>339</v>
      </c>
      <c r="Q105">
        <v>1</v>
      </c>
      <c r="W105">
        <v>0</v>
      </c>
      <c r="X105">
        <v>-1366182279</v>
      </c>
      <c r="Y105">
        <v>1.2765</v>
      </c>
      <c r="AA105">
        <v>0</v>
      </c>
      <c r="AB105">
        <v>0</v>
      </c>
      <c r="AC105">
        <v>0</v>
      </c>
      <c r="AD105">
        <v>323.88</v>
      </c>
      <c r="AE105">
        <v>0</v>
      </c>
      <c r="AF105">
        <v>0</v>
      </c>
      <c r="AG105">
        <v>0</v>
      </c>
      <c r="AH105">
        <v>323.88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1.1100000000000001</v>
      </c>
      <c r="AU105" t="s">
        <v>144</v>
      </c>
      <c r="AV105">
        <v>1</v>
      </c>
      <c r="AW105">
        <v>2</v>
      </c>
      <c r="AX105">
        <v>35687489</v>
      </c>
      <c r="AY105">
        <v>1</v>
      </c>
      <c r="AZ105">
        <v>0</v>
      </c>
      <c r="BA105">
        <v>104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Y105*Source!I86</f>
        <v>1.2765</v>
      </c>
      <c r="CY105">
        <f>AD105</f>
        <v>323.88</v>
      </c>
      <c r="CZ105">
        <f>AH105</f>
        <v>323.88</v>
      </c>
      <c r="DA105">
        <f>AL105</f>
        <v>1</v>
      </c>
      <c r="DB105">
        <f>ROUND((ROUND(AT105*CZ105,2)*1.15),6)</f>
        <v>413.43650000000002</v>
      </c>
      <c r="DC105">
        <f>ROUND((ROUND(AT105*AG105,2)*1.15),6)</f>
        <v>0</v>
      </c>
    </row>
    <row r="106" spans="1:107">
      <c r="A106">
        <f>ROW(Source!A86)</f>
        <v>86</v>
      </c>
      <c r="B106">
        <v>35683522</v>
      </c>
      <c r="C106">
        <v>35687488</v>
      </c>
      <c r="D106">
        <v>29172657</v>
      </c>
      <c r="E106">
        <v>1</v>
      </c>
      <c r="F106">
        <v>1</v>
      </c>
      <c r="G106">
        <v>1</v>
      </c>
      <c r="H106">
        <v>2</v>
      </c>
      <c r="I106" t="s">
        <v>372</v>
      </c>
      <c r="J106" t="s">
        <v>517</v>
      </c>
      <c r="K106" t="s">
        <v>374</v>
      </c>
      <c r="L106">
        <v>1368</v>
      </c>
      <c r="N106">
        <v>1011</v>
      </c>
      <c r="O106" t="s">
        <v>343</v>
      </c>
      <c r="P106" t="s">
        <v>343</v>
      </c>
      <c r="Q106">
        <v>1</v>
      </c>
      <c r="W106">
        <v>0</v>
      </c>
      <c r="X106">
        <v>-86677160</v>
      </c>
      <c r="Y106">
        <v>0.32500000000000001</v>
      </c>
      <c r="AA106">
        <v>0</v>
      </c>
      <c r="AB106">
        <v>60.26</v>
      </c>
      <c r="AC106">
        <v>0</v>
      </c>
      <c r="AD106">
        <v>0</v>
      </c>
      <c r="AE106">
        <v>0</v>
      </c>
      <c r="AF106">
        <v>8.1</v>
      </c>
      <c r="AG106">
        <v>0</v>
      </c>
      <c r="AH106">
        <v>0</v>
      </c>
      <c r="AI106">
        <v>1</v>
      </c>
      <c r="AJ106">
        <v>7.44</v>
      </c>
      <c r="AK106">
        <v>32.909999999999997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</v>
      </c>
      <c r="AT106">
        <v>0.26</v>
      </c>
      <c r="AU106" t="s">
        <v>143</v>
      </c>
      <c r="AV106">
        <v>0</v>
      </c>
      <c r="AW106">
        <v>2</v>
      </c>
      <c r="AX106">
        <v>35687490</v>
      </c>
      <c r="AY106">
        <v>1</v>
      </c>
      <c r="AZ106">
        <v>0</v>
      </c>
      <c r="BA106">
        <v>105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Y106*Source!I86</f>
        <v>0.32500000000000001</v>
      </c>
      <c r="CY106">
        <f>AB106</f>
        <v>60.26</v>
      </c>
      <c r="CZ106">
        <f>AF106</f>
        <v>8.1</v>
      </c>
      <c r="DA106">
        <f>AJ106</f>
        <v>7.44</v>
      </c>
      <c r="DB106">
        <f>ROUND((ROUND(AT106*CZ106,2)*1.25),6)</f>
        <v>2.6375000000000002</v>
      </c>
      <c r="DC106">
        <f>ROUND((ROUND(AT106*AG106,2)*1.25),6)</f>
        <v>0</v>
      </c>
    </row>
    <row r="107" spans="1:107">
      <c r="A107">
        <f>ROW(Source!A86)</f>
        <v>86</v>
      </c>
      <c r="B107">
        <v>35683522</v>
      </c>
      <c r="C107">
        <v>35687488</v>
      </c>
      <c r="D107">
        <v>29173472</v>
      </c>
      <c r="E107">
        <v>1</v>
      </c>
      <c r="F107">
        <v>1</v>
      </c>
      <c r="G107">
        <v>1</v>
      </c>
      <c r="H107">
        <v>2</v>
      </c>
      <c r="I107" t="s">
        <v>503</v>
      </c>
      <c r="J107" t="s">
        <v>518</v>
      </c>
      <c r="K107" t="s">
        <v>505</v>
      </c>
      <c r="L107">
        <v>1368</v>
      </c>
      <c r="N107">
        <v>1011</v>
      </c>
      <c r="O107" t="s">
        <v>343</v>
      </c>
      <c r="P107" t="s">
        <v>343</v>
      </c>
      <c r="Q107">
        <v>1</v>
      </c>
      <c r="W107">
        <v>0</v>
      </c>
      <c r="X107">
        <v>275932499</v>
      </c>
      <c r="Y107">
        <v>0.1875</v>
      </c>
      <c r="AA107">
        <v>0</v>
      </c>
      <c r="AB107">
        <v>12.75</v>
      </c>
      <c r="AC107">
        <v>0</v>
      </c>
      <c r="AD107">
        <v>0</v>
      </c>
      <c r="AE107">
        <v>0</v>
      </c>
      <c r="AF107">
        <v>3</v>
      </c>
      <c r="AG107">
        <v>0</v>
      </c>
      <c r="AH107">
        <v>0</v>
      </c>
      <c r="AI107">
        <v>1</v>
      </c>
      <c r="AJ107">
        <v>4.25</v>
      </c>
      <c r="AK107">
        <v>32.909999999999997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0.15</v>
      </c>
      <c r="AU107" t="s">
        <v>143</v>
      </c>
      <c r="AV107">
        <v>0</v>
      </c>
      <c r="AW107">
        <v>2</v>
      </c>
      <c r="AX107">
        <v>35687491</v>
      </c>
      <c r="AY107">
        <v>1</v>
      </c>
      <c r="AZ107">
        <v>0</v>
      </c>
      <c r="BA107">
        <v>106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Y107*Source!I86</f>
        <v>0.1875</v>
      </c>
      <c r="CY107">
        <f>AB107</f>
        <v>12.75</v>
      </c>
      <c r="CZ107">
        <f>AF107</f>
        <v>3</v>
      </c>
      <c r="DA107">
        <f>AJ107</f>
        <v>4.25</v>
      </c>
      <c r="DB107">
        <f>ROUND((ROUND(AT107*CZ107,2)*1.25),6)</f>
        <v>0.5625</v>
      </c>
      <c r="DC107">
        <f>ROUND((ROUND(AT107*AG107,2)*1.25),6)</f>
        <v>0</v>
      </c>
    </row>
    <row r="108" spans="1:107">
      <c r="A108">
        <f>ROW(Source!A86)</f>
        <v>86</v>
      </c>
      <c r="B108">
        <v>35683522</v>
      </c>
      <c r="C108">
        <v>35687488</v>
      </c>
      <c r="D108">
        <v>29174500</v>
      </c>
      <c r="E108">
        <v>1</v>
      </c>
      <c r="F108">
        <v>1</v>
      </c>
      <c r="G108">
        <v>1</v>
      </c>
      <c r="H108">
        <v>2</v>
      </c>
      <c r="I108" t="s">
        <v>485</v>
      </c>
      <c r="J108" t="s">
        <v>486</v>
      </c>
      <c r="K108" t="s">
        <v>487</v>
      </c>
      <c r="L108">
        <v>1368</v>
      </c>
      <c r="N108">
        <v>1011</v>
      </c>
      <c r="O108" t="s">
        <v>343</v>
      </c>
      <c r="P108" t="s">
        <v>343</v>
      </c>
      <c r="Q108">
        <v>1</v>
      </c>
      <c r="W108">
        <v>0</v>
      </c>
      <c r="X108">
        <v>-239831557</v>
      </c>
      <c r="Y108">
        <v>0.13750000000000001</v>
      </c>
      <c r="AA108">
        <v>0</v>
      </c>
      <c r="AB108">
        <v>7.33</v>
      </c>
      <c r="AC108">
        <v>0</v>
      </c>
      <c r="AD108">
        <v>0</v>
      </c>
      <c r="AE108">
        <v>0</v>
      </c>
      <c r="AF108">
        <v>1.95</v>
      </c>
      <c r="AG108">
        <v>0</v>
      </c>
      <c r="AH108">
        <v>0</v>
      </c>
      <c r="AI108">
        <v>1</v>
      </c>
      <c r="AJ108">
        <v>3.76</v>
      </c>
      <c r="AK108">
        <v>32.909999999999997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0.11</v>
      </c>
      <c r="AU108" t="s">
        <v>143</v>
      </c>
      <c r="AV108">
        <v>0</v>
      </c>
      <c r="AW108">
        <v>2</v>
      </c>
      <c r="AX108">
        <v>35687492</v>
      </c>
      <c r="AY108">
        <v>1</v>
      </c>
      <c r="AZ108">
        <v>0</v>
      </c>
      <c r="BA108">
        <v>107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Y108*Source!I86</f>
        <v>0.13750000000000001</v>
      </c>
      <c r="CY108">
        <f>AB108</f>
        <v>7.33</v>
      </c>
      <c r="CZ108">
        <f>AF108</f>
        <v>1.95</v>
      </c>
      <c r="DA108">
        <f>AJ108</f>
        <v>3.76</v>
      </c>
      <c r="DB108">
        <f>ROUND((ROUND(AT108*CZ108,2)*1.25),6)</f>
        <v>0.26250000000000001</v>
      </c>
      <c r="DC108">
        <f>ROUND((ROUND(AT108*AG108,2)*1.25),6)</f>
        <v>0</v>
      </c>
    </row>
    <row r="109" spans="1:107">
      <c r="A109">
        <f>ROW(Source!A86)</f>
        <v>86</v>
      </c>
      <c r="B109">
        <v>35683522</v>
      </c>
      <c r="C109">
        <v>35687488</v>
      </c>
      <c r="D109">
        <v>29174507</v>
      </c>
      <c r="E109">
        <v>1</v>
      </c>
      <c r="F109">
        <v>1</v>
      </c>
      <c r="G109">
        <v>1</v>
      </c>
      <c r="H109">
        <v>2</v>
      </c>
      <c r="I109" t="s">
        <v>519</v>
      </c>
      <c r="J109" t="s">
        <v>520</v>
      </c>
      <c r="K109" t="s">
        <v>521</v>
      </c>
      <c r="L109">
        <v>1368</v>
      </c>
      <c r="N109">
        <v>1011</v>
      </c>
      <c r="O109" t="s">
        <v>343</v>
      </c>
      <c r="P109" t="s">
        <v>343</v>
      </c>
      <c r="Q109">
        <v>1</v>
      </c>
      <c r="W109">
        <v>0</v>
      </c>
      <c r="X109">
        <v>-1974929952</v>
      </c>
      <c r="Y109">
        <v>2.5000000000000001E-2</v>
      </c>
      <c r="AA109">
        <v>0</v>
      </c>
      <c r="AB109">
        <v>18.11</v>
      </c>
      <c r="AC109">
        <v>0</v>
      </c>
      <c r="AD109">
        <v>0</v>
      </c>
      <c r="AE109">
        <v>0</v>
      </c>
      <c r="AF109">
        <v>5.13</v>
      </c>
      <c r="AG109">
        <v>0</v>
      </c>
      <c r="AH109">
        <v>0</v>
      </c>
      <c r="AI109">
        <v>1</v>
      </c>
      <c r="AJ109">
        <v>3.53</v>
      </c>
      <c r="AK109">
        <v>32.909999999999997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0.02</v>
      </c>
      <c r="AU109" t="s">
        <v>143</v>
      </c>
      <c r="AV109">
        <v>0</v>
      </c>
      <c r="AW109">
        <v>2</v>
      </c>
      <c r="AX109">
        <v>35687493</v>
      </c>
      <c r="AY109">
        <v>1</v>
      </c>
      <c r="AZ109">
        <v>0</v>
      </c>
      <c r="BA109">
        <v>108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Y109*Source!I86</f>
        <v>2.5000000000000001E-2</v>
      </c>
      <c r="CY109">
        <f>AB109</f>
        <v>18.11</v>
      </c>
      <c r="CZ109">
        <f>AF109</f>
        <v>5.13</v>
      </c>
      <c r="DA109">
        <f>AJ109</f>
        <v>3.53</v>
      </c>
      <c r="DB109">
        <f>ROUND((ROUND(AT109*CZ109,2)*1.25),6)</f>
        <v>0.125</v>
      </c>
      <c r="DC109">
        <f>ROUND((ROUND(AT109*AG109,2)*1.25),6)</f>
        <v>0</v>
      </c>
    </row>
    <row r="110" spans="1:107">
      <c r="A110">
        <f>ROW(Source!A86)</f>
        <v>86</v>
      </c>
      <c r="B110">
        <v>35683522</v>
      </c>
      <c r="C110">
        <v>35687488</v>
      </c>
      <c r="D110">
        <v>29113979</v>
      </c>
      <c r="E110">
        <v>1</v>
      </c>
      <c r="F110">
        <v>1</v>
      </c>
      <c r="G110">
        <v>1</v>
      </c>
      <c r="H110">
        <v>3</v>
      </c>
      <c r="I110" t="s">
        <v>413</v>
      </c>
      <c r="J110" t="s">
        <v>493</v>
      </c>
      <c r="K110" t="s">
        <v>415</v>
      </c>
      <c r="L110">
        <v>1348</v>
      </c>
      <c r="N110">
        <v>1009</v>
      </c>
      <c r="O110" t="s">
        <v>43</v>
      </c>
      <c r="P110" t="s">
        <v>43</v>
      </c>
      <c r="Q110">
        <v>1000</v>
      </c>
      <c r="W110">
        <v>0</v>
      </c>
      <c r="X110">
        <v>1352318502</v>
      </c>
      <c r="Y110">
        <v>6.9999999999999994E-5</v>
      </c>
      <c r="AA110">
        <v>89992.41</v>
      </c>
      <c r="AB110">
        <v>0</v>
      </c>
      <c r="AC110">
        <v>0</v>
      </c>
      <c r="AD110">
        <v>0</v>
      </c>
      <c r="AE110">
        <v>9749.99</v>
      </c>
      <c r="AF110">
        <v>0</v>
      </c>
      <c r="AG110">
        <v>0</v>
      </c>
      <c r="AH110">
        <v>0</v>
      </c>
      <c r="AI110">
        <v>9.23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3</v>
      </c>
      <c r="AT110">
        <v>6.9999999999999994E-5</v>
      </c>
      <c r="AU110" t="s">
        <v>3</v>
      </c>
      <c r="AV110">
        <v>0</v>
      </c>
      <c r="AW110">
        <v>2</v>
      </c>
      <c r="AX110">
        <v>35687494</v>
      </c>
      <c r="AY110">
        <v>1</v>
      </c>
      <c r="AZ110">
        <v>0</v>
      </c>
      <c r="BA110">
        <v>109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Y110*Source!I86</f>
        <v>6.9999999999999994E-5</v>
      </c>
      <c r="CY110">
        <f>AA110</f>
        <v>89992.41</v>
      </c>
      <c r="CZ110">
        <f>AE110</f>
        <v>9749.99</v>
      </c>
      <c r="DA110">
        <f>AI110</f>
        <v>9.23</v>
      </c>
      <c r="DB110">
        <f>ROUND(ROUND(AT110*CZ110,2),6)</f>
        <v>0.68</v>
      </c>
      <c r="DC110">
        <f>ROUND(ROUND(AT110*AG110,2),6)</f>
        <v>0</v>
      </c>
    </row>
    <row r="111" spans="1:107">
      <c r="A111">
        <f>ROW(Source!A86)</f>
        <v>86</v>
      </c>
      <c r="B111">
        <v>35683522</v>
      </c>
      <c r="C111">
        <v>35687488</v>
      </c>
      <c r="D111">
        <v>29114298</v>
      </c>
      <c r="E111">
        <v>1</v>
      </c>
      <c r="F111">
        <v>1</v>
      </c>
      <c r="G111">
        <v>1</v>
      </c>
      <c r="H111">
        <v>3</v>
      </c>
      <c r="I111" t="s">
        <v>522</v>
      </c>
      <c r="J111" t="s">
        <v>523</v>
      </c>
      <c r="K111" t="s">
        <v>524</v>
      </c>
      <c r="L111">
        <v>1354</v>
      </c>
      <c r="N111">
        <v>1010</v>
      </c>
      <c r="O111" t="s">
        <v>23</v>
      </c>
      <c r="P111" t="s">
        <v>23</v>
      </c>
      <c r="Q111">
        <v>1</v>
      </c>
      <c r="W111">
        <v>0</v>
      </c>
      <c r="X111">
        <v>-1962167527</v>
      </c>
      <c r="Y111">
        <v>8.0000000000000002E-3</v>
      </c>
      <c r="AA111">
        <v>0.85</v>
      </c>
      <c r="AB111">
        <v>0</v>
      </c>
      <c r="AC111">
        <v>0</v>
      </c>
      <c r="AD111">
        <v>0</v>
      </c>
      <c r="AE111">
        <v>0.2</v>
      </c>
      <c r="AF111">
        <v>0</v>
      </c>
      <c r="AG111">
        <v>0</v>
      </c>
      <c r="AH111">
        <v>0</v>
      </c>
      <c r="AI111">
        <v>4.26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3</v>
      </c>
      <c r="AT111">
        <v>8.0000000000000002E-3</v>
      </c>
      <c r="AU111" t="s">
        <v>3</v>
      </c>
      <c r="AV111">
        <v>0</v>
      </c>
      <c r="AW111">
        <v>2</v>
      </c>
      <c r="AX111">
        <v>35687495</v>
      </c>
      <c r="AY111">
        <v>1</v>
      </c>
      <c r="AZ111">
        <v>0</v>
      </c>
      <c r="BA111">
        <v>110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Y111*Source!I86</f>
        <v>8.0000000000000002E-3</v>
      </c>
      <c r="CY111">
        <f>AA111</f>
        <v>0.85</v>
      </c>
      <c r="CZ111">
        <f>AE111</f>
        <v>0.2</v>
      </c>
      <c r="DA111">
        <f>AI111</f>
        <v>4.26</v>
      </c>
      <c r="DB111">
        <f>ROUND(ROUND(AT111*CZ111,2),6)</f>
        <v>0</v>
      </c>
      <c r="DC111">
        <f>ROUND(ROUND(AT111*AG111,2),6)</f>
        <v>0</v>
      </c>
    </row>
    <row r="112" spans="1:107">
      <c r="A112">
        <f>ROW(Source!A86)</f>
        <v>86</v>
      </c>
      <c r="B112">
        <v>35683522</v>
      </c>
      <c r="C112">
        <v>35687488</v>
      </c>
      <c r="D112">
        <v>0</v>
      </c>
      <c r="E112">
        <v>0</v>
      </c>
      <c r="F112">
        <v>1</v>
      </c>
      <c r="G112">
        <v>1</v>
      </c>
      <c r="H112">
        <v>3</v>
      </c>
      <c r="I112" t="s">
        <v>199</v>
      </c>
      <c r="J112" t="s">
        <v>3</v>
      </c>
      <c r="K112" t="s">
        <v>200</v>
      </c>
      <c r="L112">
        <v>0</v>
      </c>
      <c r="W112">
        <v>0</v>
      </c>
      <c r="X112">
        <v>555867216</v>
      </c>
      <c r="Y112">
        <v>1</v>
      </c>
      <c r="AA112">
        <v>2458.33</v>
      </c>
      <c r="AB112">
        <v>0</v>
      </c>
      <c r="AC112">
        <v>0</v>
      </c>
      <c r="AD112">
        <v>0</v>
      </c>
      <c r="AE112">
        <v>2458.33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0</v>
      </c>
      <c r="AP112">
        <v>2</v>
      </c>
      <c r="AQ112">
        <v>0</v>
      </c>
      <c r="AR112">
        <v>0</v>
      </c>
      <c r="AS112" t="s">
        <v>3</v>
      </c>
      <c r="AT112">
        <v>1</v>
      </c>
      <c r="AU112" t="s">
        <v>3</v>
      </c>
      <c r="AV112">
        <v>0</v>
      </c>
      <c r="AW112">
        <v>1</v>
      </c>
      <c r="AX112">
        <v>-1</v>
      </c>
      <c r="AY112">
        <v>0</v>
      </c>
      <c r="AZ112">
        <v>0</v>
      </c>
      <c r="BA112" t="s">
        <v>3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Y112*Source!I86</f>
        <v>1</v>
      </c>
      <c r="CY112">
        <f>AA112</f>
        <v>2458.33</v>
      </c>
      <c r="CZ112">
        <f>AE112</f>
        <v>2458.33</v>
      </c>
      <c r="DA112">
        <f>AI112</f>
        <v>1</v>
      </c>
      <c r="DB112">
        <f>ROUND(ROUND(AT112*CZ112,2),6)</f>
        <v>2458.33</v>
      </c>
      <c r="DC112">
        <f>ROUND(ROUND(AT112*AG112,2),6)</f>
        <v>0</v>
      </c>
    </row>
    <row r="113" spans="1:107">
      <c r="A113">
        <f>ROW(Source!A88)</f>
        <v>88</v>
      </c>
      <c r="B113">
        <v>35683522</v>
      </c>
      <c r="C113">
        <v>36128652</v>
      </c>
      <c r="D113">
        <v>18409661</v>
      </c>
      <c r="E113">
        <v>1</v>
      </c>
      <c r="F113">
        <v>1</v>
      </c>
      <c r="G113">
        <v>1</v>
      </c>
      <c r="H113">
        <v>1</v>
      </c>
      <c r="I113" t="s">
        <v>525</v>
      </c>
      <c r="J113" t="s">
        <v>3</v>
      </c>
      <c r="K113" t="s">
        <v>526</v>
      </c>
      <c r="L113">
        <v>1369</v>
      </c>
      <c r="N113">
        <v>1013</v>
      </c>
      <c r="O113" t="s">
        <v>339</v>
      </c>
      <c r="P113" t="s">
        <v>339</v>
      </c>
      <c r="Q113">
        <v>1</v>
      </c>
      <c r="W113">
        <v>0</v>
      </c>
      <c r="X113">
        <v>1989723076</v>
      </c>
      <c r="Y113">
        <v>184.59799999999998</v>
      </c>
      <c r="AA113">
        <v>0</v>
      </c>
      <c r="AB113">
        <v>0</v>
      </c>
      <c r="AC113">
        <v>0</v>
      </c>
      <c r="AD113">
        <v>282.08999999999997</v>
      </c>
      <c r="AE113">
        <v>0</v>
      </c>
      <c r="AF113">
        <v>0</v>
      </c>
      <c r="AG113">
        <v>0</v>
      </c>
      <c r="AH113">
        <v>282.08999999999997</v>
      </c>
      <c r="AI113">
        <v>1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160.52000000000001</v>
      </c>
      <c r="AU113" t="s">
        <v>144</v>
      </c>
      <c r="AV113">
        <v>1</v>
      </c>
      <c r="AW113">
        <v>2</v>
      </c>
      <c r="AX113">
        <v>36128677</v>
      </c>
      <c r="AY113">
        <v>1</v>
      </c>
      <c r="AZ113">
        <v>0</v>
      </c>
      <c r="BA113">
        <v>112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Y113*Source!I88</f>
        <v>5.537939999999999</v>
      </c>
      <c r="CY113">
        <f>AD113</f>
        <v>282.08999999999997</v>
      </c>
      <c r="CZ113">
        <f>AH113</f>
        <v>282.08999999999997</v>
      </c>
      <c r="DA113">
        <f>AL113</f>
        <v>1</v>
      </c>
      <c r="DB113">
        <f>ROUND((ROUND(AT113*CZ113,2)*1.15),6)</f>
        <v>52073.253499999999</v>
      </c>
      <c r="DC113">
        <f>ROUND((ROUND(AT113*AG113,2)*1.15),6)</f>
        <v>0</v>
      </c>
    </row>
    <row r="114" spans="1:107">
      <c r="A114">
        <f>ROW(Source!A88)</f>
        <v>88</v>
      </c>
      <c r="B114">
        <v>35683522</v>
      </c>
      <c r="C114">
        <v>36128652</v>
      </c>
      <c r="D114">
        <v>121548</v>
      </c>
      <c r="E114">
        <v>1</v>
      </c>
      <c r="F114">
        <v>1</v>
      </c>
      <c r="G114">
        <v>1</v>
      </c>
      <c r="H114">
        <v>1</v>
      </c>
      <c r="I114" t="s">
        <v>15</v>
      </c>
      <c r="J114" t="s">
        <v>3</v>
      </c>
      <c r="K114" t="s">
        <v>355</v>
      </c>
      <c r="L114">
        <v>608254</v>
      </c>
      <c r="N114">
        <v>1013</v>
      </c>
      <c r="O114" t="s">
        <v>356</v>
      </c>
      <c r="P114" t="s">
        <v>356</v>
      </c>
      <c r="Q114">
        <v>1</v>
      </c>
      <c r="W114">
        <v>0</v>
      </c>
      <c r="X114">
        <v>-185737400</v>
      </c>
      <c r="Y114">
        <v>1.3125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1.05</v>
      </c>
      <c r="AU114" t="s">
        <v>143</v>
      </c>
      <c r="AV114">
        <v>2</v>
      </c>
      <c r="AW114">
        <v>2</v>
      </c>
      <c r="AX114">
        <v>36128678</v>
      </c>
      <c r="AY114">
        <v>1</v>
      </c>
      <c r="AZ114">
        <v>0</v>
      </c>
      <c r="BA114">
        <v>113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Y114*Source!I88</f>
        <v>3.9375E-2</v>
      </c>
      <c r="CY114">
        <f>AD114</f>
        <v>0</v>
      </c>
      <c r="CZ114">
        <f>AH114</f>
        <v>0</v>
      </c>
      <c r="DA114">
        <f>AL114</f>
        <v>1</v>
      </c>
      <c r="DB114">
        <f>ROUND((ROUND(AT114*CZ114,2)*1.25),6)</f>
        <v>0</v>
      </c>
      <c r="DC114">
        <f>ROUND((ROUND(AT114*AG114,2)*1.25),6)</f>
        <v>0</v>
      </c>
    </row>
    <row r="115" spans="1:107">
      <c r="A115">
        <f>ROW(Source!A88)</f>
        <v>88</v>
      </c>
      <c r="B115">
        <v>35683522</v>
      </c>
      <c r="C115">
        <v>36128652</v>
      </c>
      <c r="D115">
        <v>29172556</v>
      </c>
      <c r="E115">
        <v>1</v>
      </c>
      <c r="F115">
        <v>1</v>
      </c>
      <c r="G115">
        <v>1</v>
      </c>
      <c r="H115">
        <v>2</v>
      </c>
      <c r="I115" t="s">
        <v>357</v>
      </c>
      <c r="J115" t="s">
        <v>358</v>
      </c>
      <c r="K115" t="s">
        <v>359</v>
      </c>
      <c r="L115">
        <v>1368</v>
      </c>
      <c r="N115">
        <v>1011</v>
      </c>
      <c r="O115" t="s">
        <v>343</v>
      </c>
      <c r="P115" t="s">
        <v>343</v>
      </c>
      <c r="Q115">
        <v>1</v>
      </c>
      <c r="W115">
        <v>0</v>
      </c>
      <c r="X115">
        <v>-1302720870</v>
      </c>
      <c r="Y115">
        <v>1.3125</v>
      </c>
      <c r="AA115">
        <v>0</v>
      </c>
      <c r="AB115">
        <v>451.71</v>
      </c>
      <c r="AC115">
        <v>444.29</v>
      </c>
      <c r="AD115">
        <v>0</v>
      </c>
      <c r="AE115">
        <v>0</v>
      </c>
      <c r="AF115">
        <v>31.26</v>
      </c>
      <c r="AG115">
        <v>13.5</v>
      </c>
      <c r="AH115">
        <v>0</v>
      </c>
      <c r="AI115">
        <v>1</v>
      </c>
      <c r="AJ115">
        <v>14.45</v>
      </c>
      <c r="AK115">
        <v>32.909999999999997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1.05</v>
      </c>
      <c r="AU115" t="s">
        <v>143</v>
      </c>
      <c r="AV115">
        <v>0</v>
      </c>
      <c r="AW115">
        <v>2</v>
      </c>
      <c r="AX115">
        <v>36128679</v>
      </c>
      <c r="AY115">
        <v>1</v>
      </c>
      <c r="AZ115">
        <v>0</v>
      </c>
      <c r="BA115">
        <v>114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Y115*Source!I88</f>
        <v>3.9375E-2</v>
      </c>
      <c r="CY115">
        <f>AB115</f>
        <v>451.71</v>
      </c>
      <c r="CZ115">
        <f>AF115</f>
        <v>31.26</v>
      </c>
      <c r="DA115">
        <f>AJ115</f>
        <v>14.45</v>
      </c>
      <c r="DB115">
        <f>ROUND((ROUND(AT115*CZ115,2)*1.25),6)</f>
        <v>41.024999999999999</v>
      </c>
      <c r="DC115">
        <f>ROUND((ROUND(AT115*AG115,2)*1.25),6)</f>
        <v>17.725000000000001</v>
      </c>
    </row>
    <row r="116" spans="1:107">
      <c r="A116">
        <f>ROW(Source!A88)</f>
        <v>88</v>
      </c>
      <c r="B116">
        <v>35683522</v>
      </c>
      <c r="C116">
        <v>36128652</v>
      </c>
      <c r="D116">
        <v>29173472</v>
      </c>
      <c r="E116">
        <v>1</v>
      </c>
      <c r="F116">
        <v>1</v>
      </c>
      <c r="G116">
        <v>1</v>
      </c>
      <c r="H116">
        <v>2</v>
      </c>
      <c r="I116" t="s">
        <v>503</v>
      </c>
      <c r="J116" t="s">
        <v>518</v>
      </c>
      <c r="K116" t="s">
        <v>505</v>
      </c>
      <c r="L116">
        <v>1368</v>
      </c>
      <c r="N116">
        <v>1011</v>
      </c>
      <c r="O116" t="s">
        <v>343</v>
      </c>
      <c r="P116" t="s">
        <v>343</v>
      </c>
      <c r="Q116">
        <v>1</v>
      </c>
      <c r="W116">
        <v>0</v>
      </c>
      <c r="X116">
        <v>275932499</v>
      </c>
      <c r="Y116">
        <v>26</v>
      </c>
      <c r="AA116">
        <v>0</v>
      </c>
      <c r="AB116">
        <v>12.75</v>
      </c>
      <c r="AC116">
        <v>0</v>
      </c>
      <c r="AD116">
        <v>0</v>
      </c>
      <c r="AE116">
        <v>0</v>
      </c>
      <c r="AF116">
        <v>3</v>
      </c>
      <c r="AG116">
        <v>0</v>
      </c>
      <c r="AH116">
        <v>0</v>
      </c>
      <c r="AI116">
        <v>1</v>
      </c>
      <c r="AJ116">
        <v>4.25</v>
      </c>
      <c r="AK116">
        <v>32.909999999999997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20.8</v>
      </c>
      <c r="AU116" t="s">
        <v>143</v>
      </c>
      <c r="AV116">
        <v>0</v>
      </c>
      <c r="AW116">
        <v>2</v>
      </c>
      <c r="AX116">
        <v>36128680</v>
      </c>
      <c r="AY116">
        <v>1</v>
      </c>
      <c r="AZ116">
        <v>0</v>
      </c>
      <c r="BA116">
        <v>115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Y116*Source!I88</f>
        <v>0.78</v>
      </c>
      <c r="CY116">
        <f>AB116</f>
        <v>12.75</v>
      </c>
      <c r="CZ116">
        <f>AF116</f>
        <v>3</v>
      </c>
      <c r="DA116">
        <f>AJ116</f>
        <v>4.25</v>
      </c>
      <c r="DB116">
        <f>ROUND((ROUND(AT116*CZ116,2)*1.25),6)</f>
        <v>78</v>
      </c>
      <c r="DC116">
        <f>ROUND((ROUND(AT116*AG116,2)*1.25),6)</f>
        <v>0</v>
      </c>
    </row>
    <row r="117" spans="1:107">
      <c r="A117">
        <f>ROW(Source!A88)</f>
        <v>88</v>
      </c>
      <c r="B117">
        <v>35683522</v>
      </c>
      <c r="C117">
        <v>36128652</v>
      </c>
      <c r="D117">
        <v>29174500</v>
      </c>
      <c r="E117">
        <v>1</v>
      </c>
      <c r="F117">
        <v>1</v>
      </c>
      <c r="G117">
        <v>1</v>
      </c>
      <c r="H117">
        <v>2</v>
      </c>
      <c r="I117" t="s">
        <v>485</v>
      </c>
      <c r="J117" t="s">
        <v>486</v>
      </c>
      <c r="K117" t="s">
        <v>487</v>
      </c>
      <c r="L117">
        <v>1368</v>
      </c>
      <c r="N117">
        <v>1011</v>
      </c>
      <c r="O117" t="s">
        <v>343</v>
      </c>
      <c r="P117" t="s">
        <v>343</v>
      </c>
      <c r="Q117">
        <v>1</v>
      </c>
      <c r="W117">
        <v>0</v>
      </c>
      <c r="X117">
        <v>-239831557</v>
      </c>
      <c r="Y117">
        <v>77.012500000000003</v>
      </c>
      <c r="AA117">
        <v>0</v>
      </c>
      <c r="AB117">
        <v>7.33</v>
      </c>
      <c r="AC117">
        <v>0</v>
      </c>
      <c r="AD117">
        <v>0</v>
      </c>
      <c r="AE117">
        <v>0</v>
      </c>
      <c r="AF117">
        <v>1.95</v>
      </c>
      <c r="AG117">
        <v>0</v>
      </c>
      <c r="AH117">
        <v>0</v>
      </c>
      <c r="AI117">
        <v>1</v>
      </c>
      <c r="AJ117">
        <v>3.76</v>
      </c>
      <c r="AK117">
        <v>32.909999999999997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</v>
      </c>
      <c r="AT117">
        <v>61.61</v>
      </c>
      <c r="AU117" t="s">
        <v>143</v>
      </c>
      <c r="AV117">
        <v>0</v>
      </c>
      <c r="AW117">
        <v>2</v>
      </c>
      <c r="AX117">
        <v>36128681</v>
      </c>
      <c r="AY117">
        <v>1</v>
      </c>
      <c r="AZ117">
        <v>0</v>
      </c>
      <c r="BA117">
        <v>116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Y117*Source!I88</f>
        <v>2.3103750000000001</v>
      </c>
      <c r="CY117">
        <f>AB117</f>
        <v>7.33</v>
      </c>
      <c r="CZ117">
        <f>AF117</f>
        <v>1.95</v>
      </c>
      <c r="DA117">
        <f>AJ117</f>
        <v>3.76</v>
      </c>
      <c r="DB117">
        <f>ROUND((ROUND(AT117*CZ117,2)*1.25),6)</f>
        <v>150.17500000000001</v>
      </c>
      <c r="DC117">
        <f>ROUND((ROUND(AT117*AG117,2)*1.25),6)</f>
        <v>0</v>
      </c>
    </row>
    <row r="118" spans="1:107">
      <c r="A118">
        <f>ROW(Source!A88)</f>
        <v>88</v>
      </c>
      <c r="B118">
        <v>35683522</v>
      </c>
      <c r="C118">
        <v>36128652</v>
      </c>
      <c r="D118">
        <v>29174913</v>
      </c>
      <c r="E118">
        <v>1</v>
      </c>
      <c r="F118">
        <v>1</v>
      </c>
      <c r="G118">
        <v>1</v>
      </c>
      <c r="H118">
        <v>2</v>
      </c>
      <c r="I118" t="s">
        <v>375</v>
      </c>
      <c r="J118" t="s">
        <v>488</v>
      </c>
      <c r="K118" t="s">
        <v>377</v>
      </c>
      <c r="L118">
        <v>1368</v>
      </c>
      <c r="N118">
        <v>1011</v>
      </c>
      <c r="O118" t="s">
        <v>343</v>
      </c>
      <c r="P118" t="s">
        <v>343</v>
      </c>
      <c r="Q118">
        <v>1</v>
      </c>
      <c r="W118">
        <v>0</v>
      </c>
      <c r="X118">
        <v>458544584</v>
      </c>
      <c r="Y118">
        <v>4.4624999999999995</v>
      </c>
      <c r="AA118">
        <v>0</v>
      </c>
      <c r="AB118">
        <v>918.77</v>
      </c>
      <c r="AC118">
        <v>381.76</v>
      </c>
      <c r="AD118">
        <v>0</v>
      </c>
      <c r="AE118">
        <v>0</v>
      </c>
      <c r="AF118">
        <v>87.17</v>
      </c>
      <c r="AG118">
        <v>11.6</v>
      </c>
      <c r="AH118">
        <v>0</v>
      </c>
      <c r="AI118">
        <v>1</v>
      </c>
      <c r="AJ118">
        <v>10.54</v>
      </c>
      <c r="AK118">
        <v>32.909999999999997</v>
      </c>
      <c r="AL118">
        <v>1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3.57</v>
      </c>
      <c r="AU118" t="s">
        <v>143</v>
      </c>
      <c r="AV118">
        <v>0</v>
      </c>
      <c r="AW118">
        <v>2</v>
      </c>
      <c r="AX118">
        <v>36128682</v>
      </c>
      <c r="AY118">
        <v>1</v>
      </c>
      <c r="AZ118">
        <v>0</v>
      </c>
      <c r="BA118">
        <v>117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Y118*Source!I88</f>
        <v>0.13387499999999997</v>
      </c>
      <c r="CY118">
        <f>AB118</f>
        <v>918.77</v>
      </c>
      <c r="CZ118">
        <f>AF118</f>
        <v>87.17</v>
      </c>
      <c r="DA118">
        <f>AJ118</f>
        <v>10.54</v>
      </c>
      <c r="DB118">
        <f>ROUND((ROUND(AT118*CZ118,2)*1.25),6)</f>
        <v>389</v>
      </c>
      <c r="DC118">
        <f>ROUND((ROUND(AT118*AG118,2)*1.25),6)</f>
        <v>51.762500000000003</v>
      </c>
    </row>
    <row r="119" spans="1:107">
      <c r="A119">
        <f>ROW(Source!A88)</f>
        <v>88</v>
      </c>
      <c r="B119">
        <v>35683522</v>
      </c>
      <c r="C119">
        <v>36128652</v>
      </c>
      <c r="D119">
        <v>29114699</v>
      </c>
      <c r="E119">
        <v>1</v>
      </c>
      <c r="F119">
        <v>1</v>
      </c>
      <c r="G119">
        <v>1</v>
      </c>
      <c r="H119">
        <v>3</v>
      </c>
      <c r="I119" t="s">
        <v>527</v>
      </c>
      <c r="J119" t="s">
        <v>528</v>
      </c>
      <c r="K119" t="s">
        <v>529</v>
      </c>
      <c r="L119">
        <v>1354</v>
      </c>
      <c r="N119">
        <v>1010</v>
      </c>
      <c r="O119" t="s">
        <v>23</v>
      </c>
      <c r="P119" t="s">
        <v>23</v>
      </c>
      <c r="Q119">
        <v>1</v>
      </c>
      <c r="W119">
        <v>0</v>
      </c>
      <c r="X119">
        <v>-1364626454</v>
      </c>
      <c r="Y119">
        <v>652</v>
      </c>
      <c r="AA119">
        <v>0.24</v>
      </c>
      <c r="AB119">
        <v>0</v>
      </c>
      <c r="AC119">
        <v>0</v>
      </c>
      <c r="AD119">
        <v>0</v>
      </c>
      <c r="AE119">
        <v>0.05</v>
      </c>
      <c r="AF119">
        <v>0</v>
      </c>
      <c r="AG119">
        <v>0</v>
      </c>
      <c r="AH119">
        <v>0</v>
      </c>
      <c r="AI119">
        <v>4.7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652</v>
      </c>
      <c r="AU119" t="s">
        <v>3</v>
      </c>
      <c r="AV119">
        <v>0</v>
      </c>
      <c r="AW119">
        <v>2</v>
      </c>
      <c r="AX119">
        <v>36128683</v>
      </c>
      <c r="AY119">
        <v>1</v>
      </c>
      <c r="AZ119">
        <v>0</v>
      </c>
      <c r="BA119">
        <v>118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Y119*Source!I88</f>
        <v>19.559999999999999</v>
      </c>
      <c r="CY119">
        <f>AA119</f>
        <v>0.24</v>
      </c>
      <c r="CZ119">
        <f>AE119</f>
        <v>0.05</v>
      </c>
      <c r="DA119">
        <f>AI119</f>
        <v>4.7</v>
      </c>
      <c r="DB119">
        <f>ROUND(ROUND(AT119*CZ119,2),6)</f>
        <v>32.6</v>
      </c>
      <c r="DC119">
        <f>ROUND(ROUND(AT119*AG119,2),6)</f>
        <v>0</v>
      </c>
    </row>
    <row r="120" spans="1:107">
      <c r="A120">
        <f>ROW(Source!A88)</f>
        <v>88</v>
      </c>
      <c r="B120">
        <v>35683522</v>
      </c>
      <c r="C120">
        <v>36128652</v>
      </c>
      <c r="D120">
        <v>29108696</v>
      </c>
      <c r="E120">
        <v>1</v>
      </c>
      <c r="F120">
        <v>1</v>
      </c>
      <c r="G120">
        <v>1</v>
      </c>
      <c r="H120">
        <v>3</v>
      </c>
      <c r="I120" t="s">
        <v>530</v>
      </c>
      <c r="J120" t="s">
        <v>531</v>
      </c>
      <c r="K120" t="s">
        <v>532</v>
      </c>
      <c r="L120">
        <v>1354</v>
      </c>
      <c r="N120">
        <v>1010</v>
      </c>
      <c r="O120" t="s">
        <v>23</v>
      </c>
      <c r="P120" t="s">
        <v>23</v>
      </c>
      <c r="Q120">
        <v>1</v>
      </c>
      <c r="W120">
        <v>0</v>
      </c>
      <c r="X120">
        <v>2109155817</v>
      </c>
      <c r="Y120">
        <v>68</v>
      </c>
      <c r="AA120">
        <v>310.51</v>
      </c>
      <c r="AB120">
        <v>0</v>
      </c>
      <c r="AC120">
        <v>0</v>
      </c>
      <c r="AD120">
        <v>0</v>
      </c>
      <c r="AE120">
        <v>67.209999999999994</v>
      </c>
      <c r="AF120">
        <v>0</v>
      </c>
      <c r="AG120">
        <v>0</v>
      </c>
      <c r="AH120">
        <v>0</v>
      </c>
      <c r="AI120">
        <v>4.62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68</v>
      </c>
      <c r="AU120" t="s">
        <v>3</v>
      </c>
      <c r="AV120">
        <v>0</v>
      </c>
      <c r="AW120">
        <v>2</v>
      </c>
      <c r="AX120">
        <v>36128684</v>
      </c>
      <c r="AY120">
        <v>1</v>
      </c>
      <c r="AZ120">
        <v>0</v>
      </c>
      <c r="BA120">
        <v>119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Y120*Source!I88</f>
        <v>2.04</v>
      </c>
      <c r="CY120">
        <f>AA120</f>
        <v>310.51</v>
      </c>
      <c r="CZ120">
        <f>AE120</f>
        <v>67.209999999999994</v>
      </c>
      <c r="DA120">
        <f>AI120</f>
        <v>4.62</v>
      </c>
      <c r="DB120">
        <f>ROUND(ROUND(AT120*CZ120,2),6)</f>
        <v>4570.28</v>
      </c>
      <c r="DC120">
        <f>ROUND(ROUND(AT120*AG120,2),6)</f>
        <v>0</v>
      </c>
    </row>
    <row r="121" spans="1:107">
      <c r="A121">
        <f>ROW(Source!A88)</f>
        <v>88</v>
      </c>
      <c r="B121">
        <v>35683522</v>
      </c>
      <c r="C121">
        <v>36128652</v>
      </c>
      <c r="D121">
        <v>29115197</v>
      </c>
      <c r="E121">
        <v>1</v>
      </c>
      <c r="F121">
        <v>1</v>
      </c>
      <c r="G121">
        <v>1</v>
      </c>
      <c r="H121">
        <v>3</v>
      </c>
      <c r="I121" t="s">
        <v>533</v>
      </c>
      <c r="J121" t="s">
        <v>534</v>
      </c>
      <c r="K121" t="s">
        <v>535</v>
      </c>
      <c r="L121">
        <v>1354</v>
      </c>
      <c r="N121">
        <v>1010</v>
      </c>
      <c r="O121" t="s">
        <v>23</v>
      </c>
      <c r="P121" t="s">
        <v>23</v>
      </c>
      <c r="Q121">
        <v>1</v>
      </c>
      <c r="W121">
        <v>0</v>
      </c>
      <c r="X121">
        <v>-1208533646</v>
      </c>
      <c r="Y121">
        <v>800</v>
      </c>
      <c r="AA121">
        <v>3.65</v>
      </c>
      <c r="AB121">
        <v>0</v>
      </c>
      <c r="AC121">
        <v>0</v>
      </c>
      <c r="AD121">
        <v>0</v>
      </c>
      <c r="AE121">
        <v>0.5</v>
      </c>
      <c r="AF121">
        <v>0</v>
      </c>
      <c r="AG121">
        <v>0</v>
      </c>
      <c r="AH121">
        <v>0</v>
      </c>
      <c r="AI121">
        <v>7.29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3</v>
      </c>
      <c r="AT121">
        <v>800</v>
      </c>
      <c r="AU121" t="s">
        <v>3</v>
      </c>
      <c r="AV121">
        <v>0</v>
      </c>
      <c r="AW121">
        <v>2</v>
      </c>
      <c r="AX121">
        <v>36128685</v>
      </c>
      <c r="AY121">
        <v>1</v>
      </c>
      <c r="AZ121">
        <v>0</v>
      </c>
      <c r="BA121">
        <v>120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Y121*Source!I88</f>
        <v>24</v>
      </c>
      <c r="CY121">
        <f>AA121</f>
        <v>3.65</v>
      </c>
      <c r="CZ121">
        <f>AE121</f>
        <v>0.5</v>
      </c>
      <c r="DA121">
        <f>AI121</f>
        <v>7.29</v>
      </c>
      <c r="DB121">
        <f>ROUND(ROUND(AT121*CZ121,2),6)</f>
        <v>400</v>
      </c>
      <c r="DC121">
        <f>ROUND(ROUND(AT121*AG121,2),6)</f>
        <v>0</v>
      </c>
    </row>
    <row r="122" spans="1:107">
      <c r="A122">
        <f>ROW(Source!A88)</f>
        <v>88</v>
      </c>
      <c r="B122">
        <v>35683522</v>
      </c>
      <c r="C122">
        <v>36128652</v>
      </c>
      <c r="D122">
        <v>29130491</v>
      </c>
      <c r="E122">
        <v>1</v>
      </c>
      <c r="F122">
        <v>1</v>
      </c>
      <c r="G122">
        <v>1</v>
      </c>
      <c r="H122">
        <v>3</v>
      </c>
      <c r="I122" t="s">
        <v>209</v>
      </c>
      <c r="J122" t="s">
        <v>212</v>
      </c>
      <c r="K122" t="s">
        <v>210</v>
      </c>
      <c r="L122">
        <v>1327</v>
      </c>
      <c r="N122">
        <v>1005</v>
      </c>
      <c r="O122" t="s">
        <v>211</v>
      </c>
      <c r="P122" t="s">
        <v>211</v>
      </c>
      <c r="Q122">
        <v>1</v>
      </c>
      <c r="W122">
        <v>1</v>
      </c>
      <c r="X122">
        <v>920196250</v>
      </c>
      <c r="Y122">
        <v>-100</v>
      </c>
      <c r="AA122">
        <v>8573.5499999999993</v>
      </c>
      <c r="AB122">
        <v>0</v>
      </c>
      <c r="AC122">
        <v>0</v>
      </c>
      <c r="AD122">
        <v>0</v>
      </c>
      <c r="AE122">
        <v>1533.73</v>
      </c>
      <c r="AF122">
        <v>0</v>
      </c>
      <c r="AG122">
        <v>0</v>
      </c>
      <c r="AH122">
        <v>0</v>
      </c>
      <c r="AI122">
        <v>5.59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-100</v>
      </c>
      <c r="AU122" t="s">
        <v>3</v>
      </c>
      <c r="AV122">
        <v>0</v>
      </c>
      <c r="AW122">
        <v>2</v>
      </c>
      <c r="AX122">
        <v>36128686</v>
      </c>
      <c r="AY122">
        <v>1</v>
      </c>
      <c r="AZ122">
        <v>6144</v>
      </c>
      <c r="BA122">
        <v>121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Y122*Source!I88</f>
        <v>-3</v>
      </c>
      <c r="CY122">
        <f>AA122</f>
        <v>8573.5499999999993</v>
      </c>
      <c r="CZ122">
        <f>AE122</f>
        <v>1533.73</v>
      </c>
      <c r="DA122">
        <f>AI122</f>
        <v>5.59</v>
      </c>
      <c r="DB122">
        <f>ROUND(ROUND(AT122*CZ122,2),6)</f>
        <v>-153373</v>
      </c>
      <c r="DC122">
        <f>ROUND(ROUND(AT122*AG122,2),6)</f>
        <v>0</v>
      </c>
    </row>
    <row r="123" spans="1:107">
      <c r="A123">
        <f>ROW(Source!A88)</f>
        <v>88</v>
      </c>
      <c r="B123">
        <v>35683522</v>
      </c>
      <c r="C123">
        <v>36128652</v>
      </c>
      <c r="D123">
        <v>0</v>
      </c>
      <c r="E123">
        <v>0</v>
      </c>
      <c r="F123">
        <v>1</v>
      </c>
      <c r="G123">
        <v>1</v>
      </c>
      <c r="H123">
        <v>3</v>
      </c>
      <c r="I123" t="s">
        <v>199</v>
      </c>
      <c r="J123" t="s">
        <v>3</v>
      </c>
      <c r="K123" t="s">
        <v>214</v>
      </c>
      <c r="L123">
        <v>0</v>
      </c>
      <c r="W123">
        <v>0</v>
      </c>
      <c r="X123">
        <v>-750144056</v>
      </c>
      <c r="Y123">
        <v>33.333333000000003</v>
      </c>
      <c r="AA123">
        <v>50000</v>
      </c>
      <c r="AB123">
        <v>0</v>
      </c>
      <c r="AC123">
        <v>0</v>
      </c>
      <c r="AD123">
        <v>0</v>
      </c>
      <c r="AE123">
        <v>50000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0</v>
      </c>
      <c r="AP123">
        <v>0</v>
      </c>
      <c r="AQ123">
        <v>0</v>
      </c>
      <c r="AR123">
        <v>0</v>
      </c>
      <c r="AS123" t="s">
        <v>3</v>
      </c>
      <c r="AT123">
        <v>33.333333000000003</v>
      </c>
      <c r="AU123" t="s">
        <v>3</v>
      </c>
      <c r="AV123">
        <v>0</v>
      </c>
      <c r="AW123">
        <v>1</v>
      </c>
      <c r="AX123">
        <v>-1</v>
      </c>
      <c r="AY123">
        <v>0</v>
      </c>
      <c r="AZ123">
        <v>0</v>
      </c>
      <c r="BA123" t="s">
        <v>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Y123*Source!I88</f>
        <v>0.99999999000000006</v>
      </c>
      <c r="CY123">
        <f>AA123</f>
        <v>50000</v>
      </c>
      <c r="CZ123">
        <f>AE123</f>
        <v>50000</v>
      </c>
      <c r="DA123">
        <f>AI123</f>
        <v>1</v>
      </c>
      <c r="DB123">
        <f>ROUND(ROUND(AT123*CZ123,2),6)</f>
        <v>1666666.65</v>
      </c>
      <c r="DC123">
        <f>ROUND(ROUND(AT123*AG123,2),6)</f>
        <v>0</v>
      </c>
    </row>
    <row r="124" spans="1:107">
      <c r="A124">
        <f>ROW(Source!A91)</f>
        <v>91</v>
      </c>
      <c r="B124">
        <v>35683522</v>
      </c>
      <c r="C124">
        <v>35683864</v>
      </c>
      <c r="D124">
        <v>18410244</v>
      </c>
      <c r="E124">
        <v>1</v>
      </c>
      <c r="F124">
        <v>1</v>
      </c>
      <c r="G124">
        <v>1</v>
      </c>
      <c r="H124">
        <v>1</v>
      </c>
      <c r="I124" t="s">
        <v>536</v>
      </c>
      <c r="J124" t="s">
        <v>3</v>
      </c>
      <c r="K124" t="s">
        <v>537</v>
      </c>
      <c r="L124">
        <v>1369</v>
      </c>
      <c r="N124">
        <v>1013</v>
      </c>
      <c r="O124" t="s">
        <v>339</v>
      </c>
      <c r="P124" t="s">
        <v>339</v>
      </c>
      <c r="Q124">
        <v>1</v>
      </c>
      <c r="W124">
        <v>0</v>
      </c>
      <c r="X124">
        <v>-1803619151</v>
      </c>
      <c r="Y124">
        <v>234.66899999999998</v>
      </c>
      <c r="AA124">
        <v>0</v>
      </c>
      <c r="AB124">
        <v>0</v>
      </c>
      <c r="AC124">
        <v>0</v>
      </c>
      <c r="AD124">
        <v>303.32</v>
      </c>
      <c r="AE124">
        <v>0</v>
      </c>
      <c r="AF124">
        <v>0</v>
      </c>
      <c r="AG124">
        <v>0</v>
      </c>
      <c r="AH124">
        <v>303.32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204.06</v>
      </c>
      <c r="AU124" t="s">
        <v>144</v>
      </c>
      <c r="AV124">
        <v>1</v>
      </c>
      <c r="AW124">
        <v>2</v>
      </c>
      <c r="AX124">
        <v>35688923</v>
      </c>
      <c r="AY124">
        <v>1</v>
      </c>
      <c r="AZ124">
        <v>0</v>
      </c>
      <c r="BA124">
        <v>122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Y124*Source!I91</f>
        <v>14.549477999999999</v>
      </c>
      <c r="CY124">
        <f>AD124</f>
        <v>303.32</v>
      </c>
      <c r="CZ124">
        <f>AH124</f>
        <v>303.32</v>
      </c>
      <c r="DA124">
        <f>AL124</f>
        <v>1</v>
      </c>
      <c r="DB124">
        <f>ROUND((ROUND(AT124*CZ124,2)*1.15),6)</f>
        <v>71179.801999999996</v>
      </c>
      <c r="DC124">
        <f>ROUND((ROUND(AT124*AG124,2)*1.15),6)</f>
        <v>0</v>
      </c>
    </row>
    <row r="125" spans="1:107">
      <c r="A125">
        <f>ROW(Source!A91)</f>
        <v>91</v>
      </c>
      <c r="B125">
        <v>35683522</v>
      </c>
      <c r="C125">
        <v>35683864</v>
      </c>
      <c r="D125">
        <v>121548</v>
      </c>
      <c r="E125">
        <v>1</v>
      </c>
      <c r="F125">
        <v>1</v>
      </c>
      <c r="G125">
        <v>1</v>
      </c>
      <c r="H125">
        <v>1</v>
      </c>
      <c r="I125" t="s">
        <v>15</v>
      </c>
      <c r="J125" t="s">
        <v>3</v>
      </c>
      <c r="K125" t="s">
        <v>355</v>
      </c>
      <c r="L125">
        <v>608254</v>
      </c>
      <c r="N125">
        <v>1013</v>
      </c>
      <c r="O125" t="s">
        <v>356</v>
      </c>
      <c r="P125" t="s">
        <v>356</v>
      </c>
      <c r="Q125">
        <v>1</v>
      </c>
      <c r="W125">
        <v>0</v>
      </c>
      <c r="X125">
        <v>-185737400</v>
      </c>
      <c r="Y125">
        <v>2.5750000000000002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2.06</v>
      </c>
      <c r="AU125" t="s">
        <v>143</v>
      </c>
      <c r="AV125">
        <v>2</v>
      </c>
      <c r="AW125">
        <v>2</v>
      </c>
      <c r="AX125">
        <v>35688924</v>
      </c>
      <c r="AY125">
        <v>1</v>
      </c>
      <c r="AZ125">
        <v>0</v>
      </c>
      <c r="BA125">
        <v>123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Y125*Source!I91</f>
        <v>0.15965000000000001</v>
      </c>
      <c r="CY125">
        <f>AD125</f>
        <v>0</v>
      </c>
      <c r="CZ125">
        <f>AH125</f>
        <v>0</v>
      </c>
      <c r="DA125">
        <f>AL125</f>
        <v>1</v>
      </c>
      <c r="DB125">
        <f>ROUND((ROUND(AT125*CZ125,2)*1.25),6)</f>
        <v>0</v>
      </c>
      <c r="DC125">
        <f>ROUND((ROUND(AT125*AG125,2)*1.25),6)</f>
        <v>0</v>
      </c>
    </row>
    <row r="126" spans="1:107">
      <c r="A126">
        <f>ROW(Source!A91)</f>
        <v>91</v>
      </c>
      <c r="B126">
        <v>35683522</v>
      </c>
      <c r="C126">
        <v>35683864</v>
      </c>
      <c r="D126">
        <v>29172556</v>
      </c>
      <c r="E126">
        <v>1</v>
      </c>
      <c r="F126">
        <v>1</v>
      </c>
      <c r="G126">
        <v>1</v>
      </c>
      <c r="H126">
        <v>2</v>
      </c>
      <c r="I126" t="s">
        <v>357</v>
      </c>
      <c r="J126" t="s">
        <v>358</v>
      </c>
      <c r="K126" t="s">
        <v>359</v>
      </c>
      <c r="L126">
        <v>1368</v>
      </c>
      <c r="N126">
        <v>1011</v>
      </c>
      <c r="O126" t="s">
        <v>343</v>
      </c>
      <c r="P126" t="s">
        <v>343</v>
      </c>
      <c r="Q126">
        <v>1</v>
      </c>
      <c r="W126">
        <v>0</v>
      </c>
      <c r="X126">
        <v>-1302720870</v>
      </c>
      <c r="Y126">
        <v>2.5750000000000002</v>
      </c>
      <c r="AA126">
        <v>0</v>
      </c>
      <c r="AB126">
        <v>451.71</v>
      </c>
      <c r="AC126">
        <v>444.29</v>
      </c>
      <c r="AD126">
        <v>0</v>
      </c>
      <c r="AE126">
        <v>0</v>
      </c>
      <c r="AF126">
        <v>31.26</v>
      </c>
      <c r="AG126">
        <v>13.5</v>
      </c>
      <c r="AH126">
        <v>0</v>
      </c>
      <c r="AI126">
        <v>1</v>
      </c>
      <c r="AJ126">
        <v>14.45</v>
      </c>
      <c r="AK126">
        <v>32.909999999999997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2.06</v>
      </c>
      <c r="AU126" t="s">
        <v>143</v>
      </c>
      <c r="AV126">
        <v>0</v>
      </c>
      <c r="AW126">
        <v>2</v>
      </c>
      <c r="AX126">
        <v>35688925</v>
      </c>
      <c r="AY126">
        <v>1</v>
      </c>
      <c r="AZ126">
        <v>0</v>
      </c>
      <c r="BA126">
        <v>124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Y126*Source!I91</f>
        <v>0.15965000000000001</v>
      </c>
      <c r="CY126">
        <f>AB126</f>
        <v>451.71</v>
      </c>
      <c r="CZ126">
        <f>AF126</f>
        <v>31.26</v>
      </c>
      <c r="DA126">
        <f>AJ126</f>
        <v>14.45</v>
      </c>
      <c r="DB126">
        <f>ROUND((ROUND(AT126*CZ126,2)*1.25),6)</f>
        <v>80.5</v>
      </c>
      <c r="DC126">
        <f>ROUND((ROUND(AT126*AG126,2)*1.25),6)</f>
        <v>34.762500000000003</v>
      </c>
    </row>
    <row r="127" spans="1:107">
      <c r="A127">
        <f>ROW(Source!A91)</f>
        <v>91</v>
      </c>
      <c r="B127">
        <v>35683522</v>
      </c>
      <c r="C127">
        <v>35683864</v>
      </c>
      <c r="D127">
        <v>29145213</v>
      </c>
      <c r="E127">
        <v>1</v>
      </c>
      <c r="F127">
        <v>1</v>
      </c>
      <c r="G127">
        <v>1</v>
      </c>
      <c r="H127">
        <v>3</v>
      </c>
      <c r="I127" t="s">
        <v>538</v>
      </c>
      <c r="J127" t="s">
        <v>539</v>
      </c>
      <c r="K127" t="s">
        <v>540</v>
      </c>
      <c r="L127">
        <v>1339</v>
      </c>
      <c r="N127">
        <v>1007</v>
      </c>
      <c r="O127" t="s">
        <v>350</v>
      </c>
      <c r="P127" t="s">
        <v>350</v>
      </c>
      <c r="Q127">
        <v>1</v>
      </c>
      <c r="W127">
        <v>0</v>
      </c>
      <c r="X127">
        <v>-1951829887</v>
      </c>
      <c r="Y127">
        <v>0.1</v>
      </c>
      <c r="AA127">
        <v>3397.36</v>
      </c>
      <c r="AB127">
        <v>0</v>
      </c>
      <c r="AC127">
        <v>0</v>
      </c>
      <c r="AD127">
        <v>0</v>
      </c>
      <c r="AE127">
        <v>517.89</v>
      </c>
      <c r="AF127">
        <v>0</v>
      </c>
      <c r="AG127">
        <v>0</v>
      </c>
      <c r="AH127">
        <v>0</v>
      </c>
      <c r="AI127">
        <v>6.56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3</v>
      </c>
      <c r="AT127">
        <v>0.1</v>
      </c>
      <c r="AU127" t="s">
        <v>3</v>
      </c>
      <c r="AV127">
        <v>0</v>
      </c>
      <c r="AW127">
        <v>2</v>
      </c>
      <c r="AX127">
        <v>35688926</v>
      </c>
      <c r="AY127">
        <v>1</v>
      </c>
      <c r="AZ127">
        <v>0</v>
      </c>
      <c r="BA127">
        <v>125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Y127*Source!I91</f>
        <v>6.2000000000000006E-3</v>
      </c>
      <c r="CY127">
        <f>AA127</f>
        <v>3397.36</v>
      </c>
      <c r="CZ127">
        <f>AE127</f>
        <v>517.89</v>
      </c>
      <c r="DA127">
        <f>AI127</f>
        <v>6.56</v>
      </c>
      <c r="DB127">
        <f>ROUND(ROUND(AT127*CZ127,2),6)</f>
        <v>51.79</v>
      </c>
      <c r="DC127">
        <f>ROUND(ROUND(AT127*AG127,2),6)</f>
        <v>0</v>
      </c>
    </row>
    <row r="128" spans="1:107">
      <c r="A128">
        <f>ROW(Source!A91)</f>
        <v>91</v>
      </c>
      <c r="B128">
        <v>35683522</v>
      </c>
      <c r="C128">
        <v>35683864</v>
      </c>
      <c r="D128">
        <v>29145216</v>
      </c>
      <c r="E128">
        <v>1</v>
      </c>
      <c r="F128">
        <v>1</v>
      </c>
      <c r="G128">
        <v>1</v>
      </c>
      <c r="H128">
        <v>3</v>
      </c>
      <c r="I128" t="s">
        <v>541</v>
      </c>
      <c r="J128" t="s">
        <v>542</v>
      </c>
      <c r="K128" t="s">
        <v>543</v>
      </c>
      <c r="L128">
        <v>1339</v>
      </c>
      <c r="N128">
        <v>1007</v>
      </c>
      <c r="O128" t="s">
        <v>350</v>
      </c>
      <c r="P128" t="s">
        <v>350</v>
      </c>
      <c r="Q128">
        <v>1</v>
      </c>
      <c r="W128">
        <v>0</v>
      </c>
      <c r="X128">
        <v>1492286678</v>
      </c>
      <c r="Y128">
        <v>4.3</v>
      </c>
      <c r="AA128">
        <v>3480.98</v>
      </c>
      <c r="AB128">
        <v>0</v>
      </c>
      <c r="AC128">
        <v>0</v>
      </c>
      <c r="AD128">
        <v>0</v>
      </c>
      <c r="AE128">
        <v>477.5</v>
      </c>
      <c r="AF128">
        <v>0</v>
      </c>
      <c r="AG128">
        <v>0</v>
      </c>
      <c r="AH128">
        <v>0</v>
      </c>
      <c r="AI128">
        <v>7.29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4.3</v>
      </c>
      <c r="AU128" t="s">
        <v>3</v>
      </c>
      <c r="AV128">
        <v>0</v>
      </c>
      <c r="AW128">
        <v>2</v>
      </c>
      <c r="AX128">
        <v>35688927</v>
      </c>
      <c r="AY128">
        <v>1</v>
      </c>
      <c r="AZ128">
        <v>0</v>
      </c>
      <c r="BA128">
        <v>126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Y128*Source!I91</f>
        <v>0.2666</v>
      </c>
      <c r="CY128">
        <f>AA128</f>
        <v>3480.98</v>
      </c>
      <c r="CZ128">
        <f>AE128</f>
        <v>477.5</v>
      </c>
      <c r="DA128">
        <f>AI128</f>
        <v>7.29</v>
      </c>
      <c r="DB128">
        <f>ROUND(ROUND(AT128*CZ128,2),6)</f>
        <v>2053.25</v>
      </c>
      <c r="DC128">
        <f>ROUND(ROUND(AT128*AG128,2),6)</f>
        <v>0</v>
      </c>
    </row>
    <row r="129" spans="1:107">
      <c r="A129">
        <f>ROW(Source!A92)</f>
        <v>92</v>
      </c>
      <c r="B129">
        <v>35683522</v>
      </c>
      <c r="C129">
        <v>35688905</v>
      </c>
      <c r="D129">
        <v>18410572</v>
      </c>
      <c r="E129">
        <v>1</v>
      </c>
      <c r="F129">
        <v>1</v>
      </c>
      <c r="G129">
        <v>1</v>
      </c>
      <c r="H129">
        <v>1</v>
      </c>
      <c r="I129" t="s">
        <v>384</v>
      </c>
      <c r="J129" t="s">
        <v>3</v>
      </c>
      <c r="K129" t="s">
        <v>385</v>
      </c>
      <c r="L129">
        <v>1369</v>
      </c>
      <c r="N129">
        <v>1013</v>
      </c>
      <c r="O129" t="s">
        <v>339</v>
      </c>
      <c r="P129" t="s">
        <v>339</v>
      </c>
      <c r="Q129">
        <v>1</v>
      </c>
      <c r="W129">
        <v>0</v>
      </c>
      <c r="X129">
        <v>-546915240</v>
      </c>
      <c r="Y129">
        <v>50.094000000000001</v>
      </c>
      <c r="AA129">
        <v>0</v>
      </c>
      <c r="AB129">
        <v>0</v>
      </c>
      <c r="AC129">
        <v>0</v>
      </c>
      <c r="AD129">
        <v>285.36</v>
      </c>
      <c r="AE129">
        <v>0</v>
      </c>
      <c r="AF129">
        <v>0</v>
      </c>
      <c r="AG129">
        <v>0</v>
      </c>
      <c r="AH129">
        <v>285.36</v>
      </c>
      <c r="AI129">
        <v>1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</v>
      </c>
      <c r="AT129">
        <v>43.56</v>
      </c>
      <c r="AU129" t="s">
        <v>144</v>
      </c>
      <c r="AV129">
        <v>1</v>
      </c>
      <c r="AW129">
        <v>2</v>
      </c>
      <c r="AX129">
        <v>35688906</v>
      </c>
      <c r="AY129">
        <v>1</v>
      </c>
      <c r="AZ129">
        <v>0</v>
      </c>
      <c r="BA129">
        <v>127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Y129*Source!I92</f>
        <v>3.1058280000000003</v>
      </c>
      <c r="CY129">
        <f>AD129</f>
        <v>285.36</v>
      </c>
      <c r="CZ129">
        <f>AH129</f>
        <v>285.36</v>
      </c>
      <c r="DA129">
        <f>AL129</f>
        <v>1</v>
      </c>
      <c r="DB129">
        <f>ROUND((ROUND(AT129*CZ129,2)*1.15),6)</f>
        <v>14294.822</v>
      </c>
      <c r="DC129">
        <f>ROUND((ROUND(AT129*AG129,2)*1.15),6)</f>
        <v>0</v>
      </c>
    </row>
    <row r="130" spans="1:107">
      <c r="A130">
        <f>ROW(Source!A92)</f>
        <v>92</v>
      </c>
      <c r="B130">
        <v>35683522</v>
      </c>
      <c r="C130">
        <v>35688905</v>
      </c>
      <c r="D130">
        <v>121548</v>
      </c>
      <c r="E130">
        <v>1</v>
      </c>
      <c r="F130">
        <v>1</v>
      </c>
      <c r="G130">
        <v>1</v>
      </c>
      <c r="H130">
        <v>1</v>
      </c>
      <c r="I130" t="s">
        <v>15</v>
      </c>
      <c r="J130" t="s">
        <v>3</v>
      </c>
      <c r="K130" t="s">
        <v>355</v>
      </c>
      <c r="L130">
        <v>608254</v>
      </c>
      <c r="N130">
        <v>1013</v>
      </c>
      <c r="O130" t="s">
        <v>356</v>
      </c>
      <c r="P130" t="s">
        <v>356</v>
      </c>
      <c r="Q130">
        <v>1</v>
      </c>
      <c r="W130">
        <v>0</v>
      </c>
      <c r="X130">
        <v>-185737400</v>
      </c>
      <c r="Y130">
        <v>2.5000000000000001E-2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3</v>
      </c>
      <c r="AT130">
        <v>0.02</v>
      </c>
      <c r="AU130" t="s">
        <v>143</v>
      </c>
      <c r="AV130">
        <v>2</v>
      </c>
      <c r="AW130">
        <v>2</v>
      </c>
      <c r="AX130">
        <v>35688907</v>
      </c>
      <c r="AY130">
        <v>1</v>
      </c>
      <c r="AZ130">
        <v>0</v>
      </c>
      <c r="BA130">
        <v>128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Y130*Source!I92</f>
        <v>1.5500000000000002E-3</v>
      </c>
      <c r="CY130">
        <f>AD130</f>
        <v>0</v>
      </c>
      <c r="CZ130">
        <f>AH130</f>
        <v>0</v>
      </c>
      <c r="DA130">
        <f>AL130</f>
        <v>1</v>
      </c>
      <c r="DB130">
        <f>ROUND((ROUND(AT130*CZ130,2)*1.25),6)</f>
        <v>0</v>
      </c>
      <c r="DC130">
        <f>ROUND((ROUND(AT130*AG130,2)*1.25),6)</f>
        <v>0</v>
      </c>
    </row>
    <row r="131" spans="1:107">
      <c r="A131">
        <f>ROW(Source!A92)</f>
        <v>92</v>
      </c>
      <c r="B131">
        <v>35683522</v>
      </c>
      <c r="C131">
        <v>35688905</v>
      </c>
      <c r="D131">
        <v>29172554</v>
      </c>
      <c r="E131">
        <v>1</v>
      </c>
      <c r="F131">
        <v>1</v>
      </c>
      <c r="G131">
        <v>1</v>
      </c>
      <c r="H131">
        <v>2</v>
      </c>
      <c r="I131" t="s">
        <v>544</v>
      </c>
      <c r="J131" t="s">
        <v>545</v>
      </c>
      <c r="K131" t="s">
        <v>546</v>
      </c>
      <c r="L131">
        <v>1368</v>
      </c>
      <c r="N131">
        <v>1011</v>
      </c>
      <c r="O131" t="s">
        <v>343</v>
      </c>
      <c r="P131" t="s">
        <v>343</v>
      </c>
      <c r="Q131">
        <v>1</v>
      </c>
      <c r="W131">
        <v>0</v>
      </c>
      <c r="X131">
        <v>-227040401</v>
      </c>
      <c r="Y131">
        <v>2.5000000000000001E-2</v>
      </c>
      <c r="AA131">
        <v>0</v>
      </c>
      <c r="AB131">
        <v>416.84</v>
      </c>
      <c r="AC131">
        <v>381.76</v>
      </c>
      <c r="AD131">
        <v>0</v>
      </c>
      <c r="AE131">
        <v>0</v>
      </c>
      <c r="AF131">
        <v>27.66</v>
      </c>
      <c r="AG131">
        <v>11.6</v>
      </c>
      <c r="AH131">
        <v>0</v>
      </c>
      <c r="AI131">
        <v>1</v>
      </c>
      <c r="AJ131">
        <v>15.07</v>
      </c>
      <c r="AK131">
        <v>32.909999999999997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0.02</v>
      </c>
      <c r="AU131" t="s">
        <v>143</v>
      </c>
      <c r="AV131">
        <v>0</v>
      </c>
      <c r="AW131">
        <v>2</v>
      </c>
      <c r="AX131">
        <v>35688908</v>
      </c>
      <c r="AY131">
        <v>1</v>
      </c>
      <c r="AZ131">
        <v>0</v>
      </c>
      <c r="BA131">
        <v>129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Y131*Source!I92</f>
        <v>1.5500000000000002E-3</v>
      </c>
      <c r="CY131">
        <f>AB131</f>
        <v>416.84</v>
      </c>
      <c r="CZ131">
        <f>AF131</f>
        <v>27.66</v>
      </c>
      <c r="DA131">
        <f>AJ131</f>
        <v>15.07</v>
      </c>
      <c r="DB131">
        <f>ROUND((ROUND(AT131*CZ131,2)*1.25),6)</f>
        <v>0.6875</v>
      </c>
      <c r="DC131">
        <f>ROUND((ROUND(AT131*AG131,2)*1.25),6)</f>
        <v>0.28749999999999998</v>
      </c>
    </row>
    <row r="132" spans="1:107">
      <c r="A132">
        <f>ROW(Source!A92)</f>
        <v>92</v>
      </c>
      <c r="B132">
        <v>35683522</v>
      </c>
      <c r="C132">
        <v>35688905</v>
      </c>
      <c r="D132">
        <v>29174913</v>
      </c>
      <c r="E132">
        <v>1</v>
      </c>
      <c r="F132">
        <v>1</v>
      </c>
      <c r="G132">
        <v>1</v>
      </c>
      <c r="H132">
        <v>2</v>
      </c>
      <c r="I132" t="s">
        <v>375</v>
      </c>
      <c r="J132" t="s">
        <v>488</v>
      </c>
      <c r="K132" t="s">
        <v>377</v>
      </c>
      <c r="L132">
        <v>1368</v>
      </c>
      <c r="N132">
        <v>1011</v>
      </c>
      <c r="O132" t="s">
        <v>343</v>
      </c>
      <c r="P132" t="s">
        <v>343</v>
      </c>
      <c r="Q132">
        <v>1</v>
      </c>
      <c r="W132">
        <v>0</v>
      </c>
      <c r="X132">
        <v>458544584</v>
      </c>
      <c r="Y132">
        <v>0.1875</v>
      </c>
      <c r="AA132">
        <v>0</v>
      </c>
      <c r="AB132">
        <v>918.77</v>
      </c>
      <c r="AC132">
        <v>381.76</v>
      </c>
      <c r="AD132">
        <v>0</v>
      </c>
      <c r="AE132">
        <v>0</v>
      </c>
      <c r="AF132">
        <v>87.17</v>
      </c>
      <c r="AG132">
        <v>11.6</v>
      </c>
      <c r="AH132">
        <v>0</v>
      </c>
      <c r="AI132">
        <v>1</v>
      </c>
      <c r="AJ132">
        <v>10.54</v>
      </c>
      <c r="AK132">
        <v>32.909999999999997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</v>
      </c>
      <c r="AT132">
        <v>0.15</v>
      </c>
      <c r="AU132" t="s">
        <v>143</v>
      </c>
      <c r="AV132">
        <v>0</v>
      </c>
      <c r="AW132">
        <v>2</v>
      </c>
      <c r="AX132">
        <v>35688909</v>
      </c>
      <c r="AY132">
        <v>1</v>
      </c>
      <c r="AZ132">
        <v>0</v>
      </c>
      <c r="BA132">
        <v>130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Y132*Source!I92</f>
        <v>1.1625E-2</v>
      </c>
      <c r="CY132">
        <f>AB132</f>
        <v>918.77</v>
      </c>
      <c r="CZ132">
        <f>AF132</f>
        <v>87.17</v>
      </c>
      <c r="DA132">
        <f>AJ132</f>
        <v>10.54</v>
      </c>
      <c r="DB132">
        <f>ROUND((ROUND(AT132*CZ132,2)*1.25),6)</f>
        <v>16.350000000000001</v>
      </c>
      <c r="DC132">
        <f>ROUND((ROUND(AT132*AG132,2)*1.25),6)</f>
        <v>2.1749999999999998</v>
      </c>
    </row>
    <row r="133" spans="1:107">
      <c r="A133">
        <f>ROW(Source!A92)</f>
        <v>92</v>
      </c>
      <c r="B133">
        <v>35683522</v>
      </c>
      <c r="C133">
        <v>35688905</v>
      </c>
      <c r="D133">
        <v>29107779</v>
      </c>
      <c r="E133">
        <v>1</v>
      </c>
      <c r="F133">
        <v>1</v>
      </c>
      <c r="G133">
        <v>1</v>
      </c>
      <c r="H133">
        <v>3</v>
      </c>
      <c r="I133" t="s">
        <v>547</v>
      </c>
      <c r="J133" t="s">
        <v>548</v>
      </c>
      <c r="K133" t="s">
        <v>549</v>
      </c>
      <c r="L133">
        <v>1327</v>
      </c>
      <c r="N133">
        <v>1005</v>
      </c>
      <c r="O133" t="s">
        <v>211</v>
      </c>
      <c r="P133" t="s">
        <v>211</v>
      </c>
      <c r="Q133">
        <v>1</v>
      </c>
      <c r="W133">
        <v>0</v>
      </c>
      <c r="X133">
        <v>2125256490</v>
      </c>
      <c r="Y133">
        <v>0.84</v>
      </c>
      <c r="AA133">
        <v>203.19</v>
      </c>
      <c r="AB133">
        <v>0</v>
      </c>
      <c r="AC133">
        <v>0</v>
      </c>
      <c r="AD133">
        <v>0</v>
      </c>
      <c r="AE133">
        <v>72.31</v>
      </c>
      <c r="AF133">
        <v>0</v>
      </c>
      <c r="AG133">
        <v>0</v>
      </c>
      <c r="AH133">
        <v>0</v>
      </c>
      <c r="AI133">
        <v>2.81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0.84</v>
      </c>
      <c r="AU133" t="s">
        <v>3</v>
      </c>
      <c r="AV133">
        <v>0</v>
      </c>
      <c r="AW133">
        <v>2</v>
      </c>
      <c r="AX133">
        <v>35688910</v>
      </c>
      <c r="AY133">
        <v>1</v>
      </c>
      <c r="AZ133">
        <v>0</v>
      </c>
      <c r="BA133">
        <v>131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Y133*Source!I92</f>
        <v>5.2079999999999994E-2</v>
      </c>
      <c r="CY133">
        <f>AA133</f>
        <v>203.19</v>
      </c>
      <c r="CZ133">
        <f>AE133</f>
        <v>72.31</v>
      </c>
      <c r="DA133">
        <f>AI133</f>
        <v>2.81</v>
      </c>
      <c r="DB133">
        <f>ROUND(ROUND(AT133*CZ133,2),6)</f>
        <v>60.74</v>
      </c>
      <c r="DC133">
        <f>ROUND(ROUND(AT133*AG133,2),6)</f>
        <v>0</v>
      </c>
    </row>
    <row r="134" spans="1:107">
      <c r="A134">
        <f>ROW(Source!A92)</f>
        <v>92</v>
      </c>
      <c r="B134">
        <v>35683522</v>
      </c>
      <c r="C134">
        <v>35688905</v>
      </c>
      <c r="D134">
        <v>29107800</v>
      </c>
      <c r="E134">
        <v>1</v>
      </c>
      <c r="F134">
        <v>1</v>
      </c>
      <c r="G134">
        <v>1</v>
      </c>
      <c r="H134">
        <v>3</v>
      </c>
      <c r="I134" t="s">
        <v>550</v>
      </c>
      <c r="J134" t="s">
        <v>551</v>
      </c>
      <c r="K134" t="s">
        <v>552</v>
      </c>
      <c r="L134">
        <v>1346</v>
      </c>
      <c r="N134">
        <v>1009</v>
      </c>
      <c r="O134" t="s">
        <v>425</v>
      </c>
      <c r="P134" t="s">
        <v>425</v>
      </c>
      <c r="Q134">
        <v>1</v>
      </c>
      <c r="W134">
        <v>0</v>
      </c>
      <c r="X134">
        <v>-1570619850</v>
      </c>
      <c r="Y134">
        <v>0.31</v>
      </c>
      <c r="AA134">
        <v>46.61</v>
      </c>
      <c r="AB134">
        <v>0</v>
      </c>
      <c r="AC134">
        <v>0</v>
      </c>
      <c r="AD134">
        <v>0</v>
      </c>
      <c r="AE134">
        <v>1.81</v>
      </c>
      <c r="AF134">
        <v>0</v>
      </c>
      <c r="AG134">
        <v>0</v>
      </c>
      <c r="AH134">
        <v>0</v>
      </c>
      <c r="AI134">
        <v>25.75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0.31</v>
      </c>
      <c r="AU134" t="s">
        <v>3</v>
      </c>
      <c r="AV134">
        <v>0</v>
      </c>
      <c r="AW134">
        <v>2</v>
      </c>
      <c r="AX134">
        <v>35688911</v>
      </c>
      <c r="AY134">
        <v>1</v>
      </c>
      <c r="AZ134">
        <v>0</v>
      </c>
      <c r="BA134">
        <v>132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Y134*Source!I92</f>
        <v>1.9220000000000001E-2</v>
      </c>
      <c r="CY134">
        <f>AA134</f>
        <v>46.61</v>
      </c>
      <c r="CZ134">
        <f>AE134</f>
        <v>1.81</v>
      </c>
      <c r="DA134">
        <f>AI134</f>
        <v>25.75</v>
      </c>
      <c r="DB134">
        <f>ROUND(ROUND(AT134*CZ134,2),6)</f>
        <v>0.56000000000000005</v>
      </c>
      <c r="DC134">
        <f>ROUND(ROUND(AT134*AG134,2),6)</f>
        <v>0</v>
      </c>
    </row>
    <row r="135" spans="1:107">
      <c r="A135">
        <f>ROW(Source!A92)</f>
        <v>92</v>
      </c>
      <c r="B135">
        <v>35683522</v>
      </c>
      <c r="C135">
        <v>35688905</v>
      </c>
      <c r="D135">
        <v>29110233</v>
      </c>
      <c r="E135">
        <v>1</v>
      </c>
      <c r="F135">
        <v>1</v>
      </c>
      <c r="G135">
        <v>1</v>
      </c>
      <c r="H135">
        <v>3</v>
      </c>
      <c r="I135" t="s">
        <v>553</v>
      </c>
      <c r="J135" t="s">
        <v>554</v>
      </c>
      <c r="K135" t="s">
        <v>555</v>
      </c>
      <c r="L135">
        <v>1348</v>
      </c>
      <c r="N135">
        <v>1009</v>
      </c>
      <c r="O135" t="s">
        <v>43</v>
      </c>
      <c r="P135" t="s">
        <v>43</v>
      </c>
      <c r="Q135">
        <v>1000</v>
      </c>
      <c r="W135">
        <v>0</v>
      </c>
      <c r="X135">
        <v>-1155891062</v>
      </c>
      <c r="Y135">
        <v>0.03</v>
      </c>
      <c r="AA135">
        <v>43897.59</v>
      </c>
      <c r="AB135">
        <v>0</v>
      </c>
      <c r="AC135">
        <v>0</v>
      </c>
      <c r="AD135">
        <v>0</v>
      </c>
      <c r="AE135">
        <v>4615.9399999999996</v>
      </c>
      <c r="AF135">
        <v>0</v>
      </c>
      <c r="AG135">
        <v>0</v>
      </c>
      <c r="AH135">
        <v>0</v>
      </c>
      <c r="AI135">
        <v>9.51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0.03</v>
      </c>
      <c r="AU135" t="s">
        <v>3</v>
      </c>
      <c r="AV135">
        <v>0</v>
      </c>
      <c r="AW135">
        <v>2</v>
      </c>
      <c r="AX135">
        <v>35688912</v>
      </c>
      <c r="AY135">
        <v>1</v>
      </c>
      <c r="AZ135">
        <v>0</v>
      </c>
      <c r="BA135">
        <v>133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Y135*Source!I92</f>
        <v>1.8599999999999999E-3</v>
      </c>
      <c r="CY135">
        <f>AA135</f>
        <v>43897.59</v>
      </c>
      <c r="CZ135">
        <f>AE135</f>
        <v>4615.9399999999996</v>
      </c>
      <c r="DA135">
        <f>AI135</f>
        <v>9.51</v>
      </c>
      <c r="DB135">
        <f>ROUND(ROUND(AT135*CZ135,2),6)</f>
        <v>138.47999999999999</v>
      </c>
      <c r="DC135">
        <f>ROUND(ROUND(AT135*AG135,2),6)</f>
        <v>0</v>
      </c>
    </row>
    <row r="136" spans="1:107">
      <c r="A136">
        <f>ROW(Source!A92)</f>
        <v>92</v>
      </c>
      <c r="B136">
        <v>35683522</v>
      </c>
      <c r="C136">
        <v>35688905</v>
      </c>
      <c r="D136">
        <v>29109784</v>
      </c>
      <c r="E136">
        <v>1</v>
      </c>
      <c r="F136">
        <v>1</v>
      </c>
      <c r="G136">
        <v>1</v>
      </c>
      <c r="H136">
        <v>3</v>
      </c>
      <c r="I136" t="s">
        <v>556</v>
      </c>
      <c r="J136" t="s">
        <v>557</v>
      </c>
      <c r="K136" t="s">
        <v>558</v>
      </c>
      <c r="L136">
        <v>1348</v>
      </c>
      <c r="N136">
        <v>1009</v>
      </c>
      <c r="O136" t="s">
        <v>43</v>
      </c>
      <c r="P136" t="s">
        <v>43</v>
      </c>
      <c r="Q136">
        <v>1000</v>
      </c>
      <c r="W136">
        <v>0</v>
      </c>
      <c r="X136">
        <v>-1841789987</v>
      </c>
      <c r="Y136">
        <v>5.0999999999999997E-2</v>
      </c>
      <c r="AA136">
        <v>47352.14</v>
      </c>
      <c r="AB136">
        <v>0</v>
      </c>
      <c r="AC136">
        <v>0</v>
      </c>
      <c r="AD136">
        <v>0</v>
      </c>
      <c r="AE136">
        <v>11927.49</v>
      </c>
      <c r="AF136">
        <v>0</v>
      </c>
      <c r="AG136">
        <v>0</v>
      </c>
      <c r="AH136">
        <v>0</v>
      </c>
      <c r="AI136">
        <v>3.97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5.0999999999999997E-2</v>
      </c>
      <c r="AU136" t="s">
        <v>3</v>
      </c>
      <c r="AV136">
        <v>0</v>
      </c>
      <c r="AW136">
        <v>2</v>
      </c>
      <c r="AX136">
        <v>35688913</v>
      </c>
      <c r="AY136">
        <v>1</v>
      </c>
      <c r="AZ136">
        <v>0</v>
      </c>
      <c r="BA136">
        <v>134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Y136*Source!I92</f>
        <v>3.1619999999999999E-3</v>
      </c>
      <c r="CY136">
        <f>AA136</f>
        <v>47352.14</v>
      </c>
      <c r="CZ136">
        <f>AE136</f>
        <v>11927.49</v>
      </c>
      <c r="DA136">
        <f>AI136</f>
        <v>3.97</v>
      </c>
      <c r="DB136">
        <f>ROUND(ROUND(AT136*CZ136,2),6)</f>
        <v>608.29999999999995</v>
      </c>
      <c r="DC136">
        <f>ROUND(ROUND(AT136*AG136,2),6)</f>
        <v>0</v>
      </c>
    </row>
    <row r="137" spans="1:107">
      <c r="A137">
        <f>ROW(Source!A92)</f>
        <v>92</v>
      </c>
      <c r="B137">
        <v>35683522</v>
      </c>
      <c r="C137">
        <v>35688905</v>
      </c>
      <c r="D137">
        <v>29109298</v>
      </c>
      <c r="E137">
        <v>1</v>
      </c>
      <c r="F137">
        <v>1</v>
      </c>
      <c r="G137">
        <v>1</v>
      </c>
      <c r="H137">
        <v>3</v>
      </c>
      <c r="I137" t="s">
        <v>559</v>
      </c>
      <c r="J137" t="s">
        <v>560</v>
      </c>
      <c r="K137" t="s">
        <v>561</v>
      </c>
      <c r="L137">
        <v>1346</v>
      </c>
      <c r="N137">
        <v>1009</v>
      </c>
      <c r="O137" t="s">
        <v>425</v>
      </c>
      <c r="P137" t="s">
        <v>425</v>
      </c>
      <c r="Q137">
        <v>1</v>
      </c>
      <c r="W137">
        <v>0</v>
      </c>
      <c r="X137">
        <v>228780730</v>
      </c>
      <c r="Y137">
        <v>20</v>
      </c>
      <c r="AA137">
        <v>104.23</v>
      </c>
      <c r="AB137">
        <v>0</v>
      </c>
      <c r="AC137">
        <v>0</v>
      </c>
      <c r="AD137">
        <v>0</v>
      </c>
      <c r="AE137">
        <v>15.26</v>
      </c>
      <c r="AF137">
        <v>0</v>
      </c>
      <c r="AG137">
        <v>0</v>
      </c>
      <c r="AH137">
        <v>0</v>
      </c>
      <c r="AI137">
        <v>6.83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20</v>
      </c>
      <c r="AU137" t="s">
        <v>3</v>
      </c>
      <c r="AV137">
        <v>0</v>
      </c>
      <c r="AW137">
        <v>2</v>
      </c>
      <c r="AX137">
        <v>35688914</v>
      </c>
      <c r="AY137">
        <v>1</v>
      </c>
      <c r="AZ137">
        <v>0</v>
      </c>
      <c r="BA137">
        <v>135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Y137*Source!I92</f>
        <v>1.24</v>
      </c>
      <c r="CY137">
        <f>AA137</f>
        <v>104.23</v>
      </c>
      <c r="CZ137">
        <f>AE137</f>
        <v>15.26</v>
      </c>
      <c r="DA137">
        <f>AI137</f>
        <v>6.83</v>
      </c>
      <c r="DB137">
        <f>ROUND(ROUND(AT137*CZ137,2),6)</f>
        <v>305.2</v>
      </c>
      <c r="DC137">
        <f>ROUND(ROUND(AT137*AG137,2),6)</f>
        <v>0</v>
      </c>
    </row>
    <row r="138" spans="1:107">
      <c r="A138">
        <f>ROW(Source!A93)</f>
        <v>93</v>
      </c>
      <c r="B138">
        <v>35683522</v>
      </c>
      <c r="C138">
        <v>35687369</v>
      </c>
      <c r="D138">
        <v>18411771</v>
      </c>
      <c r="E138">
        <v>1</v>
      </c>
      <c r="F138">
        <v>1</v>
      </c>
      <c r="G138">
        <v>1</v>
      </c>
      <c r="H138">
        <v>1</v>
      </c>
      <c r="I138" t="s">
        <v>360</v>
      </c>
      <c r="J138" t="s">
        <v>3</v>
      </c>
      <c r="K138" t="s">
        <v>361</v>
      </c>
      <c r="L138">
        <v>1369</v>
      </c>
      <c r="N138">
        <v>1013</v>
      </c>
      <c r="O138" t="s">
        <v>339</v>
      </c>
      <c r="P138" t="s">
        <v>339</v>
      </c>
      <c r="Q138">
        <v>1</v>
      </c>
      <c r="W138">
        <v>0</v>
      </c>
      <c r="X138">
        <v>922534627</v>
      </c>
      <c r="Y138">
        <v>45.436499999999995</v>
      </c>
      <c r="AA138">
        <v>0</v>
      </c>
      <c r="AB138">
        <v>0</v>
      </c>
      <c r="AC138">
        <v>0</v>
      </c>
      <c r="AD138">
        <v>259.24</v>
      </c>
      <c r="AE138">
        <v>0</v>
      </c>
      <c r="AF138">
        <v>0</v>
      </c>
      <c r="AG138">
        <v>0</v>
      </c>
      <c r="AH138">
        <v>259.24</v>
      </c>
      <c r="AI138">
        <v>1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3</v>
      </c>
      <c r="AT138">
        <v>39.51</v>
      </c>
      <c r="AU138" t="s">
        <v>144</v>
      </c>
      <c r="AV138">
        <v>1</v>
      </c>
      <c r="AW138">
        <v>2</v>
      </c>
      <c r="AX138">
        <v>35687370</v>
      </c>
      <c r="AY138">
        <v>1</v>
      </c>
      <c r="AZ138">
        <v>0</v>
      </c>
      <c r="BA138">
        <v>136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Y138*Source!I93</f>
        <v>1.3630949999999997</v>
      </c>
      <c r="CY138">
        <f>AD138</f>
        <v>259.24</v>
      </c>
      <c r="CZ138">
        <f>AH138</f>
        <v>259.24</v>
      </c>
      <c r="DA138">
        <f>AL138</f>
        <v>1</v>
      </c>
      <c r="DB138">
        <f>ROUND((ROUND(AT138*CZ138,2)*1.15),6)</f>
        <v>11778.9555</v>
      </c>
      <c r="DC138">
        <f>ROUND((ROUND(AT138*AG138,2)*1.15),6)</f>
        <v>0</v>
      </c>
    </row>
    <row r="139" spans="1:107">
      <c r="A139">
        <f>ROW(Source!A93)</f>
        <v>93</v>
      </c>
      <c r="B139">
        <v>35683522</v>
      </c>
      <c r="C139">
        <v>35687369</v>
      </c>
      <c r="D139">
        <v>121548</v>
      </c>
      <c r="E139">
        <v>1</v>
      </c>
      <c r="F139">
        <v>1</v>
      </c>
      <c r="G139">
        <v>1</v>
      </c>
      <c r="H139">
        <v>1</v>
      </c>
      <c r="I139" t="s">
        <v>15</v>
      </c>
      <c r="J139" t="s">
        <v>3</v>
      </c>
      <c r="K139" t="s">
        <v>355</v>
      </c>
      <c r="L139">
        <v>608254</v>
      </c>
      <c r="N139">
        <v>1013</v>
      </c>
      <c r="O139" t="s">
        <v>356</v>
      </c>
      <c r="P139" t="s">
        <v>356</v>
      </c>
      <c r="Q139">
        <v>1</v>
      </c>
      <c r="W139">
        <v>0</v>
      </c>
      <c r="X139">
        <v>-185737400</v>
      </c>
      <c r="Y139">
        <v>1.5874999999999999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3</v>
      </c>
      <c r="AT139">
        <v>1.27</v>
      </c>
      <c r="AU139" t="s">
        <v>143</v>
      </c>
      <c r="AV139">
        <v>2</v>
      </c>
      <c r="AW139">
        <v>2</v>
      </c>
      <c r="AX139">
        <v>35687371</v>
      </c>
      <c r="AY139">
        <v>1</v>
      </c>
      <c r="AZ139">
        <v>0</v>
      </c>
      <c r="BA139">
        <v>137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Y139*Source!I93</f>
        <v>4.7624999999999994E-2</v>
      </c>
      <c r="CY139">
        <f>AD139</f>
        <v>0</v>
      </c>
      <c r="CZ139">
        <f>AH139</f>
        <v>0</v>
      </c>
      <c r="DA139">
        <f>AL139</f>
        <v>1</v>
      </c>
      <c r="DB139">
        <f>ROUND((ROUND(AT139*CZ139,2)*1.25),6)</f>
        <v>0</v>
      </c>
      <c r="DC139">
        <f>ROUND((ROUND(AT139*AG139,2)*1.25),6)</f>
        <v>0</v>
      </c>
    </row>
    <row r="140" spans="1:107">
      <c r="A140">
        <f>ROW(Source!A93)</f>
        <v>93</v>
      </c>
      <c r="B140">
        <v>35683522</v>
      </c>
      <c r="C140">
        <v>35687369</v>
      </c>
      <c r="D140">
        <v>29172556</v>
      </c>
      <c r="E140">
        <v>1</v>
      </c>
      <c r="F140">
        <v>1</v>
      </c>
      <c r="G140">
        <v>1</v>
      </c>
      <c r="H140">
        <v>2</v>
      </c>
      <c r="I140" t="s">
        <v>357</v>
      </c>
      <c r="J140" t="s">
        <v>358</v>
      </c>
      <c r="K140" t="s">
        <v>359</v>
      </c>
      <c r="L140">
        <v>1368</v>
      </c>
      <c r="N140">
        <v>1011</v>
      </c>
      <c r="O140" t="s">
        <v>343</v>
      </c>
      <c r="P140" t="s">
        <v>343</v>
      </c>
      <c r="Q140">
        <v>1</v>
      </c>
      <c r="W140">
        <v>0</v>
      </c>
      <c r="X140">
        <v>-1302720870</v>
      </c>
      <c r="Y140">
        <v>1.5874999999999999</v>
      </c>
      <c r="AA140">
        <v>0</v>
      </c>
      <c r="AB140">
        <v>451.71</v>
      </c>
      <c r="AC140">
        <v>444.29</v>
      </c>
      <c r="AD140">
        <v>0</v>
      </c>
      <c r="AE140">
        <v>0</v>
      </c>
      <c r="AF140">
        <v>31.26</v>
      </c>
      <c r="AG140">
        <v>13.5</v>
      </c>
      <c r="AH140">
        <v>0</v>
      </c>
      <c r="AI140">
        <v>1</v>
      </c>
      <c r="AJ140">
        <v>14.45</v>
      </c>
      <c r="AK140">
        <v>32.909999999999997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3</v>
      </c>
      <c r="AT140">
        <v>1.27</v>
      </c>
      <c r="AU140" t="s">
        <v>143</v>
      </c>
      <c r="AV140">
        <v>0</v>
      </c>
      <c r="AW140">
        <v>2</v>
      </c>
      <c r="AX140">
        <v>35687372</v>
      </c>
      <c r="AY140">
        <v>1</v>
      </c>
      <c r="AZ140">
        <v>0</v>
      </c>
      <c r="BA140">
        <v>138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Y140*Source!I93</f>
        <v>4.7624999999999994E-2</v>
      </c>
      <c r="CY140">
        <f>AB140</f>
        <v>451.71</v>
      </c>
      <c r="CZ140">
        <f>AF140</f>
        <v>31.26</v>
      </c>
      <c r="DA140">
        <f>AJ140</f>
        <v>14.45</v>
      </c>
      <c r="DB140">
        <f>ROUND((ROUND(AT140*CZ140,2)*1.25),6)</f>
        <v>49.625</v>
      </c>
      <c r="DC140">
        <f>ROUND((ROUND(AT140*AG140,2)*1.25),6)</f>
        <v>21.4375</v>
      </c>
    </row>
    <row r="141" spans="1:107">
      <c r="A141">
        <f>ROW(Source!A93)</f>
        <v>93</v>
      </c>
      <c r="B141">
        <v>35683522</v>
      </c>
      <c r="C141">
        <v>35687369</v>
      </c>
      <c r="D141">
        <v>29173152</v>
      </c>
      <c r="E141">
        <v>1</v>
      </c>
      <c r="F141">
        <v>1</v>
      </c>
      <c r="G141">
        <v>1</v>
      </c>
      <c r="H141">
        <v>2</v>
      </c>
      <c r="I141" t="s">
        <v>562</v>
      </c>
      <c r="J141" t="s">
        <v>563</v>
      </c>
      <c r="K141" t="s">
        <v>564</v>
      </c>
      <c r="L141">
        <v>1368</v>
      </c>
      <c r="N141">
        <v>1011</v>
      </c>
      <c r="O141" t="s">
        <v>343</v>
      </c>
      <c r="P141" t="s">
        <v>343</v>
      </c>
      <c r="Q141">
        <v>1</v>
      </c>
      <c r="W141">
        <v>0</v>
      </c>
      <c r="X141">
        <v>1729392141</v>
      </c>
      <c r="Y141">
        <v>11.3375</v>
      </c>
      <c r="AA141">
        <v>0</v>
      </c>
      <c r="AB141">
        <v>4.1100000000000003</v>
      </c>
      <c r="AC141">
        <v>0</v>
      </c>
      <c r="AD141">
        <v>0</v>
      </c>
      <c r="AE141">
        <v>0</v>
      </c>
      <c r="AF141">
        <v>0.5</v>
      </c>
      <c r="AG141">
        <v>0</v>
      </c>
      <c r="AH141">
        <v>0</v>
      </c>
      <c r="AI141">
        <v>1</v>
      </c>
      <c r="AJ141">
        <v>8.2200000000000006</v>
      </c>
      <c r="AK141">
        <v>32.909999999999997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</v>
      </c>
      <c r="AT141">
        <v>9.07</v>
      </c>
      <c r="AU141" t="s">
        <v>143</v>
      </c>
      <c r="AV141">
        <v>0</v>
      </c>
      <c r="AW141">
        <v>2</v>
      </c>
      <c r="AX141">
        <v>35687373</v>
      </c>
      <c r="AY141">
        <v>1</v>
      </c>
      <c r="AZ141">
        <v>0</v>
      </c>
      <c r="BA141">
        <v>139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Y141*Source!I93</f>
        <v>0.34012500000000001</v>
      </c>
      <c r="CY141">
        <f>AB141</f>
        <v>4.1100000000000003</v>
      </c>
      <c r="CZ141">
        <f>AF141</f>
        <v>0.5</v>
      </c>
      <c r="DA141">
        <f>AJ141</f>
        <v>8.2200000000000006</v>
      </c>
      <c r="DB141">
        <f>ROUND((ROUND(AT141*CZ141,2)*1.25),6)</f>
        <v>5.6749999999999998</v>
      </c>
      <c r="DC141">
        <f>ROUND((ROUND(AT141*AG141,2)*1.25),6)</f>
        <v>0</v>
      </c>
    </row>
    <row r="142" spans="1:107">
      <c r="A142">
        <f>ROW(Source!A93)</f>
        <v>93</v>
      </c>
      <c r="B142">
        <v>35683522</v>
      </c>
      <c r="C142">
        <v>35687369</v>
      </c>
      <c r="D142">
        <v>29145158</v>
      </c>
      <c r="E142">
        <v>1</v>
      </c>
      <c r="F142">
        <v>1</v>
      </c>
      <c r="G142">
        <v>1</v>
      </c>
      <c r="H142">
        <v>3</v>
      </c>
      <c r="I142" t="s">
        <v>565</v>
      </c>
      <c r="J142" t="s">
        <v>566</v>
      </c>
      <c r="K142" t="s">
        <v>567</v>
      </c>
      <c r="L142">
        <v>1339</v>
      </c>
      <c r="N142">
        <v>1007</v>
      </c>
      <c r="O142" t="s">
        <v>350</v>
      </c>
      <c r="P142" t="s">
        <v>350</v>
      </c>
      <c r="Q142">
        <v>1</v>
      </c>
      <c r="W142">
        <v>0</v>
      </c>
      <c r="X142">
        <v>-1225348186</v>
      </c>
      <c r="Y142">
        <v>2.04</v>
      </c>
      <c r="AA142">
        <v>3393.98</v>
      </c>
      <c r="AB142">
        <v>0</v>
      </c>
      <c r="AC142">
        <v>0</v>
      </c>
      <c r="AD142">
        <v>0</v>
      </c>
      <c r="AE142">
        <v>548.29999999999995</v>
      </c>
      <c r="AF142">
        <v>0</v>
      </c>
      <c r="AG142">
        <v>0</v>
      </c>
      <c r="AH142">
        <v>0</v>
      </c>
      <c r="AI142">
        <v>6.19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2.04</v>
      </c>
      <c r="AU142" t="s">
        <v>3</v>
      </c>
      <c r="AV142">
        <v>0</v>
      </c>
      <c r="AW142">
        <v>2</v>
      </c>
      <c r="AX142">
        <v>35687374</v>
      </c>
      <c r="AY142">
        <v>1</v>
      </c>
      <c r="AZ142">
        <v>0</v>
      </c>
      <c r="BA142">
        <v>140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Y142*Source!I93</f>
        <v>6.1199999999999997E-2</v>
      </c>
      <c r="CY142">
        <f>AA142</f>
        <v>3393.98</v>
      </c>
      <c r="CZ142">
        <f>AE142</f>
        <v>548.29999999999995</v>
      </c>
      <c r="DA142">
        <f>AI142</f>
        <v>6.19</v>
      </c>
      <c r="DB142">
        <f>ROUND(ROUND(AT142*CZ142,2),6)</f>
        <v>1118.53</v>
      </c>
      <c r="DC142">
        <f>ROUND(ROUND(AT142*AG142,2),6)</f>
        <v>0</v>
      </c>
    </row>
    <row r="143" spans="1:107">
      <c r="A143">
        <f>ROW(Source!A93)</f>
        <v>93</v>
      </c>
      <c r="B143">
        <v>35683522</v>
      </c>
      <c r="C143">
        <v>35687369</v>
      </c>
      <c r="D143">
        <v>29150040</v>
      </c>
      <c r="E143">
        <v>1</v>
      </c>
      <c r="F143">
        <v>1</v>
      </c>
      <c r="G143">
        <v>1</v>
      </c>
      <c r="H143">
        <v>3</v>
      </c>
      <c r="I143" t="s">
        <v>347</v>
      </c>
      <c r="J143" t="s">
        <v>568</v>
      </c>
      <c r="K143" t="s">
        <v>349</v>
      </c>
      <c r="L143">
        <v>1339</v>
      </c>
      <c r="N143">
        <v>1007</v>
      </c>
      <c r="O143" t="s">
        <v>350</v>
      </c>
      <c r="P143" t="s">
        <v>350</v>
      </c>
      <c r="Q143">
        <v>1</v>
      </c>
      <c r="W143">
        <v>0</v>
      </c>
      <c r="X143">
        <v>693153122</v>
      </c>
      <c r="Y143">
        <v>3.5</v>
      </c>
      <c r="AA143">
        <v>22.2</v>
      </c>
      <c r="AB143">
        <v>0</v>
      </c>
      <c r="AC143">
        <v>0</v>
      </c>
      <c r="AD143">
        <v>0</v>
      </c>
      <c r="AE143">
        <v>2.44</v>
      </c>
      <c r="AF143">
        <v>0</v>
      </c>
      <c r="AG143">
        <v>0</v>
      </c>
      <c r="AH143">
        <v>0</v>
      </c>
      <c r="AI143">
        <v>9.1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3.5</v>
      </c>
      <c r="AU143" t="s">
        <v>3</v>
      </c>
      <c r="AV143">
        <v>0</v>
      </c>
      <c r="AW143">
        <v>2</v>
      </c>
      <c r="AX143">
        <v>35687375</v>
      </c>
      <c r="AY143">
        <v>1</v>
      </c>
      <c r="AZ143">
        <v>0</v>
      </c>
      <c r="BA143">
        <v>141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Y143*Source!I93</f>
        <v>0.105</v>
      </c>
      <c r="CY143">
        <f>AA143</f>
        <v>22.2</v>
      </c>
      <c r="CZ143">
        <f>AE143</f>
        <v>2.44</v>
      </c>
      <c r="DA143">
        <f>AI143</f>
        <v>9.1</v>
      </c>
      <c r="DB143">
        <f>ROUND(ROUND(AT143*CZ143,2),6)</f>
        <v>8.5399999999999991</v>
      </c>
      <c r="DC143">
        <f>ROUND(ROUND(AT143*AG143,2),6)</f>
        <v>0</v>
      </c>
    </row>
    <row r="144" spans="1:107">
      <c r="A144">
        <f>ROW(Source!A94)</f>
        <v>94</v>
      </c>
      <c r="B144">
        <v>35683522</v>
      </c>
      <c r="C144">
        <v>35687376</v>
      </c>
      <c r="D144">
        <v>18411771</v>
      </c>
      <c r="E144">
        <v>1</v>
      </c>
      <c r="F144">
        <v>1</v>
      </c>
      <c r="G144">
        <v>1</v>
      </c>
      <c r="H144">
        <v>1</v>
      </c>
      <c r="I144" t="s">
        <v>360</v>
      </c>
      <c r="J144" t="s">
        <v>3</v>
      </c>
      <c r="K144" t="s">
        <v>361</v>
      </c>
      <c r="L144">
        <v>1369</v>
      </c>
      <c r="N144">
        <v>1013</v>
      </c>
      <c r="O144" t="s">
        <v>339</v>
      </c>
      <c r="P144" t="s">
        <v>339</v>
      </c>
      <c r="Q144">
        <v>1</v>
      </c>
      <c r="W144">
        <v>0</v>
      </c>
      <c r="X144">
        <v>922534627</v>
      </c>
      <c r="Y144">
        <v>0.57499999999999996</v>
      </c>
      <c r="AA144">
        <v>0</v>
      </c>
      <c r="AB144">
        <v>0</v>
      </c>
      <c r="AC144">
        <v>0</v>
      </c>
      <c r="AD144">
        <v>259.24</v>
      </c>
      <c r="AE144">
        <v>0</v>
      </c>
      <c r="AF144">
        <v>0</v>
      </c>
      <c r="AG144">
        <v>0</v>
      </c>
      <c r="AH144">
        <v>259.24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3</v>
      </c>
      <c r="AT144">
        <v>0.5</v>
      </c>
      <c r="AU144" t="s">
        <v>144</v>
      </c>
      <c r="AV144">
        <v>1</v>
      </c>
      <c r="AW144">
        <v>2</v>
      </c>
      <c r="AX144">
        <v>35687383</v>
      </c>
      <c r="AY144">
        <v>1</v>
      </c>
      <c r="AZ144">
        <v>0</v>
      </c>
      <c r="BA144">
        <v>142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Y144*Source!I94</f>
        <v>1.7249999999999998E-2</v>
      </c>
      <c r="CY144">
        <f>AD144</f>
        <v>259.24</v>
      </c>
      <c r="CZ144">
        <f>AH144</f>
        <v>259.24</v>
      </c>
      <c r="DA144">
        <f>AL144</f>
        <v>1</v>
      </c>
      <c r="DB144">
        <f>ROUND((ROUND(AT144*CZ144,2)*1.15),6)</f>
        <v>149.06299999999999</v>
      </c>
      <c r="DC144">
        <f>ROUND((ROUND(AT144*AG144,2)*1.15),6)</f>
        <v>0</v>
      </c>
    </row>
    <row r="145" spans="1:107">
      <c r="A145">
        <f>ROW(Source!A94)</f>
        <v>94</v>
      </c>
      <c r="B145">
        <v>35683522</v>
      </c>
      <c r="C145">
        <v>35687376</v>
      </c>
      <c r="D145">
        <v>121548</v>
      </c>
      <c r="E145">
        <v>1</v>
      </c>
      <c r="F145">
        <v>1</v>
      </c>
      <c r="G145">
        <v>1</v>
      </c>
      <c r="H145">
        <v>1</v>
      </c>
      <c r="I145" t="s">
        <v>15</v>
      </c>
      <c r="J145" t="s">
        <v>3</v>
      </c>
      <c r="K145" t="s">
        <v>355</v>
      </c>
      <c r="L145">
        <v>608254</v>
      </c>
      <c r="N145">
        <v>1013</v>
      </c>
      <c r="O145" t="s">
        <v>356</v>
      </c>
      <c r="P145" t="s">
        <v>356</v>
      </c>
      <c r="Q145">
        <v>1</v>
      </c>
      <c r="W145">
        <v>0</v>
      </c>
      <c r="X145">
        <v>-185737400</v>
      </c>
      <c r="Y145">
        <v>0.26250000000000001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</v>
      </c>
      <c r="AT145">
        <v>0.21</v>
      </c>
      <c r="AU145" t="s">
        <v>143</v>
      </c>
      <c r="AV145">
        <v>2</v>
      </c>
      <c r="AW145">
        <v>2</v>
      </c>
      <c r="AX145">
        <v>35687384</v>
      </c>
      <c r="AY145">
        <v>1</v>
      </c>
      <c r="AZ145">
        <v>0</v>
      </c>
      <c r="BA145">
        <v>143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Y145*Source!I94</f>
        <v>7.8750000000000001E-3</v>
      </c>
      <c r="CY145">
        <f>AD145</f>
        <v>0</v>
      </c>
      <c r="CZ145">
        <f>AH145</f>
        <v>0</v>
      </c>
      <c r="DA145">
        <f>AL145</f>
        <v>1</v>
      </c>
      <c r="DB145">
        <f>ROUND((ROUND(AT145*CZ145,2)*1.25),6)</f>
        <v>0</v>
      </c>
      <c r="DC145">
        <f>ROUND((ROUND(AT145*AG145,2)*1.25),6)</f>
        <v>0</v>
      </c>
    </row>
    <row r="146" spans="1:107">
      <c r="A146">
        <f>ROW(Source!A94)</f>
        <v>94</v>
      </c>
      <c r="B146">
        <v>35683522</v>
      </c>
      <c r="C146">
        <v>35687376</v>
      </c>
      <c r="D146">
        <v>29172556</v>
      </c>
      <c r="E146">
        <v>1</v>
      </c>
      <c r="F146">
        <v>1</v>
      </c>
      <c r="G146">
        <v>1</v>
      </c>
      <c r="H146">
        <v>2</v>
      </c>
      <c r="I146" t="s">
        <v>357</v>
      </c>
      <c r="J146" t="s">
        <v>358</v>
      </c>
      <c r="K146" t="s">
        <v>359</v>
      </c>
      <c r="L146">
        <v>1368</v>
      </c>
      <c r="N146">
        <v>1011</v>
      </c>
      <c r="O146" t="s">
        <v>343</v>
      </c>
      <c r="P146" t="s">
        <v>343</v>
      </c>
      <c r="Q146">
        <v>1</v>
      </c>
      <c r="W146">
        <v>0</v>
      </c>
      <c r="X146">
        <v>-1302720870</v>
      </c>
      <c r="Y146">
        <v>0.26250000000000001</v>
      </c>
      <c r="AA146">
        <v>0</v>
      </c>
      <c r="AB146">
        <v>451.71</v>
      </c>
      <c r="AC146">
        <v>444.29</v>
      </c>
      <c r="AD146">
        <v>0</v>
      </c>
      <c r="AE146">
        <v>0</v>
      </c>
      <c r="AF146">
        <v>31.26</v>
      </c>
      <c r="AG146">
        <v>13.5</v>
      </c>
      <c r="AH146">
        <v>0</v>
      </c>
      <c r="AI146">
        <v>1</v>
      </c>
      <c r="AJ146">
        <v>14.45</v>
      </c>
      <c r="AK146">
        <v>32.909999999999997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3</v>
      </c>
      <c r="AT146">
        <v>0.21</v>
      </c>
      <c r="AU146" t="s">
        <v>143</v>
      </c>
      <c r="AV146">
        <v>0</v>
      </c>
      <c r="AW146">
        <v>2</v>
      </c>
      <c r="AX146">
        <v>35687385</v>
      </c>
      <c r="AY146">
        <v>1</v>
      </c>
      <c r="AZ146">
        <v>0</v>
      </c>
      <c r="BA146">
        <v>144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Y146*Source!I94</f>
        <v>7.8750000000000001E-3</v>
      </c>
      <c r="CY146">
        <f>AB146</f>
        <v>451.71</v>
      </c>
      <c r="CZ146">
        <f>AF146</f>
        <v>31.26</v>
      </c>
      <c r="DA146">
        <f>AJ146</f>
        <v>14.45</v>
      </c>
      <c r="DB146">
        <f>ROUND((ROUND(AT146*CZ146,2)*1.25),6)</f>
        <v>8.1999999999999993</v>
      </c>
      <c r="DC146">
        <f>ROUND((ROUND(AT146*AG146,2)*1.25),6)</f>
        <v>3.55</v>
      </c>
    </row>
    <row r="147" spans="1:107">
      <c r="A147">
        <f>ROW(Source!A94)</f>
        <v>94</v>
      </c>
      <c r="B147">
        <v>35683522</v>
      </c>
      <c r="C147">
        <v>35687376</v>
      </c>
      <c r="D147">
        <v>29173152</v>
      </c>
      <c r="E147">
        <v>1</v>
      </c>
      <c r="F147">
        <v>1</v>
      </c>
      <c r="G147">
        <v>1</v>
      </c>
      <c r="H147">
        <v>2</v>
      </c>
      <c r="I147" t="s">
        <v>562</v>
      </c>
      <c r="J147" t="s">
        <v>563</v>
      </c>
      <c r="K147" t="s">
        <v>564</v>
      </c>
      <c r="L147">
        <v>1368</v>
      </c>
      <c r="N147">
        <v>1011</v>
      </c>
      <c r="O147" t="s">
        <v>343</v>
      </c>
      <c r="P147" t="s">
        <v>343</v>
      </c>
      <c r="Q147">
        <v>1</v>
      </c>
      <c r="W147">
        <v>0</v>
      </c>
      <c r="X147">
        <v>1729392141</v>
      </c>
      <c r="Y147">
        <v>2.9</v>
      </c>
      <c r="AA147">
        <v>0</v>
      </c>
      <c r="AB147">
        <v>4.1100000000000003</v>
      </c>
      <c r="AC147">
        <v>0</v>
      </c>
      <c r="AD147">
        <v>0</v>
      </c>
      <c r="AE147">
        <v>0</v>
      </c>
      <c r="AF147">
        <v>0.5</v>
      </c>
      <c r="AG147">
        <v>0</v>
      </c>
      <c r="AH147">
        <v>0</v>
      </c>
      <c r="AI147">
        <v>1</v>
      </c>
      <c r="AJ147">
        <v>8.2200000000000006</v>
      </c>
      <c r="AK147">
        <v>32.909999999999997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</v>
      </c>
      <c r="AT147">
        <v>2.3199999999999998</v>
      </c>
      <c r="AU147" t="s">
        <v>143</v>
      </c>
      <c r="AV147">
        <v>0</v>
      </c>
      <c r="AW147">
        <v>2</v>
      </c>
      <c r="AX147">
        <v>35687386</v>
      </c>
      <c r="AY147">
        <v>1</v>
      </c>
      <c r="AZ147">
        <v>0</v>
      </c>
      <c r="BA147">
        <v>145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Y147*Source!I94</f>
        <v>8.6999999999999994E-2</v>
      </c>
      <c r="CY147">
        <f>AB147</f>
        <v>4.1100000000000003</v>
      </c>
      <c r="CZ147">
        <f>AF147</f>
        <v>0.5</v>
      </c>
      <c r="DA147">
        <f>AJ147</f>
        <v>8.2200000000000006</v>
      </c>
      <c r="DB147">
        <f>ROUND((ROUND(AT147*CZ147,2)*1.25),6)</f>
        <v>1.45</v>
      </c>
      <c r="DC147">
        <f>ROUND((ROUND(AT147*AG147,2)*1.25),6)</f>
        <v>0</v>
      </c>
    </row>
    <row r="148" spans="1:107">
      <c r="A148">
        <f>ROW(Source!A94)</f>
        <v>94</v>
      </c>
      <c r="B148">
        <v>35683522</v>
      </c>
      <c r="C148">
        <v>35687376</v>
      </c>
      <c r="D148">
        <v>29145158</v>
      </c>
      <c r="E148">
        <v>1</v>
      </c>
      <c r="F148">
        <v>1</v>
      </c>
      <c r="G148">
        <v>1</v>
      </c>
      <c r="H148">
        <v>3</v>
      </c>
      <c r="I148" t="s">
        <v>565</v>
      </c>
      <c r="J148" t="s">
        <v>566</v>
      </c>
      <c r="K148" t="s">
        <v>567</v>
      </c>
      <c r="L148">
        <v>1339</v>
      </c>
      <c r="N148">
        <v>1007</v>
      </c>
      <c r="O148" t="s">
        <v>350</v>
      </c>
      <c r="P148" t="s">
        <v>350</v>
      </c>
      <c r="Q148">
        <v>1</v>
      </c>
      <c r="W148">
        <v>0</v>
      </c>
      <c r="X148">
        <v>-1225348186</v>
      </c>
      <c r="Y148">
        <v>0.51</v>
      </c>
      <c r="AA148">
        <v>3393.98</v>
      </c>
      <c r="AB148">
        <v>0</v>
      </c>
      <c r="AC148">
        <v>0</v>
      </c>
      <c r="AD148">
        <v>0</v>
      </c>
      <c r="AE148">
        <v>548.29999999999995</v>
      </c>
      <c r="AF148">
        <v>0</v>
      </c>
      <c r="AG148">
        <v>0</v>
      </c>
      <c r="AH148">
        <v>0</v>
      </c>
      <c r="AI148">
        <v>6.19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3</v>
      </c>
      <c r="AT148">
        <v>0.51</v>
      </c>
      <c r="AU148" t="s">
        <v>3</v>
      </c>
      <c r="AV148">
        <v>0</v>
      </c>
      <c r="AW148">
        <v>2</v>
      </c>
      <c r="AX148">
        <v>35687387</v>
      </c>
      <c r="AY148">
        <v>1</v>
      </c>
      <c r="AZ148">
        <v>0</v>
      </c>
      <c r="BA148">
        <v>146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Y148*Source!I94</f>
        <v>1.5299999999999999E-2</v>
      </c>
      <c r="CY148">
        <f>AA148</f>
        <v>3393.98</v>
      </c>
      <c r="CZ148">
        <f>AE148</f>
        <v>548.29999999999995</v>
      </c>
      <c r="DA148">
        <f>AI148</f>
        <v>6.19</v>
      </c>
      <c r="DB148">
        <f>ROUND(ROUND(AT148*CZ148,2),6)</f>
        <v>279.63</v>
      </c>
      <c r="DC148">
        <f>ROUND(ROUND(AT148*AG148,2),6)</f>
        <v>0</v>
      </c>
    </row>
    <row r="149" spans="1:107">
      <c r="A149">
        <f>ROW(Source!A95)</f>
        <v>95</v>
      </c>
      <c r="B149">
        <v>35683522</v>
      </c>
      <c r="C149">
        <v>35683916</v>
      </c>
      <c r="D149">
        <v>18410572</v>
      </c>
      <c r="E149">
        <v>1</v>
      </c>
      <c r="F149">
        <v>1</v>
      </c>
      <c r="G149">
        <v>1</v>
      </c>
      <c r="H149">
        <v>1</v>
      </c>
      <c r="I149" t="s">
        <v>384</v>
      </c>
      <c r="J149" t="s">
        <v>3</v>
      </c>
      <c r="K149" t="s">
        <v>385</v>
      </c>
      <c r="L149">
        <v>1369</v>
      </c>
      <c r="N149">
        <v>1013</v>
      </c>
      <c r="O149" t="s">
        <v>339</v>
      </c>
      <c r="P149" t="s">
        <v>339</v>
      </c>
      <c r="Q149">
        <v>1</v>
      </c>
      <c r="W149">
        <v>0</v>
      </c>
      <c r="X149">
        <v>-546915240</v>
      </c>
      <c r="Y149">
        <v>356.983</v>
      </c>
      <c r="AA149">
        <v>0</v>
      </c>
      <c r="AB149">
        <v>0</v>
      </c>
      <c r="AC149">
        <v>0</v>
      </c>
      <c r="AD149">
        <v>285.36</v>
      </c>
      <c r="AE149">
        <v>0</v>
      </c>
      <c r="AF149">
        <v>0</v>
      </c>
      <c r="AG149">
        <v>0</v>
      </c>
      <c r="AH149">
        <v>285.36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310.42</v>
      </c>
      <c r="AU149" t="s">
        <v>144</v>
      </c>
      <c r="AV149">
        <v>1</v>
      </c>
      <c r="AW149">
        <v>2</v>
      </c>
      <c r="AX149">
        <v>35683928</v>
      </c>
      <c r="AY149">
        <v>2</v>
      </c>
      <c r="AZ149">
        <v>131072</v>
      </c>
      <c r="BA149">
        <v>147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Y149*Source!I95</f>
        <v>10.709489999999999</v>
      </c>
      <c r="CY149">
        <f>AD149</f>
        <v>285.36</v>
      </c>
      <c r="CZ149">
        <f>AH149</f>
        <v>285.36</v>
      </c>
      <c r="DA149">
        <f>AL149</f>
        <v>1</v>
      </c>
      <c r="DB149">
        <f>ROUND((ROUND(AT149*CZ149,2)*1.15),6)</f>
        <v>101868.6675</v>
      </c>
      <c r="DC149">
        <f>ROUND((ROUND(AT149*AG149,2)*1.15),6)</f>
        <v>0</v>
      </c>
    </row>
    <row r="150" spans="1:107">
      <c r="A150">
        <f>ROW(Source!A95)</f>
        <v>95</v>
      </c>
      <c r="B150">
        <v>35683522</v>
      </c>
      <c r="C150">
        <v>35683916</v>
      </c>
      <c r="D150">
        <v>121548</v>
      </c>
      <c r="E150">
        <v>1</v>
      </c>
      <c r="F150">
        <v>1</v>
      </c>
      <c r="G150">
        <v>1</v>
      </c>
      <c r="H150">
        <v>1</v>
      </c>
      <c r="I150" t="s">
        <v>15</v>
      </c>
      <c r="J150" t="s">
        <v>3</v>
      </c>
      <c r="K150" t="s">
        <v>355</v>
      </c>
      <c r="L150">
        <v>608254</v>
      </c>
      <c r="N150">
        <v>1013</v>
      </c>
      <c r="O150" t="s">
        <v>356</v>
      </c>
      <c r="P150" t="s">
        <v>356</v>
      </c>
      <c r="Q150">
        <v>1</v>
      </c>
      <c r="W150">
        <v>0</v>
      </c>
      <c r="X150">
        <v>-185737400</v>
      </c>
      <c r="Y150">
        <v>2.15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1.72</v>
      </c>
      <c r="AU150" t="s">
        <v>143</v>
      </c>
      <c r="AV150">
        <v>2</v>
      </c>
      <c r="AW150">
        <v>2</v>
      </c>
      <c r="AX150">
        <v>35683929</v>
      </c>
      <c r="AY150">
        <v>1</v>
      </c>
      <c r="AZ150">
        <v>0</v>
      </c>
      <c r="BA150">
        <v>148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Y150*Source!I95</f>
        <v>6.4500000000000002E-2</v>
      </c>
      <c r="CY150">
        <f>AD150</f>
        <v>0</v>
      </c>
      <c r="CZ150">
        <f>AH150</f>
        <v>0</v>
      </c>
      <c r="DA150">
        <f>AL150</f>
        <v>1</v>
      </c>
      <c r="DB150">
        <f t="shared" ref="DB150:DB155" si="25">ROUND((ROUND(AT150*CZ150,2)*1.25),6)</f>
        <v>0</v>
      </c>
      <c r="DC150">
        <f t="shared" ref="DC150:DC155" si="26">ROUND((ROUND(AT150*AG150,2)*1.25),6)</f>
        <v>0</v>
      </c>
    </row>
    <row r="151" spans="1:107">
      <c r="A151">
        <f>ROW(Source!A95)</f>
        <v>95</v>
      </c>
      <c r="B151">
        <v>35683522</v>
      </c>
      <c r="C151">
        <v>35683916</v>
      </c>
      <c r="D151">
        <v>29172267</v>
      </c>
      <c r="E151">
        <v>1</v>
      </c>
      <c r="F151">
        <v>1</v>
      </c>
      <c r="G151">
        <v>1</v>
      </c>
      <c r="H151">
        <v>2</v>
      </c>
      <c r="I151" t="s">
        <v>569</v>
      </c>
      <c r="J151" t="s">
        <v>570</v>
      </c>
      <c r="K151" t="s">
        <v>571</v>
      </c>
      <c r="L151">
        <v>1368</v>
      </c>
      <c r="N151">
        <v>1011</v>
      </c>
      <c r="O151" t="s">
        <v>343</v>
      </c>
      <c r="P151" t="s">
        <v>343</v>
      </c>
      <c r="Q151">
        <v>1</v>
      </c>
      <c r="W151">
        <v>0</v>
      </c>
      <c r="X151">
        <v>892994112</v>
      </c>
      <c r="Y151">
        <v>2.5000000000000001E-2</v>
      </c>
      <c r="AA151">
        <v>0</v>
      </c>
      <c r="AB151">
        <v>833.47</v>
      </c>
      <c r="AC151">
        <v>444.29</v>
      </c>
      <c r="AD151">
        <v>0</v>
      </c>
      <c r="AE151">
        <v>0</v>
      </c>
      <c r="AF151">
        <v>83.43</v>
      </c>
      <c r="AG151">
        <v>13.5</v>
      </c>
      <c r="AH151">
        <v>0</v>
      </c>
      <c r="AI151">
        <v>1</v>
      </c>
      <c r="AJ151">
        <v>9.99</v>
      </c>
      <c r="AK151">
        <v>32.909999999999997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</v>
      </c>
      <c r="AT151">
        <v>0.02</v>
      </c>
      <c r="AU151" t="s">
        <v>143</v>
      </c>
      <c r="AV151">
        <v>0</v>
      </c>
      <c r="AW151">
        <v>2</v>
      </c>
      <c r="AX151">
        <v>35683930</v>
      </c>
      <c r="AY151">
        <v>1</v>
      </c>
      <c r="AZ151">
        <v>0</v>
      </c>
      <c r="BA151">
        <v>149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Y151*Source!I95</f>
        <v>7.5000000000000002E-4</v>
      </c>
      <c r="CY151">
        <f>AB151</f>
        <v>833.47</v>
      </c>
      <c r="CZ151">
        <f>AF151</f>
        <v>83.43</v>
      </c>
      <c r="DA151">
        <f>AJ151</f>
        <v>9.99</v>
      </c>
      <c r="DB151">
        <f t="shared" si="25"/>
        <v>2.0874999999999999</v>
      </c>
      <c r="DC151">
        <f t="shared" si="26"/>
        <v>0.33750000000000002</v>
      </c>
    </row>
    <row r="152" spans="1:107">
      <c r="A152">
        <f>ROW(Source!A95)</f>
        <v>95</v>
      </c>
      <c r="B152">
        <v>35683522</v>
      </c>
      <c r="C152">
        <v>35683916</v>
      </c>
      <c r="D152">
        <v>29172378</v>
      </c>
      <c r="E152">
        <v>1</v>
      </c>
      <c r="F152">
        <v>1</v>
      </c>
      <c r="G152">
        <v>1</v>
      </c>
      <c r="H152">
        <v>2</v>
      </c>
      <c r="I152" t="s">
        <v>572</v>
      </c>
      <c r="J152" t="s">
        <v>573</v>
      </c>
      <c r="K152" t="s">
        <v>574</v>
      </c>
      <c r="L152">
        <v>1368</v>
      </c>
      <c r="N152">
        <v>1011</v>
      </c>
      <c r="O152" t="s">
        <v>343</v>
      </c>
      <c r="P152" t="s">
        <v>343</v>
      </c>
      <c r="Q152">
        <v>1</v>
      </c>
      <c r="W152">
        <v>0</v>
      </c>
      <c r="X152">
        <v>912204425</v>
      </c>
      <c r="Y152">
        <v>1.2500000000000001E-2</v>
      </c>
      <c r="AA152">
        <v>0</v>
      </c>
      <c r="AB152">
        <v>939.95</v>
      </c>
      <c r="AC152">
        <v>381.76</v>
      </c>
      <c r="AD152">
        <v>0</v>
      </c>
      <c r="AE152">
        <v>0</v>
      </c>
      <c r="AF152">
        <v>88.01</v>
      </c>
      <c r="AG152">
        <v>11.6</v>
      </c>
      <c r="AH152">
        <v>0</v>
      </c>
      <c r="AI152">
        <v>1</v>
      </c>
      <c r="AJ152">
        <v>10.68</v>
      </c>
      <c r="AK152">
        <v>32.909999999999997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</v>
      </c>
      <c r="AT152">
        <v>0.01</v>
      </c>
      <c r="AU152" t="s">
        <v>143</v>
      </c>
      <c r="AV152">
        <v>0</v>
      </c>
      <c r="AW152">
        <v>2</v>
      </c>
      <c r="AX152">
        <v>35683931</v>
      </c>
      <c r="AY152">
        <v>1</v>
      </c>
      <c r="AZ152">
        <v>0</v>
      </c>
      <c r="BA152">
        <v>150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Y152*Source!I95</f>
        <v>3.7500000000000001E-4</v>
      </c>
      <c r="CY152">
        <f>AB152</f>
        <v>939.95</v>
      </c>
      <c r="CZ152">
        <f>AF152</f>
        <v>88.01</v>
      </c>
      <c r="DA152">
        <f>AJ152</f>
        <v>10.68</v>
      </c>
      <c r="DB152">
        <f t="shared" si="25"/>
        <v>1.1000000000000001</v>
      </c>
      <c r="DC152">
        <f t="shared" si="26"/>
        <v>0.15</v>
      </c>
    </row>
    <row r="153" spans="1:107">
      <c r="A153">
        <f>ROW(Source!A95)</f>
        <v>95</v>
      </c>
      <c r="B153">
        <v>35683522</v>
      </c>
      <c r="C153">
        <v>35683916</v>
      </c>
      <c r="D153">
        <v>29173141</v>
      </c>
      <c r="E153">
        <v>1</v>
      </c>
      <c r="F153">
        <v>1</v>
      </c>
      <c r="G153">
        <v>1</v>
      </c>
      <c r="H153">
        <v>2</v>
      </c>
      <c r="I153" t="s">
        <v>575</v>
      </c>
      <c r="J153" t="s">
        <v>576</v>
      </c>
      <c r="K153" t="s">
        <v>577</v>
      </c>
      <c r="L153">
        <v>1368</v>
      </c>
      <c r="N153">
        <v>1011</v>
      </c>
      <c r="O153" t="s">
        <v>343</v>
      </c>
      <c r="P153" t="s">
        <v>343</v>
      </c>
      <c r="Q153">
        <v>1</v>
      </c>
      <c r="W153">
        <v>0</v>
      </c>
      <c r="X153">
        <v>1314032473</v>
      </c>
      <c r="Y153">
        <v>2.1124999999999998</v>
      </c>
      <c r="AA153">
        <v>0</v>
      </c>
      <c r="AB153">
        <v>352.78</v>
      </c>
      <c r="AC153">
        <v>331.07</v>
      </c>
      <c r="AD153">
        <v>0</v>
      </c>
      <c r="AE153">
        <v>0</v>
      </c>
      <c r="AF153">
        <v>12.4</v>
      </c>
      <c r="AG153">
        <v>10.06</v>
      </c>
      <c r="AH153">
        <v>0</v>
      </c>
      <c r="AI153">
        <v>1</v>
      </c>
      <c r="AJ153">
        <v>28.45</v>
      </c>
      <c r="AK153">
        <v>32.909999999999997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1.69</v>
      </c>
      <c r="AU153" t="s">
        <v>143</v>
      </c>
      <c r="AV153">
        <v>0</v>
      </c>
      <c r="AW153">
        <v>2</v>
      </c>
      <c r="AX153">
        <v>35683932</v>
      </c>
      <c r="AY153">
        <v>1</v>
      </c>
      <c r="AZ153">
        <v>0</v>
      </c>
      <c r="BA153">
        <v>151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Y153*Source!I95</f>
        <v>6.3374999999999987E-2</v>
      </c>
      <c r="CY153">
        <f>AB153</f>
        <v>352.78</v>
      </c>
      <c r="CZ153">
        <f>AF153</f>
        <v>12.4</v>
      </c>
      <c r="DA153">
        <f>AJ153</f>
        <v>28.45</v>
      </c>
      <c r="DB153">
        <f t="shared" si="25"/>
        <v>26.2</v>
      </c>
      <c r="DC153">
        <f t="shared" si="26"/>
        <v>21.25</v>
      </c>
    </row>
    <row r="154" spans="1:107">
      <c r="A154">
        <f>ROW(Source!A95)</f>
        <v>95</v>
      </c>
      <c r="B154">
        <v>35683522</v>
      </c>
      <c r="C154">
        <v>35683916</v>
      </c>
      <c r="D154">
        <v>29174638</v>
      </c>
      <c r="E154">
        <v>1</v>
      </c>
      <c r="F154">
        <v>1</v>
      </c>
      <c r="G154">
        <v>1</v>
      </c>
      <c r="H154">
        <v>2</v>
      </c>
      <c r="I154" t="s">
        <v>578</v>
      </c>
      <c r="J154" t="s">
        <v>579</v>
      </c>
      <c r="K154" t="s">
        <v>580</v>
      </c>
      <c r="L154">
        <v>1368</v>
      </c>
      <c r="N154">
        <v>1011</v>
      </c>
      <c r="O154" t="s">
        <v>343</v>
      </c>
      <c r="P154" t="s">
        <v>343</v>
      </c>
      <c r="Q154">
        <v>1</v>
      </c>
      <c r="W154">
        <v>0</v>
      </c>
      <c r="X154">
        <v>-2119287708</v>
      </c>
      <c r="Y154">
        <v>6.25E-2</v>
      </c>
      <c r="AA154">
        <v>0</v>
      </c>
      <c r="AB154">
        <v>17.45</v>
      </c>
      <c r="AC154">
        <v>0</v>
      </c>
      <c r="AD154">
        <v>0</v>
      </c>
      <c r="AE154">
        <v>0</v>
      </c>
      <c r="AF154">
        <v>9.9700000000000006</v>
      </c>
      <c r="AG154">
        <v>0</v>
      </c>
      <c r="AH154">
        <v>0</v>
      </c>
      <c r="AI154">
        <v>1</v>
      </c>
      <c r="AJ154">
        <v>1.75</v>
      </c>
      <c r="AK154">
        <v>32.909999999999997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</v>
      </c>
      <c r="AT154">
        <v>0.05</v>
      </c>
      <c r="AU154" t="s">
        <v>143</v>
      </c>
      <c r="AV154">
        <v>0</v>
      </c>
      <c r="AW154">
        <v>2</v>
      </c>
      <c r="AX154">
        <v>35683933</v>
      </c>
      <c r="AY154">
        <v>1</v>
      </c>
      <c r="AZ154">
        <v>0</v>
      </c>
      <c r="BA154">
        <v>152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Y154*Source!I95</f>
        <v>1.8749999999999999E-3</v>
      </c>
      <c r="CY154">
        <f>AB154</f>
        <v>17.45</v>
      </c>
      <c r="CZ154">
        <f>AF154</f>
        <v>9.9700000000000006</v>
      </c>
      <c r="DA154">
        <f>AJ154</f>
        <v>1.75</v>
      </c>
      <c r="DB154">
        <f t="shared" si="25"/>
        <v>0.625</v>
      </c>
      <c r="DC154">
        <f t="shared" si="26"/>
        <v>0</v>
      </c>
    </row>
    <row r="155" spans="1:107">
      <c r="A155">
        <f>ROW(Source!A95)</f>
        <v>95</v>
      </c>
      <c r="B155">
        <v>35683522</v>
      </c>
      <c r="C155">
        <v>35683916</v>
      </c>
      <c r="D155">
        <v>29174913</v>
      </c>
      <c r="E155">
        <v>1</v>
      </c>
      <c r="F155">
        <v>1</v>
      </c>
      <c r="G155">
        <v>1</v>
      </c>
      <c r="H155">
        <v>2</v>
      </c>
      <c r="I155" t="s">
        <v>375</v>
      </c>
      <c r="J155" t="s">
        <v>488</v>
      </c>
      <c r="K155" t="s">
        <v>377</v>
      </c>
      <c r="L155">
        <v>1368</v>
      </c>
      <c r="N155">
        <v>1011</v>
      </c>
      <c r="O155" t="s">
        <v>343</v>
      </c>
      <c r="P155" t="s">
        <v>343</v>
      </c>
      <c r="Q155">
        <v>1</v>
      </c>
      <c r="W155">
        <v>0</v>
      </c>
      <c r="X155">
        <v>458544584</v>
      </c>
      <c r="Y155">
        <v>1.2500000000000001E-2</v>
      </c>
      <c r="AA155">
        <v>0</v>
      </c>
      <c r="AB155">
        <v>918.77</v>
      </c>
      <c r="AC155">
        <v>381.76</v>
      </c>
      <c r="AD155">
        <v>0</v>
      </c>
      <c r="AE155">
        <v>0</v>
      </c>
      <c r="AF155">
        <v>87.17</v>
      </c>
      <c r="AG155">
        <v>11.6</v>
      </c>
      <c r="AH155">
        <v>0</v>
      </c>
      <c r="AI155">
        <v>1</v>
      </c>
      <c r="AJ155">
        <v>10.54</v>
      </c>
      <c r="AK155">
        <v>32.909999999999997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</v>
      </c>
      <c r="AT155">
        <v>0.01</v>
      </c>
      <c r="AU155" t="s">
        <v>143</v>
      </c>
      <c r="AV155">
        <v>0</v>
      </c>
      <c r="AW155">
        <v>2</v>
      </c>
      <c r="AX155">
        <v>35683934</v>
      </c>
      <c r="AY155">
        <v>1</v>
      </c>
      <c r="AZ155">
        <v>0</v>
      </c>
      <c r="BA155">
        <v>153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Y155*Source!I95</f>
        <v>3.7500000000000001E-4</v>
      </c>
      <c r="CY155">
        <f>AB155</f>
        <v>918.77</v>
      </c>
      <c r="CZ155">
        <f>AF155</f>
        <v>87.17</v>
      </c>
      <c r="DA155">
        <f>AJ155</f>
        <v>10.54</v>
      </c>
      <c r="DB155">
        <f t="shared" si="25"/>
        <v>1.0874999999999999</v>
      </c>
      <c r="DC155">
        <f t="shared" si="26"/>
        <v>0.15</v>
      </c>
    </row>
    <row r="156" spans="1:107">
      <c r="A156">
        <f>ROW(Source!A95)</f>
        <v>95</v>
      </c>
      <c r="B156">
        <v>35683522</v>
      </c>
      <c r="C156">
        <v>35683916</v>
      </c>
      <c r="D156">
        <v>29107863</v>
      </c>
      <c r="E156">
        <v>1</v>
      </c>
      <c r="F156">
        <v>1</v>
      </c>
      <c r="G156">
        <v>1</v>
      </c>
      <c r="H156">
        <v>3</v>
      </c>
      <c r="I156" t="s">
        <v>581</v>
      </c>
      <c r="J156" t="s">
        <v>582</v>
      </c>
      <c r="K156" t="s">
        <v>583</v>
      </c>
      <c r="L156">
        <v>1348</v>
      </c>
      <c r="N156">
        <v>1009</v>
      </c>
      <c r="O156" t="s">
        <v>43</v>
      </c>
      <c r="P156" t="s">
        <v>43</v>
      </c>
      <c r="Q156">
        <v>1000</v>
      </c>
      <c r="W156">
        <v>0</v>
      </c>
      <c r="X156">
        <v>362594991</v>
      </c>
      <c r="Y156">
        <v>1.2999999999999999E-2</v>
      </c>
      <c r="AA156">
        <v>38737.9</v>
      </c>
      <c r="AB156">
        <v>0</v>
      </c>
      <c r="AC156">
        <v>0</v>
      </c>
      <c r="AD156">
        <v>0</v>
      </c>
      <c r="AE156">
        <v>6532.53</v>
      </c>
      <c r="AF156">
        <v>0</v>
      </c>
      <c r="AG156">
        <v>0</v>
      </c>
      <c r="AH156">
        <v>0</v>
      </c>
      <c r="AI156">
        <v>5.93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3</v>
      </c>
      <c r="AT156">
        <v>1.2999999999999999E-2</v>
      </c>
      <c r="AU156" t="s">
        <v>3</v>
      </c>
      <c r="AV156">
        <v>0</v>
      </c>
      <c r="AW156">
        <v>2</v>
      </c>
      <c r="AX156">
        <v>35683935</v>
      </c>
      <c r="AY156">
        <v>1</v>
      </c>
      <c r="AZ156">
        <v>0</v>
      </c>
      <c r="BA156">
        <v>154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Y156*Source!I95</f>
        <v>3.8999999999999999E-4</v>
      </c>
      <c r="CY156">
        <f>AA156</f>
        <v>38737.9</v>
      </c>
      <c r="CZ156">
        <f>AE156</f>
        <v>6532.53</v>
      </c>
      <c r="DA156">
        <f>AI156</f>
        <v>5.93</v>
      </c>
      <c r="DB156">
        <f>ROUND(ROUND(AT156*CZ156,2),6)</f>
        <v>84.92</v>
      </c>
      <c r="DC156">
        <f>ROUND(ROUND(AT156*AG156,2),6)</f>
        <v>0</v>
      </c>
    </row>
    <row r="157" spans="1:107">
      <c r="A157">
        <f>ROW(Source!A95)</f>
        <v>95</v>
      </c>
      <c r="B157">
        <v>35683522</v>
      </c>
      <c r="C157">
        <v>35683916</v>
      </c>
      <c r="D157">
        <v>29109437</v>
      </c>
      <c r="E157">
        <v>1</v>
      </c>
      <c r="F157">
        <v>1</v>
      </c>
      <c r="G157">
        <v>1</v>
      </c>
      <c r="H157">
        <v>3</v>
      </c>
      <c r="I157" t="s">
        <v>584</v>
      </c>
      <c r="J157" t="s">
        <v>585</v>
      </c>
      <c r="K157" t="s">
        <v>586</v>
      </c>
      <c r="L157">
        <v>1346</v>
      </c>
      <c r="N157">
        <v>1009</v>
      </c>
      <c r="O157" t="s">
        <v>425</v>
      </c>
      <c r="P157" t="s">
        <v>425</v>
      </c>
      <c r="Q157">
        <v>1</v>
      </c>
      <c r="W157">
        <v>0</v>
      </c>
      <c r="X157">
        <v>-1940067584</v>
      </c>
      <c r="Y157">
        <v>1200</v>
      </c>
      <c r="AA157">
        <v>15.98</v>
      </c>
      <c r="AB157">
        <v>0</v>
      </c>
      <c r="AC157">
        <v>0</v>
      </c>
      <c r="AD157">
        <v>0</v>
      </c>
      <c r="AE157">
        <v>3.86</v>
      </c>
      <c r="AF157">
        <v>0</v>
      </c>
      <c r="AG157">
        <v>0</v>
      </c>
      <c r="AH157">
        <v>0</v>
      </c>
      <c r="AI157">
        <v>4.1399999999999997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0</v>
      </c>
      <c r="AQ157">
        <v>0</v>
      </c>
      <c r="AR157">
        <v>0</v>
      </c>
      <c r="AS157" t="s">
        <v>3</v>
      </c>
      <c r="AT157">
        <v>1200</v>
      </c>
      <c r="AU157" t="s">
        <v>3</v>
      </c>
      <c r="AV157">
        <v>0</v>
      </c>
      <c r="AW157">
        <v>2</v>
      </c>
      <c r="AX157">
        <v>35683936</v>
      </c>
      <c r="AY157">
        <v>1</v>
      </c>
      <c r="AZ157">
        <v>0</v>
      </c>
      <c r="BA157">
        <v>155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Y157*Source!I95</f>
        <v>36</v>
      </c>
      <c r="CY157">
        <f>AA157</f>
        <v>15.98</v>
      </c>
      <c r="CZ157">
        <f>AE157</f>
        <v>3.86</v>
      </c>
      <c r="DA157">
        <f>AI157</f>
        <v>4.1399999999999997</v>
      </c>
      <c r="DB157">
        <f>ROUND(ROUND(AT157*CZ157,2),6)</f>
        <v>4632</v>
      </c>
      <c r="DC157">
        <f>ROUND(ROUND(AT157*AG157,2),6)</f>
        <v>0</v>
      </c>
    </row>
    <row r="158" spans="1:107">
      <c r="A158">
        <f>ROW(Source!A95)</f>
        <v>95</v>
      </c>
      <c r="B158">
        <v>35683522</v>
      </c>
      <c r="C158">
        <v>35683916</v>
      </c>
      <c r="D158">
        <v>29109880</v>
      </c>
      <c r="E158">
        <v>1</v>
      </c>
      <c r="F158">
        <v>1</v>
      </c>
      <c r="G158">
        <v>1</v>
      </c>
      <c r="H158">
        <v>3</v>
      </c>
      <c r="I158" t="s">
        <v>587</v>
      </c>
      <c r="J158" t="s">
        <v>588</v>
      </c>
      <c r="K158" t="s">
        <v>589</v>
      </c>
      <c r="L158">
        <v>1327</v>
      </c>
      <c r="N158">
        <v>1005</v>
      </c>
      <c r="O158" t="s">
        <v>211</v>
      </c>
      <c r="P158" t="s">
        <v>211</v>
      </c>
      <c r="Q158">
        <v>1</v>
      </c>
      <c r="W158">
        <v>0</v>
      </c>
      <c r="X158">
        <v>1796338396</v>
      </c>
      <c r="Y158">
        <v>102</v>
      </c>
      <c r="AA158">
        <v>562.16999999999996</v>
      </c>
      <c r="AB158">
        <v>0</v>
      </c>
      <c r="AC158">
        <v>0</v>
      </c>
      <c r="AD158">
        <v>0</v>
      </c>
      <c r="AE158">
        <v>145.63999999999999</v>
      </c>
      <c r="AF158">
        <v>0</v>
      </c>
      <c r="AG158">
        <v>0</v>
      </c>
      <c r="AH158">
        <v>0</v>
      </c>
      <c r="AI158">
        <v>3.86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102</v>
      </c>
      <c r="AU158" t="s">
        <v>3</v>
      </c>
      <c r="AV158">
        <v>0</v>
      </c>
      <c r="AW158">
        <v>2</v>
      </c>
      <c r="AX158">
        <v>35683937</v>
      </c>
      <c r="AY158">
        <v>1</v>
      </c>
      <c r="AZ158">
        <v>0</v>
      </c>
      <c r="BA158">
        <v>156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Y158*Source!I95</f>
        <v>3.06</v>
      </c>
      <c r="CY158">
        <f>AA158</f>
        <v>562.16999999999996</v>
      </c>
      <c r="CZ158">
        <f>AE158</f>
        <v>145.63999999999999</v>
      </c>
      <c r="DA158">
        <f>AI158</f>
        <v>3.86</v>
      </c>
      <c r="DB158">
        <f>ROUND(ROUND(AT158*CZ158,2),6)</f>
        <v>14855.28</v>
      </c>
      <c r="DC158">
        <f>ROUND(ROUND(AT158*AG158,2),6)</f>
        <v>0</v>
      </c>
    </row>
    <row r="159" spans="1:107">
      <c r="A159">
        <f>ROW(Source!A95)</f>
        <v>95</v>
      </c>
      <c r="B159">
        <v>35683522</v>
      </c>
      <c r="C159">
        <v>35683916</v>
      </c>
      <c r="D159">
        <v>29150040</v>
      </c>
      <c r="E159">
        <v>1</v>
      </c>
      <c r="F159">
        <v>1</v>
      </c>
      <c r="G159">
        <v>1</v>
      </c>
      <c r="H159">
        <v>3</v>
      </c>
      <c r="I159" t="s">
        <v>347</v>
      </c>
      <c r="J159" t="s">
        <v>568</v>
      </c>
      <c r="K159" t="s">
        <v>349</v>
      </c>
      <c r="L159">
        <v>1339</v>
      </c>
      <c r="N159">
        <v>1007</v>
      </c>
      <c r="O159" t="s">
        <v>350</v>
      </c>
      <c r="P159" t="s">
        <v>350</v>
      </c>
      <c r="Q159">
        <v>1</v>
      </c>
      <c r="W159">
        <v>0</v>
      </c>
      <c r="X159">
        <v>693153122</v>
      </c>
      <c r="Y159">
        <v>0.44</v>
      </c>
      <c r="AA159">
        <v>22.2</v>
      </c>
      <c r="AB159">
        <v>0</v>
      </c>
      <c r="AC159">
        <v>0</v>
      </c>
      <c r="AD159">
        <v>0</v>
      </c>
      <c r="AE159">
        <v>2.44</v>
      </c>
      <c r="AF159">
        <v>0</v>
      </c>
      <c r="AG159">
        <v>0</v>
      </c>
      <c r="AH159">
        <v>0</v>
      </c>
      <c r="AI159">
        <v>9.1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0.44</v>
      </c>
      <c r="AU159" t="s">
        <v>3</v>
      </c>
      <c r="AV159">
        <v>0</v>
      </c>
      <c r="AW159">
        <v>2</v>
      </c>
      <c r="AX159">
        <v>35683940</v>
      </c>
      <c r="AY159">
        <v>1</v>
      </c>
      <c r="AZ159">
        <v>0</v>
      </c>
      <c r="BA159">
        <v>159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Y159*Source!I95</f>
        <v>1.32E-2</v>
      </c>
      <c r="CY159">
        <f>AA159</f>
        <v>22.2</v>
      </c>
      <c r="CZ159">
        <f>AE159</f>
        <v>2.44</v>
      </c>
      <c r="DA159">
        <f>AI159</f>
        <v>9.1</v>
      </c>
      <c r="DB159">
        <f>ROUND(ROUND(AT159*CZ159,2),6)</f>
        <v>1.07</v>
      </c>
      <c r="DC159">
        <f>ROUND(ROUND(AT159*AG159,2),6)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159"/>
  <sheetViews>
    <sheetView workbookViewId="0"/>
  </sheetViews>
  <sheetFormatPr defaultColWidth="9.109375" defaultRowHeight="13.2"/>
  <cols>
    <col min="1" max="256" width="9.109375" customWidth="1"/>
  </cols>
  <sheetData>
    <row r="1" spans="1:44">
      <c r="A1">
        <f>ROW(Source!A28)</f>
        <v>28</v>
      </c>
      <c r="B1">
        <v>36361655</v>
      </c>
      <c r="C1">
        <v>36361654</v>
      </c>
      <c r="D1">
        <v>18442760</v>
      </c>
      <c r="E1">
        <v>1</v>
      </c>
      <c r="F1">
        <v>1</v>
      </c>
      <c r="G1">
        <v>1</v>
      </c>
      <c r="H1">
        <v>1</v>
      </c>
      <c r="I1" t="s">
        <v>337</v>
      </c>
      <c r="J1" t="s">
        <v>3</v>
      </c>
      <c r="K1" t="s">
        <v>338</v>
      </c>
      <c r="L1">
        <v>1369</v>
      </c>
      <c r="N1">
        <v>1013</v>
      </c>
      <c r="O1" t="s">
        <v>339</v>
      </c>
      <c r="P1" t="s">
        <v>339</v>
      </c>
      <c r="Q1">
        <v>1</v>
      </c>
      <c r="X1">
        <v>3.92</v>
      </c>
      <c r="Y1">
        <v>0</v>
      </c>
      <c r="Z1">
        <v>0</v>
      </c>
      <c r="AA1">
        <v>0</v>
      </c>
      <c r="AB1">
        <v>362.09</v>
      </c>
      <c r="AC1">
        <v>0</v>
      </c>
      <c r="AD1">
        <v>1</v>
      </c>
      <c r="AE1">
        <v>1</v>
      </c>
      <c r="AF1" t="s">
        <v>3</v>
      </c>
      <c r="AG1">
        <v>3.92</v>
      </c>
      <c r="AH1">
        <v>2</v>
      </c>
      <c r="AI1">
        <v>36361655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36361656</v>
      </c>
      <c r="C2">
        <v>36361654</v>
      </c>
      <c r="D2">
        <v>29174517</v>
      </c>
      <c r="E2">
        <v>1</v>
      </c>
      <c r="F2">
        <v>1</v>
      </c>
      <c r="G2">
        <v>1</v>
      </c>
      <c r="H2">
        <v>2</v>
      </c>
      <c r="I2" t="s">
        <v>340</v>
      </c>
      <c r="J2" t="s">
        <v>341</v>
      </c>
      <c r="K2" t="s">
        <v>342</v>
      </c>
      <c r="L2">
        <v>1368</v>
      </c>
      <c r="N2">
        <v>1011</v>
      </c>
      <c r="O2" t="s">
        <v>343</v>
      </c>
      <c r="P2" t="s">
        <v>343</v>
      </c>
      <c r="Q2">
        <v>1</v>
      </c>
      <c r="X2">
        <v>1.87</v>
      </c>
      <c r="Y2">
        <v>0</v>
      </c>
      <c r="Z2">
        <v>149.62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1.87</v>
      </c>
      <c r="AH2">
        <v>2</v>
      </c>
      <c r="AI2">
        <v>36361656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ROW(Source!A28)</f>
        <v>28</v>
      </c>
      <c r="B3">
        <v>36361657</v>
      </c>
      <c r="C3">
        <v>36361654</v>
      </c>
      <c r="D3">
        <v>29114197</v>
      </c>
      <c r="E3">
        <v>1</v>
      </c>
      <c r="F3">
        <v>1</v>
      </c>
      <c r="G3">
        <v>1</v>
      </c>
      <c r="H3">
        <v>3</v>
      </c>
      <c r="I3" t="s">
        <v>344</v>
      </c>
      <c r="J3" t="s">
        <v>345</v>
      </c>
      <c r="K3" t="s">
        <v>346</v>
      </c>
      <c r="L3">
        <v>1355</v>
      </c>
      <c r="N3">
        <v>1010</v>
      </c>
      <c r="O3" t="s">
        <v>149</v>
      </c>
      <c r="P3" t="s">
        <v>149</v>
      </c>
      <c r="Q3">
        <v>100</v>
      </c>
      <c r="X3">
        <v>0.02</v>
      </c>
      <c r="Y3">
        <v>526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0.02</v>
      </c>
      <c r="AH3">
        <v>2</v>
      </c>
      <c r="AI3">
        <v>36361657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ROW(Source!A28)</f>
        <v>28</v>
      </c>
      <c r="B4">
        <v>36361658</v>
      </c>
      <c r="C4">
        <v>36361654</v>
      </c>
      <c r="D4">
        <v>29114911</v>
      </c>
      <c r="E4">
        <v>1</v>
      </c>
      <c r="F4">
        <v>1</v>
      </c>
      <c r="G4">
        <v>1</v>
      </c>
      <c r="H4">
        <v>3</v>
      </c>
      <c r="I4" t="s">
        <v>590</v>
      </c>
      <c r="J4" t="s">
        <v>591</v>
      </c>
      <c r="K4" t="s">
        <v>592</v>
      </c>
      <c r="L4">
        <v>1354</v>
      </c>
      <c r="N4">
        <v>1010</v>
      </c>
      <c r="O4" t="s">
        <v>23</v>
      </c>
      <c r="P4" t="s">
        <v>23</v>
      </c>
      <c r="Q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0</v>
      </c>
      <c r="AE4">
        <v>0</v>
      </c>
      <c r="AF4" t="s">
        <v>3</v>
      </c>
      <c r="AG4">
        <v>0</v>
      </c>
      <c r="AH4">
        <v>3</v>
      </c>
      <c r="AI4">
        <v>-1</v>
      </c>
      <c r="AJ4" t="s">
        <v>3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ROW(Source!A28)</f>
        <v>28</v>
      </c>
      <c r="B5">
        <v>36361659</v>
      </c>
      <c r="C5">
        <v>36361654</v>
      </c>
      <c r="D5">
        <v>29150040</v>
      </c>
      <c r="E5">
        <v>1</v>
      </c>
      <c r="F5">
        <v>1</v>
      </c>
      <c r="G5">
        <v>1</v>
      </c>
      <c r="H5">
        <v>3</v>
      </c>
      <c r="I5" t="s">
        <v>347</v>
      </c>
      <c r="J5" t="s">
        <v>348</v>
      </c>
      <c r="K5" t="s">
        <v>349</v>
      </c>
      <c r="L5">
        <v>1339</v>
      </c>
      <c r="N5">
        <v>1007</v>
      </c>
      <c r="O5" t="s">
        <v>350</v>
      </c>
      <c r="P5" t="s">
        <v>350</v>
      </c>
      <c r="Q5">
        <v>1</v>
      </c>
      <c r="X5">
        <v>0.1142</v>
      </c>
      <c r="Y5">
        <v>2.44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0.1142</v>
      </c>
      <c r="AH5">
        <v>2</v>
      </c>
      <c r="AI5">
        <v>36361659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ROW(Source!A30)</f>
        <v>30</v>
      </c>
      <c r="B6">
        <v>35684305</v>
      </c>
      <c r="C6">
        <v>35684304</v>
      </c>
      <c r="D6">
        <v>18406804</v>
      </c>
      <c r="E6">
        <v>1</v>
      </c>
      <c r="F6">
        <v>1</v>
      </c>
      <c r="G6">
        <v>1</v>
      </c>
      <c r="H6">
        <v>1</v>
      </c>
      <c r="I6" t="s">
        <v>351</v>
      </c>
      <c r="J6" t="s">
        <v>3</v>
      </c>
      <c r="K6" t="s">
        <v>352</v>
      </c>
      <c r="L6">
        <v>1369</v>
      </c>
      <c r="N6">
        <v>1013</v>
      </c>
      <c r="O6" t="s">
        <v>339</v>
      </c>
      <c r="P6" t="s">
        <v>339</v>
      </c>
      <c r="Q6">
        <v>1</v>
      </c>
      <c r="X6">
        <v>20.8</v>
      </c>
      <c r="Y6">
        <v>0</v>
      </c>
      <c r="Z6">
        <v>0</v>
      </c>
      <c r="AA6">
        <v>0</v>
      </c>
      <c r="AB6">
        <v>254.67</v>
      </c>
      <c r="AC6">
        <v>0</v>
      </c>
      <c r="AD6">
        <v>1</v>
      </c>
      <c r="AE6">
        <v>1</v>
      </c>
      <c r="AF6" t="s">
        <v>3</v>
      </c>
      <c r="AG6">
        <v>20.8</v>
      </c>
      <c r="AH6">
        <v>2</v>
      </c>
      <c r="AI6">
        <v>35684305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ROW(Source!A31)</f>
        <v>31</v>
      </c>
      <c r="B7">
        <v>35684312</v>
      </c>
      <c r="C7">
        <v>35684311</v>
      </c>
      <c r="D7">
        <v>18407150</v>
      </c>
      <c r="E7">
        <v>1</v>
      </c>
      <c r="F7">
        <v>1</v>
      </c>
      <c r="G7">
        <v>1</v>
      </c>
      <c r="H7">
        <v>1</v>
      </c>
      <c r="I7" t="s">
        <v>353</v>
      </c>
      <c r="J7" t="s">
        <v>3</v>
      </c>
      <c r="K7" t="s">
        <v>354</v>
      </c>
      <c r="L7">
        <v>1369</v>
      </c>
      <c r="N7">
        <v>1013</v>
      </c>
      <c r="O7" t="s">
        <v>339</v>
      </c>
      <c r="P7" t="s">
        <v>339</v>
      </c>
      <c r="Q7">
        <v>1</v>
      </c>
      <c r="X7">
        <v>69.87</v>
      </c>
      <c r="Y7">
        <v>0</v>
      </c>
      <c r="Z7">
        <v>0</v>
      </c>
      <c r="AA7">
        <v>0</v>
      </c>
      <c r="AB7">
        <v>278.5</v>
      </c>
      <c r="AC7">
        <v>0</v>
      </c>
      <c r="AD7">
        <v>1</v>
      </c>
      <c r="AE7">
        <v>1</v>
      </c>
      <c r="AF7" t="s">
        <v>3</v>
      </c>
      <c r="AG7">
        <v>69.87</v>
      </c>
      <c r="AH7">
        <v>2</v>
      </c>
      <c r="AI7">
        <v>35684312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ROW(Source!A31)</f>
        <v>31</v>
      </c>
      <c r="B8">
        <v>35684313</v>
      </c>
      <c r="C8">
        <v>35684311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15</v>
      </c>
      <c r="J8" t="s">
        <v>3</v>
      </c>
      <c r="K8" t="s">
        <v>355</v>
      </c>
      <c r="L8">
        <v>608254</v>
      </c>
      <c r="N8">
        <v>1013</v>
      </c>
      <c r="O8" t="s">
        <v>356</v>
      </c>
      <c r="P8" t="s">
        <v>356</v>
      </c>
      <c r="Q8">
        <v>1</v>
      </c>
      <c r="X8">
        <v>1.44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3</v>
      </c>
      <c r="AG8">
        <v>1.44</v>
      </c>
      <c r="AH8">
        <v>2</v>
      </c>
      <c r="AI8">
        <v>35684313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ROW(Source!A31)</f>
        <v>31</v>
      </c>
      <c r="B9">
        <v>35684314</v>
      </c>
      <c r="C9">
        <v>35684311</v>
      </c>
      <c r="D9">
        <v>29172556</v>
      </c>
      <c r="E9">
        <v>1</v>
      </c>
      <c r="F9">
        <v>1</v>
      </c>
      <c r="G9">
        <v>1</v>
      </c>
      <c r="H9">
        <v>2</v>
      </c>
      <c r="I9" t="s">
        <v>357</v>
      </c>
      <c r="J9" t="s">
        <v>358</v>
      </c>
      <c r="K9" t="s">
        <v>359</v>
      </c>
      <c r="L9">
        <v>1368</v>
      </c>
      <c r="N9">
        <v>1011</v>
      </c>
      <c r="O9" t="s">
        <v>343</v>
      </c>
      <c r="P9" t="s">
        <v>343</v>
      </c>
      <c r="Q9">
        <v>1</v>
      </c>
      <c r="X9">
        <v>1.44</v>
      </c>
      <c r="Y9">
        <v>0</v>
      </c>
      <c r="Z9">
        <v>31.26</v>
      </c>
      <c r="AA9">
        <v>13.5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1.44</v>
      </c>
      <c r="AH9">
        <v>2</v>
      </c>
      <c r="AI9">
        <v>35684314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ROW(Source!A31)</f>
        <v>31</v>
      </c>
      <c r="B10">
        <v>35684315</v>
      </c>
      <c r="C10">
        <v>35684311</v>
      </c>
      <c r="D10">
        <v>29164349</v>
      </c>
      <c r="E10">
        <v>1</v>
      </c>
      <c r="F10">
        <v>1</v>
      </c>
      <c r="G10">
        <v>1</v>
      </c>
      <c r="H10">
        <v>3</v>
      </c>
      <c r="I10" t="s">
        <v>41</v>
      </c>
      <c r="J10" t="s">
        <v>44</v>
      </c>
      <c r="K10" t="s">
        <v>42</v>
      </c>
      <c r="L10">
        <v>1348</v>
      </c>
      <c r="N10">
        <v>1009</v>
      </c>
      <c r="O10" t="s">
        <v>43</v>
      </c>
      <c r="P10" t="s">
        <v>43</v>
      </c>
      <c r="Q10">
        <v>1000</v>
      </c>
      <c r="X10">
        <v>5.2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3</v>
      </c>
      <c r="AG10">
        <v>5.2</v>
      </c>
      <c r="AH10">
        <v>2</v>
      </c>
      <c r="AI10">
        <v>35684315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ROW(Source!A33)</f>
        <v>33</v>
      </c>
      <c r="B11">
        <v>35683764</v>
      </c>
      <c r="C11">
        <v>35683761</v>
      </c>
      <c r="D11">
        <v>18411771</v>
      </c>
      <c r="E11">
        <v>1</v>
      </c>
      <c r="F11">
        <v>1</v>
      </c>
      <c r="G11">
        <v>1</v>
      </c>
      <c r="H11">
        <v>1</v>
      </c>
      <c r="I11" t="s">
        <v>360</v>
      </c>
      <c r="J11" t="s">
        <v>3</v>
      </c>
      <c r="K11" t="s">
        <v>361</v>
      </c>
      <c r="L11">
        <v>1369</v>
      </c>
      <c r="N11">
        <v>1013</v>
      </c>
      <c r="O11" t="s">
        <v>339</v>
      </c>
      <c r="P11" t="s">
        <v>339</v>
      </c>
      <c r="Q11">
        <v>1</v>
      </c>
      <c r="X11">
        <v>36.28</v>
      </c>
      <c r="Y11">
        <v>0</v>
      </c>
      <c r="Z11">
        <v>0</v>
      </c>
      <c r="AA11">
        <v>0</v>
      </c>
      <c r="AB11">
        <v>237.8</v>
      </c>
      <c r="AC11">
        <v>0</v>
      </c>
      <c r="AD11">
        <v>1</v>
      </c>
      <c r="AE11">
        <v>1</v>
      </c>
      <c r="AF11" t="s">
        <v>3</v>
      </c>
      <c r="AG11">
        <v>36.28</v>
      </c>
      <c r="AH11">
        <v>2</v>
      </c>
      <c r="AI11">
        <v>35683762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ROW(Source!A33)</f>
        <v>33</v>
      </c>
      <c r="B12">
        <v>35683765</v>
      </c>
      <c r="C12">
        <v>35683761</v>
      </c>
      <c r="D12">
        <v>29164349</v>
      </c>
      <c r="E12">
        <v>1</v>
      </c>
      <c r="F12">
        <v>1</v>
      </c>
      <c r="G12">
        <v>1</v>
      </c>
      <c r="H12">
        <v>3</v>
      </c>
      <c r="I12" t="s">
        <v>41</v>
      </c>
      <c r="J12" t="s">
        <v>44</v>
      </c>
      <c r="K12" t="s">
        <v>42</v>
      </c>
      <c r="L12">
        <v>1348</v>
      </c>
      <c r="N12">
        <v>1009</v>
      </c>
      <c r="O12" t="s">
        <v>43</v>
      </c>
      <c r="P12" t="s">
        <v>43</v>
      </c>
      <c r="Q12">
        <v>1000</v>
      </c>
      <c r="X12">
        <v>1.18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3</v>
      </c>
      <c r="AG12">
        <v>1.18</v>
      </c>
      <c r="AH12">
        <v>2</v>
      </c>
      <c r="AI12">
        <v>35683763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ROW(Source!A35)</f>
        <v>35</v>
      </c>
      <c r="B13">
        <v>35683773</v>
      </c>
      <c r="C13">
        <v>35683767</v>
      </c>
      <c r="D13">
        <v>18408066</v>
      </c>
      <c r="E13">
        <v>1</v>
      </c>
      <c r="F13">
        <v>1</v>
      </c>
      <c r="G13">
        <v>1</v>
      </c>
      <c r="H13">
        <v>1</v>
      </c>
      <c r="I13" t="s">
        <v>362</v>
      </c>
      <c r="J13" t="s">
        <v>3</v>
      </c>
      <c r="K13" t="s">
        <v>363</v>
      </c>
      <c r="L13">
        <v>1369</v>
      </c>
      <c r="N13">
        <v>1013</v>
      </c>
      <c r="O13" t="s">
        <v>339</v>
      </c>
      <c r="P13" t="s">
        <v>339</v>
      </c>
      <c r="Q13">
        <v>1</v>
      </c>
      <c r="X13">
        <v>179.3</v>
      </c>
      <c r="Y13">
        <v>0</v>
      </c>
      <c r="Z13">
        <v>0</v>
      </c>
      <c r="AA13">
        <v>0</v>
      </c>
      <c r="AB13">
        <v>240.2</v>
      </c>
      <c r="AC13">
        <v>0</v>
      </c>
      <c r="AD13">
        <v>1</v>
      </c>
      <c r="AE13">
        <v>1</v>
      </c>
      <c r="AF13" t="s">
        <v>3</v>
      </c>
      <c r="AG13">
        <v>179.3</v>
      </c>
      <c r="AH13">
        <v>2</v>
      </c>
      <c r="AI13">
        <v>35683768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ROW(Source!A35)</f>
        <v>35</v>
      </c>
      <c r="B14">
        <v>35683774</v>
      </c>
      <c r="C14">
        <v>35683767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15</v>
      </c>
      <c r="J14" t="s">
        <v>3</v>
      </c>
      <c r="K14" t="s">
        <v>355</v>
      </c>
      <c r="L14">
        <v>608254</v>
      </c>
      <c r="N14">
        <v>1013</v>
      </c>
      <c r="O14" t="s">
        <v>356</v>
      </c>
      <c r="P14" t="s">
        <v>356</v>
      </c>
      <c r="Q14">
        <v>1</v>
      </c>
      <c r="X14">
        <v>3.97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 t="s">
        <v>3</v>
      </c>
      <c r="AG14">
        <v>3.97</v>
      </c>
      <c r="AH14">
        <v>2</v>
      </c>
      <c r="AI14">
        <v>35683769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ROW(Source!A35)</f>
        <v>35</v>
      </c>
      <c r="B15">
        <v>35683775</v>
      </c>
      <c r="C15">
        <v>35683767</v>
      </c>
      <c r="D15">
        <v>29172710</v>
      </c>
      <c r="E15">
        <v>1</v>
      </c>
      <c r="F15">
        <v>1</v>
      </c>
      <c r="G15">
        <v>1</v>
      </c>
      <c r="H15">
        <v>2</v>
      </c>
      <c r="I15" t="s">
        <v>364</v>
      </c>
      <c r="J15" t="s">
        <v>365</v>
      </c>
      <c r="K15" t="s">
        <v>366</v>
      </c>
      <c r="L15">
        <v>1368</v>
      </c>
      <c r="N15">
        <v>1011</v>
      </c>
      <c r="O15" t="s">
        <v>343</v>
      </c>
      <c r="P15" t="s">
        <v>343</v>
      </c>
      <c r="Q15">
        <v>1</v>
      </c>
      <c r="X15">
        <v>3.97</v>
      </c>
      <c r="Y15">
        <v>0</v>
      </c>
      <c r="Z15">
        <v>46.56</v>
      </c>
      <c r="AA15">
        <v>10.06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3.97</v>
      </c>
      <c r="AH15">
        <v>2</v>
      </c>
      <c r="AI15">
        <v>35683770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ROW(Source!A35)</f>
        <v>35</v>
      </c>
      <c r="B16">
        <v>35683776</v>
      </c>
      <c r="C16">
        <v>35683767</v>
      </c>
      <c r="D16">
        <v>29174533</v>
      </c>
      <c r="E16">
        <v>1</v>
      </c>
      <c r="F16">
        <v>1</v>
      </c>
      <c r="G16">
        <v>1</v>
      </c>
      <c r="H16">
        <v>2</v>
      </c>
      <c r="I16" t="s">
        <v>367</v>
      </c>
      <c r="J16" t="s">
        <v>368</v>
      </c>
      <c r="K16" t="s">
        <v>369</v>
      </c>
      <c r="L16">
        <v>1368</v>
      </c>
      <c r="N16">
        <v>1011</v>
      </c>
      <c r="O16" t="s">
        <v>343</v>
      </c>
      <c r="P16" t="s">
        <v>343</v>
      </c>
      <c r="Q16">
        <v>1</v>
      </c>
      <c r="X16">
        <v>7.93</v>
      </c>
      <c r="Y16">
        <v>0</v>
      </c>
      <c r="Z16">
        <v>1.53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7.93</v>
      </c>
      <c r="AH16">
        <v>2</v>
      </c>
      <c r="AI16">
        <v>35683771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ROW(Source!A35)</f>
        <v>35</v>
      </c>
      <c r="B17">
        <v>35683777</v>
      </c>
      <c r="C17">
        <v>35683767</v>
      </c>
      <c r="D17">
        <v>29164349</v>
      </c>
      <c r="E17">
        <v>1</v>
      </c>
      <c r="F17">
        <v>1</v>
      </c>
      <c r="G17">
        <v>1</v>
      </c>
      <c r="H17">
        <v>3</v>
      </c>
      <c r="I17" t="s">
        <v>41</v>
      </c>
      <c r="J17" t="s">
        <v>44</v>
      </c>
      <c r="K17" t="s">
        <v>42</v>
      </c>
      <c r="L17">
        <v>1348</v>
      </c>
      <c r="N17">
        <v>1009</v>
      </c>
      <c r="O17" t="s">
        <v>43</v>
      </c>
      <c r="P17" t="s">
        <v>43</v>
      </c>
      <c r="Q17">
        <v>1000</v>
      </c>
      <c r="X17">
        <v>10.5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t="s">
        <v>3</v>
      </c>
      <c r="AG17">
        <v>10.5</v>
      </c>
      <c r="AH17">
        <v>2</v>
      </c>
      <c r="AI17">
        <v>35683772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ROW(Source!A72)</f>
        <v>72</v>
      </c>
      <c r="B18">
        <v>36361732</v>
      </c>
      <c r="C18">
        <v>36361731</v>
      </c>
      <c r="D18">
        <v>18413610</v>
      </c>
      <c r="E18">
        <v>1</v>
      </c>
      <c r="F18">
        <v>1</v>
      </c>
      <c r="G18">
        <v>1</v>
      </c>
      <c r="H18">
        <v>1</v>
      </c>
      <c r="I18" t="s">
        <v>370</v>
      </c>
      <c r="J18" t="s">
        <v>3</v>
      </c>
      <c r="K18" t="s">
        <v>371</v>
      </c>
      <c r="L18">
        <v>1369</v>
      </c>
      <c r="N18">
        <v>1013</v>
      </c>
      <c r="O18" t="s">
        <v>339</v>
      </c>
      <c r="P18" t="s">
        <v>339</v>
      </c>
      <c r="Q18">
        <v>1</v>
      </c>
      <c r="X18">
        <v>42.7</v>
      </c>
      <c r="Y18">
        <v>0</v>
      </c>
      <c r="Z18">
        <v>0</v>
      </c>
      <c r="AA18">
        <v>0</v>
      </c>
      <c r="AB18">
        <v>333.35</v>
      </c>
      <c r="AC18">
        <v>0</v>
      </c>
      <c r="AD18">
        <v>1</v>
      </c>
      <c r="AE18">
        <v>1</v>
      </c>
      <c r="AF18" t="s">
        <v>3</v>
      </c>
      <c r="AG18">
        <v>42.7</v>
      </c>
      <c r="AH18">
        <v>2</v>
      </c>
      <c r="AI18">
        <v>36361732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ROW(Source!A72)</f>
        <v>72</v>
      </c>
      <c r="B19">
        <v>36361733</v>
      </c>
      <c r="C19">
        <v>36361731</v>
      </c>
      <c r="D19">
        <v>29172657</v>
      </c>
      <c r="E19">
        <v>1</v>
      </c>
      <c r="F19">
        <v>1</v>
      </c>
      <c r="G19">
        <v>1</v>
      </c>
      <c r="H19">
        <v>2</v>
      </c>
      <c r="I19" t="s">
        <v>372</v>
      </c>
      <c r="J19" t="s">
        <v>373</v>
      </c>
      <c r="K19" t="s">
        <v>374</v>
      </c>
      <c r="L19">
        <v>1368</v>
      </c>
      <c r="N19">
        <v>1011</v>
      </c>
      <c r="O19" t="s">
        <v>343</v>
      </c>
      <c r="P19" t="s">
        <v>343</v>
      </c>
      <c r="Q19">
        <v>1</v>
      </c>
      <c r="X19">
        <v>21.25</v>
      </c>
      <c r="Y19">
        <v>0</v>
      </c>
      <c r="Z19">
        <v>8.1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21.25</v>
      </c>
      <c r="AH19">
        <v>2</v>
      </c>
      <c r="AI19">
        <v>36361733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ROW(Source!A72)</f>
        <v>72</v>
      </c>
      <c r="B20">
        <v>36361734</v>
      </c>
      <c r="C20">
        <v>36361731</v>
      </c>
      <c r="D20">
        <v>29174913</v>
      </c>
      <c r="E20">
        <v>1</v>
      </c>
      <c r="F20">
        <v>1</v>
      </c>
      <c r="G20">
        <v>1</v>
      </c>
      <c r="H20">
        <v>2</v>
      </c>
      <c r="I20" t="s">
        <v>375</v>
      </c>
      <c r="J20" t="s">
        <v>376</v>
      </c>
      <c r="K20" t="s">
        <v>377</v>
      </c>
      <c r="L20">
        <v>1368</v>
      </c>
      <c r="N20">
        <v>1011</v>
      </c>
      <c r="O20" t="s">
        <v>343</v>
      </c>
      <c r="P20" t="s">
        <v>343</v>
      </c>
      <c r="Q20">
        <v>1</v>
      </c>
      <c r="X20">
        <v>1.03</v>
      </c>
      <c r="Y20">
        <v>0</v>
      </c>
      <c r="Z20">
        <v>87.17</v>
      </c>
      <c r="AA20">
        <v>11.6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1.03</v>
      </c>
      <c r="AH20">
        <v>2</v>
      </c>
      <c r="AI20">
        <v>36361734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ROW(Source!A72)</f>
        <v>72</v>
      </c>
      <c r="B21">
        <v>36361735</v>
      </c>
      <c r="C21">
        <v>36361731</v>
      </c>
      <c r="D21">
        <v>29113982</v>
      </c>
      <c r="E21">
        <v>1</v>
      </c>
      <c r="F21">
        <v>1</v>
      </c>
      <c r="G21">
        <v>1</v>
      </c>
      <c r="H21">
        <v>3</v>
      </c>
      <c r="I21" t="s">
        <v>378</v>
      </c>
      <c r="J21" t="s">
        <v>379</v>
      </c>
      <c r="K21" t="s">
        <v>380</v>
      </c>
      <c r="L21">
        <v>1348</v>
      </c>
      <c r="N21">
        <v>1009</v>
      </c>
      <c r="O21" t="s">
        <v>43</v>
      </c>
      <c r="P21" t="s">
        <v>43</v>
      </c>
      <c r="Q21">
        <v>1000</v>
      </c>
      <c r="X21">
        <v>0.04</v>
      </c>
      <c r="Y21">
        <v>9423.99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0.04</v>
      </c>
      <c r="AH21">
        <v>2</v>
      </c>
      <c r="AI21">
        <v>36361735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ROW(Source!A72)</f>
        <v>72</v>
      </c>
      <c r="B22">
        <v>36361736</v>
      </c>
      <c r="C22">
        <v>36361731</v>
      </c>
      <c r="D22">
        <v>29129297</v>
      </c>
      <c r="E22">
        <v>1</v>
      </c>
      <c r="F22">
        <v>1</v>
      </c>
      <c r="G22">
        <v>1</v>
      </c>
      <c r="H22">
        <v>3</v>
      </c>
      <c r="I22" t="s">
        <v>381</v>
      </c>
      <c r="J22" t="s">
        <v>382</v>
      </c>
      <c r="K22" t="s">
        <v>383</v>
      </c>
      <c r="L22">
        <v>1348</v>
      </c>
      <c r="N22">
        <v>1009</v>
      </c>
      <c r="O22" t="s">
        <v>43</v>
      </c>
      <c r="P22" t="s">
        <v>43</v>
      </c>
      <c r="Q22">
        <v>1000</v>
      </c>
      <c r="X22">
        <v>1</v>
      </c>
      <c r="Y22">
        <v>10045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1</v>
      </c>
      <c r="AH22">
        <v>2</v>
      </c>
      <c r="AI22">
        <v>36361736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ROW(Source!A73)</f>
        <v>73</v>
      </c>
      <c r="B23">
        <v>36361738</v>
      </c>
      <c r="C23">
        <v>36361737</v>
      </c>
      <c r="D23">
        <v>18410572</v>
      </c>
      <c r="E23">
        <v>1</v>
      </c>
      <c r="F23">
        <v>1</v>
      </c>
      <c r="G23">
        <v>1</v>
      </c>
      <c r="H23">
        <v>1</v>
      </c>
      <c r="I23" t="s">
        <v>384</v>
      </c>
      <c r="J23" t="s">
        <v>3</v>
      </c>
      <c r="K23" t="s">
        <v>385</v>
      </c>
      <c r="L23">
        <v>1369</v>
      </c>
      <c r="N23">
        <v>1013</v>
      </c>
      <c r="O23" t="s">
        <v>339</v>
      </c>
      <c r="P23" t="s">
        <v>339</v>
      </c>
      <c r="Q23">
        <v>1</v>
      </c>
      <c r="X23">
        <v>63.28</v>
      </c>
      <c r="Y23">
        <v>0</v>
      </c>
      <c r="Z23">
        <v>0</v>
      </c>
      <c r="AA23">
        <v>0</v>
      </c>
      <c r="AB23">
        <v>285.36</v>
      </c>
      <c r="AC23">
        <v>0</v>
      </c>
      <c r="AD23">
        <v>1</v>
      </c>
      <c r="AE23">
        <v>1</v>
      </c>
      <c r="AF23" t="s">
        <v>3</v>
      </c>
      <c r="AG23">
        <v>63.28</v>
      </c>
      <c r="AH23">
        <v>2</v>
      </c>
      <c r="AI23">
        <v>36361738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ROW(Source!A73)</f>
        <v>73</v>
      </c>
      <c r="B24">
        <v>36361739</v>
      </c>
      <c r="C24">
        <v>36361737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15</v>
      </c>
      <c r="J24" t="s">
        <v>3</v>
      </c>
      <c r="K24" t="s">
        <v>355</v>
      </c>
      <c r="L24">
        <v>608254</v>
      </c>
      <c r="N24">
        <v>1013</v>
      </c>
      <c r="O24" t="s">
        <v>356</v>
      </c>
      <c r="P24" t="s">
        <v>356</v>
      </c>
      <c r="Q24">
        <v>1</v>
      </c>
      <c r="X24">
        <v>3.82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</v>
      </c>
      <c r="AG24">
        <v>3.82</v>
      </c>
      <c r="AH24">
        <v>2</v>
      </c>
      <c r="AI24">
        <v>36361739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ROW(Source!A73)</f>
        <v>73</v>
      </c>
      <c r="B25">
        <v>36361740</v>
      </c>
      <c r="C25">
        <v>36361737</v>
      </c>
      <c r="D25">
        <v>29172285</v>
      </c>
      <c r="E25">
        <v>1</v>
      </c>
      <c r="F25">
        <v>1</v>
      </c>
      <c r="G25">
        <v>1</v>
      </c>
      <c r="H25">
        <v>2</v>
      </c>
      <c r="I25" t="s">
        <v>386</v>
      </c>
      <c r="J25" t="s">
        <v>387</v>
      </c>
      <c r="K25" t="s">
        <v>388</v>
      </c>
      <c r="L25">
        <v>1368</v>
      </c>
      <c r="N25">
        <v>1011</v>
      </c>
      <c r="O25" t="s">
        <v>343</v>
      </c>
      <c r="P25" t="s">
        <v>343</v>
      </c>
      <c r="Q25">
        <v>1</v>
      </c>
      <c r="X25">
        <v>0.1</v>
      </c>
      <c r="Y25">
        <v>0</v>
      </c>
      <c r="Z25">
        <v>120.52</v>
      </c>
      <c r="AA25">
        <v>15.42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0.1</v>
      </c>
      <c r="AH25">
        <v>2</v>
      </c>
      <c r="AI25">
        <v>36361740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ROW(Source!A73)</f>
        <v>73</v>
      </c>
      <c r="B26">
        <v>36361741</v>
      </c>
      <c r="C26">
        <v>36361737</v>
      </c>
      <c r="D26">
        <v>29172379</v>
      </c>
      <c r="E26">
        <v>1</v>
      </c>
      <c r="F26">
        <v>1</v>
      </c>
      <c r="G26">
        <v>1</v>
      </c>
      <c r="H26">
        <v>2</v>
      </c>
      <c r="I26" t="s">
        <v>389</v>
      </c>
      <c r="J26" t="s">
        <v>390</v>
      </c>
      <c r="K26" t="s">
        <v>391</v>
      </c>
      <c r="L26">
        <v>1368</v>
      </c>
      <c r="N26">
        <v>1011</v>
      </c>
      <c r="O26" t="s">
        <v>343</v>
      </c>
      <c r="P26" t="s">
        <v>343</v>
      </c>
      <c r="Q26">
        <v>1</v>
      </c>
      <c r="X26">
        <v>0.12</v>
      </c>
      <c r="Y26">
        <v>0</v>
      </c>
      <c r="Z26">
        <v>112</v>
      </c>
      <c r="AA26">
        <v>13.5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0.12</v>
      </c>
      <c r="AH26">
        <v>2</v>
      </c>
      <c r="AI26">
        <v>36361741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ROW(Source!A73)</f>
        <v>73</v>
      </c>
      <c r="B27">
        <v>36361742</v>
      </c>
      <c r="C27">
        <v>36361737</v>
      </c>
      <c r="D27">
        <v>29172408</v>
      </c>
      <c r="E27">
        <v>1</v>
      </c>
      <c r="F27">
        <v>1</v>
      </c>
      <c r="G27">
        <v>1</v>
      </c>
      <c r="H27">
        <v>2</v>
      </c>
      <c r="I27" t="s">
        <v>392</v>
      </c>
      <c r="J27" t="s">
        <v>393</v>
      </c>
      <c r="K27" t="s">
        <v>394</v>
      </c>
      <c r="L27">
        <v>1368</v>
      </c>
      <c r="N27">
        <v>1011</v>
      </c>
      <c r="O27" t="s">
        <v>343</v>
      </c>
      <c r="P27" t="s">
        <v>343</v>
      </c>
      <c r="Q27">
        <v>1</v>
      </c>
      <c r="X27">
        <v>3.6</v>
      </c>
      <c r="Y27">
        <v>0</v>
      </c>
      <c r="Z27">
        <v>120.03</v>
      </c>
      <c r="AA27">
        <v>13.5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3.6</v>
      </c>
      <c r="AH27">
        <v>2</v>
      </c>
      <c r="AI27">
        <v>36361742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ROW(Source!A73)</f>
        <v>73</v>
      </c>
      <c r="B28">
        <v>36361743</v>
      </c>
      <c r="C28">
        <v>36361737</v>
      </c>
      <c r="D28">
        <v>29172659</v>
      </c>
      <c r="E28">
        <v>1</v>
      </c>
      <c r="F28">
        <v>1</v>
      </c>
      <c r="G28">
        <v>1</v>
      </c>
      <c r="H28">
        <v>2</v>
      </c>
      <c r="I28" t="s">
        <v>395</v>
      </c>
      <c r="J28" t="s">
        <v>396</v>
      </c>
      <c r="K28" t="s">
        <v>397</v>
      </c>
      <c r="L28">
        <v>1368</v>
      </c>
      <c r="N28">
        <v>1011</v>
      </c>
      <c r="O28" t="s">
        <v>343</v>
      </c>
      <c r="P28" t="s">
        <v>343</v>
      </c>
      <c r="Q28">
        <v>1</v>
      </c>
      <c r="X28">
        <v>1.46</v>
      </c>
      <c r="Y28">
        <v>0</v>
      </c>
      <c r="Z28">
        <v>1.2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1.46</v>
      </c>
      <c r="AH28">
        <v>2</v>
      </c>
      <c r="AI28">
        <v>36361743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ROW(Source!A73)</f>
        <v>73</v>
      </c>
      <c r="B29">
        <v>36361744</v>
      </c>
      <c r="C29">
        <v>36361737</v>
      </c>
      <c r="D29">
        <v>29172669</v>
      </c>
      <c r="E29">
        <v>1</v>
      </c>
      <c r="F29">
        <v>1</v>
      </c>
      <c r="G29">
        <v>1</v>
      </c>
      <c r="H29">
        <v>2</v>
      </c>
      <c r="I29" t="s">
        <v>398</v>
      </c>
      <c r="J29" t="s">
        <v>399</v>
      </c>
      <c r="K29" t="s">
        <v>400</v>
      </c>
      <c r="L29">
        <v>1368</v>
      </c>
      <c r="N29">
        <v>1011</v>
      </c>
      <c r="O29" t="s">
        <v>343</v>
      </c>
      <c r="P29" t="s">
        <v>343</v>
      </c>
      <c r="Q29">
        <v>1</v>
      </c>
      <c r="X29">
        <v>0.1</v>
      </c>
      <c r="Y29">
        <v>0</v>
      </c>
      <c r="Z29">
        <v>12.31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0.1</v>
      </c>
      <c r="AH29">
        <v>2</v>
      </c>
      <c r="AI29">
        <v>36361744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ROW(Source!A73)</f>
        <v>73</v>
      </c>
      <c r="B30">
        <v>36361745</v>
      </c>
      <c r="C30">
        <v>36361737</v>
      </c>
      <c r="D30">
        <v>29174913</v>
      </c>
      <c r="E30">
        <v>1</v>
      </c>
      <c r="F30">
        <v>1</v>
      </c>
      <c r="G30">
        <v>1</v>
      </c>
      <c r="H30">
        <v>2</v>
      </c>
      <c r="I30" t="s">
        <v>375</v>
      </c>
      <c r="J30" t="s">
        <v>376</v>
      </c>
      <c r="K30" t="s">
        <v>377</v>
      </c>
      <c r="L30">
        <v>1368</v>
      </c>
      <c r="N30">
        <v>1011</v>
      </c>
      <c r="O30" t="s">
        <v>343</v>
      </c>
      <c r="P30" t="s">
        <v>343</v>
      </c>
      <c r="Q30">
        <v>1</v>
      </c>
      <c r="X30">
        <v>0.19</v>
      </c>
      <c r="Y30">
        <v>0</v>
      </c>
      <c r="Z30">
        <v>87.17</v>
      </c>
      <c r="AA30">
        <v>11.6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0.19</v>
      </c>
      <c r="AH30">
        <v>2</v>
      </c>
      <c r="AI30">
        <v>36361745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ROW(Source!A73)</f>
        <v>73</v>
      </c>
      <c r="B31">
        <v>36361746</v>
      </c>
      <c r="C31">
        <v>36361737</v>
      </c>
      <c r="D31">
        <v>29107906</v>
      </c>
      <c r="E31">
        <v>1</v>
      </c>
      <c r="F31">
        <v>1</v>
      </c>
      <c r="G31">
        <v>1</v>
      </c>
      <c r="H31">
        <v>3</v>
      </c>
      <c r="I31" t="s">
        <v>401</v>
      </c>
      <c r="J31" t="s">
        <v>402</v>
      </c>
      <c r="K31" t="s">
        <v>403</v>
      </c>
      <c r="L31">
        <v>1348</v>
      </c>
      <c r="N31">
        <v>1009</v>
      </c>
      <c r="O31" t="s">
        <v>43</v>
      </c>
      <c r="P31" t="s">
        <v>43</v>
      </c>
      <c r="Q31">
        <v>1000</v>
      </c>
      <c r="X31">
        <v>1E-4</v>
      </c>
      <c r="Y31">
        <v>37900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1E-4</v>
      </c>
      <c r="AH31">
        <v>2</v>
      </c>
      <c r="AI31">
        <v>36361746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ROW(Source!A73)</f>
        <v>73</v>
      </c>
      <c r="B32">
        <v>36361747</v>
      </c>
      <c r="C32">
        <v>36361737</v>
      </c>
      <c r="D32">
        <v>29107441</v>
      </c>
      <c r="E32">
        <v>1</v>
      </c>
      <c r="F32">
        <v>1</v>
      </c>
      <c r="G32">
        <v>1</v>
      </c>
      <c r="H32">
        <v>3</v>
      </c>
      <c r="I32" t="s">
        <v>404</v>
      </c>
      <c r="J32" t="s">
        <v>405</v>
      </c>
      <c r="K32" t="s">
        <v>406</v>
      </c>
      <c r="L32">
        <v>1339</v>
      </c>
      <c r="N32">
        <v>1007</v>
      </c>
      <c r="O32" t="s">
        <v>350</v>
      </c>
      <c r="P32" t="s">
        <v>350</v>
      </c>
      <c r="Q32">
        <v>1</v>
      </c>
      <c r="X32">
        <v>1.2</v>
      </c>
      <c r="Y32">
        <v>6.23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1.2</v>
      </c>
      <c r="AH32">
        <v>2</v>
      </c>
      <c r="AI32">
        <v>36361747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ROW(Source!A73)</f>
        <v>73</v>
      </c>
      <c r="B33">
        <v>36361748</v>
      </c>
      <c r="C33">
        <v>36361737</v>
      </c>
      <c r="D33">
        <v>29113598</v>
      </c>
      <c r="E33">
        <v>1</v>
      </c>
      <c r="F33">
        <v>1</v>
      </c>
      <c r="G33">
        <v>1</v>
      </c>
      <c r="H33">
        <v>3</v>
      </c>
      <c r="I33" t="s">
        <v>407</v>
      </c>
      <c r="J33" t="s">
        <v>408</v>
      </c>
      <c r="K33" t="s">
        <v>409</v>
      </c>
      <c r="L33">
        <v>1348</v>
      </c>
      <c r="N33">
        <v>1009</v>
      </c>
      <c r="O33" t="s">
        <v>43</v>
      </c>
      <c r="P33" t="s">
        <v>43</v>
      </c>
      <c r="Q33">
        <v>1000</v>
      </c>
      <c r="X33">
        <v>3.0000000000000001E-5</v>
      </c>
      <c r="Y33">
        <v>4455.2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3.0000000000000001E-5</v>
      </c>
      <c r="AH33">
        <v>2</v>
      </c>
      <c r="AI33">
        <v>36361748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ROW(Source!A73)</f>
        <v>73</v>
      </c>
      <c r="B34">
        <v>36361749</v>
      </c>
      <c r="C34">
        <v>36361737</v>
      </c>
      <c r="D34">
        <v>29113797</v>
      </c>
      <c r="E34">
        <v>1</v>
      </c>
      <c r="F34">
        <v>1</v>
      </c>
      <c r="G34">
        <v>1</v>
      </c>
      <c r="H34">
        <v>3</v>
      </c>
      <c r="I34" t="s">
        <v>410</v>
      </c>
      <c r="J34" t="s">
        <v>411</v>
      </c>
      <c r="K34" t="s">
        <v>412</v>
      </c>
      <c r="L34">
        <v>1348</v>
      </c>
      <c r="N34">
        <v>1009</v>
      </c>
      <c r="O34" t="s">
        <v>43</v>
      </c>
      <c r="P34" t="s">
        <v>43</v>
      </c>
      <c r="Q34">
        <v>1000</v>
      </c>
      <c r="X34">
        <v>1.9400000000000001E-3</v>
      </c>
      <c r="Y34">
        <v>4920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1.9400000000000001E-3</v>
      </c>
      <c r="AH34">
        <v>2</v>
      </c>
      <c r="AI34">
        <v>36361749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ROW(Source!A73)</f>
        <v>73</v>
      </c>
      <c r="B35">
        <v>36361750</v>
      </c>
      <c r="C35">
        <v>36361737</v>
      </c>
      <c r="D35">
        <v>29113979</v>
      </c>
      <c r="E35">
        <v>1</v>
      </c>
      <c r="F35">
        <v>1</v>
      </c>
      <c r="G35">
        <v>1</v>
      </c>
      <c r="H35">
        <v>3</v>
      </c>
      <c r="I35" t="s">
        <v>413</v>
      </c>
      <c r="J35" t="s">
        <v>414</v>
      </c>
      <c r="K35" t="s">
        <v>415</v>
      </c>
      <c r="L35">
        <v>1348</v>
      </c>
      <c r="N35">
        <v>1009</v>
      </c>
      <c r="O35" t="s">
        <v>43</v>
      </c>
      <c r="P35" t="s">
        <v>43</v>
      </c>
      <c r="Q35">
        <v>1000</v>
      </c>
      <c r="X35">
        <v>4.4000000000000002E-4</v>
      </c>
      <c r="Y35">
        <v>9749.99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4.4000000000000002E-4</v>
      </c>
      <c r="AH35">
        <v>2</v>
      </c>
      <c r="AI35">
        <v>36361750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ROW(Source!A73)</f>
        <v>73</v>
      </c>
      <c r="B36">
        <v>36361751</v>
      </c>
      <c r="C36">
        <v>36361737</v>
      </c>
      <c r="D36">
        <v>29114247</v>
      </c>
      <c r="E36">
        <v>1</v>
      </c>
      <c r="F36">
        <v>1</v>
      </c>
      <c r="G36">
        <v>1</v>
      </c>
      <c r="H36">
        <v>3</v>
      </c>
      <c r="I36" t="s">
        <v>416</v>
      </c>
      <c r="J36" t="s">
        <v>417</v>
      </c>
      <c r="K36" t="s">
        <v>418</v>
      </c>
      <c r="L36">
        <v>1348</v>
      </c>
      <c r="N36">
        <v>1009</v>
      </c>
      <c r="O36" t="s">
        <v>43</v>
      </c>
      <c r="P36" t="s">
        <v>43</v>
      </c>
      <c r="Q36">
        <v>1000</v>
      </c>
      <c r="X36">
        <v>2.1000000000000001E-2</v>
      </c>
      <c r="Y36">
        <v>9040.01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2.1000000000000001E-2</v>
      </c>
      <c r="AH36">
        <v>2</v>
      </c>
      <c r="AI36">
        <v>36361751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ROW(Source!A73)</f>
        <v>73</v>
      </c>
      <c r="B37">
        <v>36361752</v>
      </c>
      <c r="C37">
        <v>36361737</v>
      </c>
      <c r="D37">
        <v>29114332</v>
      </c>
      <c r="E37">
        <v>1</v>
      </c>
      <c r="F37">
        <v>1</v>
      </c>
      <c r="G37">
        <v>1</v>
      </c>
      <c r="H37">
        <v>3</v>
      </c>
      <c r="I37" t="s">
        <v>419</v>
      </c>
      <c r="J37" t="s">
        <v>420</v>
      </c>
      <c r="K37" t="s">
        <v>421</v>
      </c>
      <c r="L37">
        <v>1348</v>
      </c>
      <c r="N37">
        <v>1009</v>
      </c>
      <c r="O37" t="s">
        <v>43</v>
      </c>
      <c r="P37" t="s">
        <v>43</v>
      </c>
      <c r="Q37">
        <v>1000</v>
      </c>
      <c r="X37">
        <v>1.0000000000000001E-5</v>
      </c>
      <c r="Y37">
        <v>11978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1.0000000000000001E-5</v>
      </c>
      <c r="AH37">
        <v>2</v>
      </c>
      <c r="AI37">
        <v>36361752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ROW(Source!A73)</f>
        <v>73</v>
      </c>
      <c r="B38">
        <v>36361753</v>
      </c>
      <c r="C38">
        <v>36361737</v>
      </c>
      <c r="D38">
        <v>29107444</v>
      </c>
      <c r="E38">
        <v>1</v>
      </c>
      <c r="F38">
        <v>1</v>
      </c>
      <c r="G38">
        <v>1</v>
      </c>
      <c r="H38">
        <v>3</v>
      </c>
      <c r="I38" t="s">
        <v>422</v>
      </c>
      <c r="J38" t="s">
        <v>423</v>
      </c>
      <c r="K38" t="s">
        <v>424</v>
      </c>
      <c r="L38">
        <v>1346</v>
      </c>
      <c r="N38">
        <v>1009</v>
      </c>
      <c r="O38" t="s">
        <v>425</v>
      </c>
      <c r="P38" t="s">
        <v>425</v>
      </c>
      <c r="Q38">
        <v>1</v>
      </c>
      <c r="X38">
        <v>0.36</v>
      </c>
      <c r="Y38">
        <v>6.09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0.36</v>
      </c>
      <c r="AH38">
        <v>2</v>
      </c>
      <c r="AI38">
        <v>36361753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ROW(Source!A73)</f>
        <v>73</v>
      </c>
      <c r="B39">
        <v>36361754</v>
      </c>
      <c r="C39">
        <v>36361737</v>
      </c>
      <c r="D39">
        <v>29110606</v>
      </c>
      <c r="E39">
        <v>1</v>
      </c>
      <c r="F39">
        <v>1</v>
      </c>
      <c r="G39">
        <v>1</v>
      </c>
      <c r="H39">
        <v>3</v>
      </c>
      <c r="I39" t="s">
        <v>426</v>
      </c>
      <c r="J39" t="s">
        <v>427</v>
      </c>
      <c r="K39" t="s">
        <v>428</v>
      </c>
      <c r="L39">
        <v>1348</v>
      </c>
      <c r="N39">
        <v>1009</v>
      </c>
      <c r="O39" t="s">
        <v>43</v>
      </c>
      <c r="P39" t="s">
        <v>43</v>
      </c>
      <c r="Q39">
        <v>1000</v>
      </c>
      <c r="X39">
        <v>5.9999999999999995E-4</v>
      </c>
      <c r="Y39">
        <v>9420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5.9999999999999995E-4</v>
      </c>
      <c r="AH39">
        <v>2</v>
      </c>
      <c r="AI39">
        <v>36361754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ROW(Source!A73)</f>
        <v>73</v>
      </c>
      <c r="B40">
        <v>36361755</v>
      </c>
      <c r="C40">
        <v>36361737</v>
      </c>
      <c r="D40">
        <v>29115467</v>
      </c>
      <c r="E40">
        <v>1</v>
      </c>
      <c r="F40">
        <v>1</v>
      </c>
      <c r="G40">
        <v>1</v>
      </c>
      <c r="H40">
        <v>3</v>
      </c>
      <c r="I40" t="s">
        <v>429</v>
      </c>
      <c r="J40" t="s">
        <v>430</v>
      </c>
      <c r="K40" t="s">
        <v>431</v>
      </c>
      <c r="L40">
        <v>1339</v>
      </c>
      <c r="N40">
        <v>1007</v>
      </c>
      <c r="O40" t="s">
        <v>350</v>
      </c>
      <c r="P40" t="s">
        <v>350</v>
      </c>
      <c r="Q40">
        <v>1</v>
      </c>
      <c r="X40">
        <v>1.0300000000000001E-3</v>
      </c>
      <c r="Y40">
        <v>1699.99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1.0300000000000001E-3</v>
      </c>
      <c r="AH40">
        <v>2</v>
      </c>
      <c r="AI40">
        <v>36361755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ROW(Source!A73)</f>
        <v>73</v>
      </c>
      <c r="B41">
        <v>36361756</v>
      </c>
      <c r="C41">
        <v>36361737</v>
      </c>
      <c r="D41">
        <v>29122102</v>
      </c>
      <c r="E41">
        <v>1</v>
      </c>
      <c r="F41">
        <v>1</v>
      </c>
      <c r="G41">
        <v>1</v>
      </c>
      <c r="H41">
        <v>3</v>
      </c>
      <c r="I41" t="s">
        <v>432</v>
      </c>
      <c r="J41" t="s">
        <v>433</v>
      </c>
      <c r="K41" t="s">
        <v>434</v>
      </c>
      <c r="L41">
        <v>1348</v>
      </c>
      <c r="N41">
        <v>1009</v>
      </c>
      <c r="O41" t="s">
        <v>43</v>
      </c>
      <c r="P41" t="s">
        <v>43</v>
      </c>
      <c r="Q41">
        <v>1000</v>
      </c>
      <c r="X41">
        <v>3.1E-4</v>
      </c>
      <c r="Y41">
        <v>15620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3.1E-4</v>
      </c>
      <c r="AH41">
        <v>2</v>
      </c>
      <c r="AI41">
        <v>36361756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ROW(Source!A73)</f>
        <v>73</v>
      </c>
      <c r="B42">
        <v>36361757</v>
      </c>
      <c r="C42">
        <v>36361737</v>
      </c>
      <c r="D42">
        <v>29129276</v>
      </c>
      <c r="E42">
        <v>1</v>
      </c>
      <c r="F42">
        <v>1</v>
      </c>
      <c r="G42">
        <v>1</v>
      </c>
      <c r="H42">
        <v>3</v>
      </c>
      <c r="I42" t="s">
        <v>435</v>
      </c>
      <c r="J42" t="s">
        <v>436</v>
      </c>
      <c r="K42" t="s">
        <v>437</v>
      </c>
      <c r="L42">
        <v>1348</v>
      </c>
      <c r="N42">
        <v>1009</v>
      </c>
      <c r="O42" t="s">
        <v>43</v>
      </c>
      <c r="P42" t="s">
        <v>43</v>
      </c>
      <c r="Q42">
        <v>1000</v>
      </c>
      <c r="X42">
        <v>2.0000000000000001E-4</v>
      </c>
      <c r="Y42">
        <v>7712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2.0000000000000001E-4</v>
      </c>
      <c r="AH42">
        <v>2</v>
      </c>
      <c r="AI42">
        <v>36361757</v>
      </c>
      <c r="AJ42">
        <v>43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ROW(Source!A73)</f>
        <v>73</v>
      </c>
      <c r="B43">
        <v>36361758</v>
      </c>
      <c r="C43">
        <v>36361737</v>
      </c>
      <c r="D43">
        <v>29127930</v>
      </c>
      <c r="E43">
        <v>1</v>
      </c>
      <c r="F43">
        <v>1</v>
      </c>
      <c r="G43">
        <v>1</v>
      </c>
      <c r="H43">
        <v>3</v>
      </c>
      <c r="I43" t="s">
        <v>593</v>
      </c>
      <c r="J43" t="s">
        <v>594</v>
      </c>
      <c r="K43" t="s">
        <v>595</v>
      </c>
      <c r="L43">
        <v>1348</v>
      </c>
      <c r="N43">
        <v>1009</v>
      </c>
      <c r="O43" t="s">
        <v>43</v>
      </c>
      <c r="P43" t="s">
        <v>43</v>
      </c>
      <c r="Q43">
        <v>1000</v>
      </c>
      <c r="X43">
        <v>1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 t="s">
        <v>3</v>
      </c>
      <c r="AG43">
        <v>1</v>
      </c>
      <c r="AH43">
        <v>3</v>
      </c>
      <c r="AI43">
        <v>-1</v>
      </c>
      <c r="AJ43" t="s">
        <v>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ROW(Source!A73)</f>
        <v>73</v>
      </c>
      <c r="B44">
        <v>36361759</v>
      </c>
      <c r="C44">
        <v>36361737</v>
      </c>
      <c r="D44">
        <v>29162764</v>
      </c>
      <c r="E44">
        <v>1</v>
      </c>
      <c r="F44">
        <v>1</v>
      </c>
      <c r="G44">
        <v>1</v>
      </c>
      <c r="H44">
        <v>3</v>
      </c>
      <c r="I44" t="s">
        <v>438</v>
      </c>
      <c r="J44" t="s">
        <v>439</v>
      </c>
      <c r="K44" t="s">
        <v>440</v>
      </c>
      <c r="L44">
        <v>1302</v>
      </c>
      <c r="N44">
        <v>1003</v>
      </c>
      <c r="O44" t="s">
        <v>441</v>
      </c>
      <c r="P44" t="s">
        <v>441</v>
      </c>
      <c r="Q44">
        <v>10</v>
      </c>
      <c r="X44">
        <v>1.8700000000000001E-2</v>
      </c>
      <c r="Y44">
        <v>71.489999999999995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1.8700000000000001E-2</v>
      </c>
      <c r="AH44">
        <v>2</v>
      </c>
      <c r="AI44">
        <v>36361759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ROW(Source!A75)</f>
        <v>75</v>
      </c>
      <c r="B45">
        <v>36324459</v>
      </c>
      <c r="C45">
        <v>36324458</v>
      </c>
      <c r="D45">
        <v>18411117</v>
      </c>
      <c r="E45">
        <v>1</v>
      </c>
      <c r="F45">
        <v>1</v>
      </c>
      <c r="G45">
        <v>1</v>
      </c>
      <c r="H45">
        <v>1</v>
      </c>
      <c r="I45" t="s">
        <v>442</v>
      </c>
      <c r="J45" t="s">
        <v>3</v>
      </c>
      <c r="K45" t="s">
        <v>443</v>
      </c>
      <c r="L45">
        <v>1369</v>
      </c>
      <c r="N45">
        <v>1013</v>
      </c>
      <c r="O45" t="s">
        <v>339</v>
      </c>
      <c r="P45" t="s">
        <v>339</v>
      </c>
      <c r="Q45">
        <v>1</v>
      </c>
      <c r="X45">
        <v>23.3</v>
      </c>
      <c r="Y45">
        <v>0</v>
      </c>
      <c r="Z45">
        <v>0</v>
      </c>
      <c r="AA45">
        <v>0</v>
      </c>
      <c r="AB45">
        <v>314.08999999999997</v>
      </c>
      <c r="AC45">
        <v>0</v>
      </c>
      <c r="AD45">
        <v>1</v>
      </c>
      <c r="AE45">
        <v>1</v>
      </c>
      <c r="AF45" t="s">
        <v>3</v>
      </c>
      <c r="AG45">
        <v>23.3</v>
      </c>
      <c r="AH45">
        <v>2</v>
      </c>
      <c r="AI45">
        <v>36324459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ROW(Source!A75)</f>
        <v>75</v>
      </c>
      <c r="B46">
        <v>36324460</v>
      </c>
      <c r="C46">
        <v>36324458</v>
      </c>
      <c r="D46">
        <v>121548</v>
      </c>
      <c r="E46">
        <v>1</v>
      </c>
      <c r="F46">
        <v>1</v>
      </c>
      <c r="G46">
        <v>1</v>
      </c>
      <c r="H46">
        <v>1</v>
      </c>
      <c r="I46" t="s">
        <v>15</v>
      </c>
      <c r="J46" t="s">
        <v>3</v>
      </c>
      <c r="K46" t="s">
        <v>355</v>
      </c>
      <c r="L46">
        <v>608254</v>
      </c>
      <c r="N46">
        <v>1013</v>
      </c>
      <c r="O46" t="s">
        <v>356</v>
      </c>
      <c r="P46" t="s">
        <v>356</v>
      </c>
      <c r="Q46">
        <v>1</v>
      </c>
      <c r="X46">
        <v>22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3</v>
      </c>
      <c r="AG46">
        <v>22</v>
      </c>
      <c r="AH46">
        <v>2</v>
      </c>
      <c r="AI46">
        <v>36324460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ROW(Source!A75)</f>
        <v>75</v>
      </c>
      <c r="B47">
        <v>36324461</v>
      </c>
      <c r="C47">
        <v>36324458</v>
      </c>
      <c r="D47">
        <v>29174501</v>
      </c>
      <c r="E47">
        <v>1</v>
      </c>
      <c r="F47">
        <v>1</v>
      </c>
      <c r="G47">
        <v>1</v>
      </c>
      <c r="H47">
        <v>2</v>
      </c>
      <c r="I47" t="s">
        <v>444</v>
      </c>
      <c r="J47" t="s">
        <v>445</v>
      </c>
      <c r="K47" t="s">
        <v>446</v>
      </c>
      <c r="L47">
        <v>1368</v>
      </c>
      <c r="N47">
        <v>1011</v>
      </c>
      <c r="O47" t="s">
        <v>343</v>
      </c>
      <c r="P47" t="s">
        <v>343</v>
      </c>
      <c r="Q47">
        <v>1</v>
      </c>
      <c r="X47">
        <v>22</v>
      </c>
      <c r="Y47">
        <v>0</v>
      </c>
      <c r="Z47">
        <v>39.409999999999997</v>
      </c>
      <c r="AA47">
        <v>11.6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22</v>
      </c>
      <c r="AH47">
        <v>2</v>
      </c>
      <c r="AI47">
        <v>36324461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ROW(Source!A75)</f>
        <v>75</v>
      </c>
      <c r="B48">
        <v>36324462</v>
      </c>
      <c r="C48">
        <v>36324458</v>
      </c>
      <c r="D48">
        <v>29174913</v>
      </c>
      <c r="E48">
        <v>1</v>
      </c>
      <c r="F48">
        <v>1</v>
      </c>
      <c r="G48">
        <v>1</v>
      </c>
      <c r="H48">
        <v>2</v>
      </c>
      <c r="I48" t="s">
        <v>375</v>
      </c>
      <c r="J48" t="s">
        <v>376</v>
      </c>
      <c r="K48" t="s">
        <v>377</v>
      </c>
      <c r="L48">
        <v>1368</v>
      </c>
      <c r="N48">
        <v>1011</v>
      </c>
      <c r="O48" t="s">
        <v>343</v>
      </c>
      <c r="P48" t="s">
        <v>343</v>
      </c>
      <c r="Q48">
        <v>1</v>
      </c>
      <c r="X48">
        <v>1.8</v>
      </c>
      <c r="Y48">
        <v>0</v>
      </c>
      <c r="Z48">
        <v>87.17</v>
      </c>
      <c r="AA48">
        <v>11.6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1.8</v>
      </c>
      <c r="AH48">
        <v>2</v>
      </c>
      <c r="AI48">
        <v>36324462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ROW(Source!A75)</f>
        <v>75</v>
      </c>
      <c r="B49">
        <v>36324463</v>
      </c>
      <c r="C49">
        <v>36324458</v>
      </c>
      <c r="D49">
        <v>29115030</v>
      </c>
      <c r="E49">
        <v>1</v>
      </c>
      <c r="F49">
        <v>1</v>
      </c>
      <c r="G49">
        <v>1</v>
      </c>
      <c r="H49">
        <v>3</v>
      </c>
      <c r="I49" t="s">
        <v>447</v>
      </c>
      <c r="J49" t="s">
        <v>448</v>
      </c>
      <c r="K49" t="s">
        <v>449</v>
      </c>
      <c r="L49">
        <v>1354</v>
      </c>
      <c r="N49">
        <v>1010</v>
      </c>
      <c r="O49" t="s">
        <v>23</v>
      </c>
      <c r="P49" t="s">
        <v>23</v>
      </c>
      <c r="Q49">
        <v>1</v>
      </c>
      <c r="X49">
        <v>2.52</v>
      </c>
      <c r="Y49">
        <v>452.4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2.52</v>
      </c>
      <c r="AH49">
        <v>2</v>
      </c>
      <c r="AI49">
        <v>36324463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ROW(Source!A75)</f>
        <v>75</v>
      </c>
      <c r="B50">
        <v>36324464</v>
      </c>
      <c r="C50">
        <v>36324458</v>
      </c>
      <c r="D50">
        <v>29150040</v>
      </c>
      <c r="E50">
        <v>1</v>
      </c>
      <c r="F50">
        <v>1</v>
      </c>
      <c r="G50">
        <v>1</v>
      </c>
      <c r="H50">
        <v>3</v>
      </c>
      <c r="I50" t="s">
        <v>347</v>
      </c>
      <c r="J50" t="s">
        <v>348</v>
      </c>
      <c r="K50" t="s">
        <v>349</v>
      </c>
      <c r="L50">
        <v>1339</v>
      </c>
      <c r="N50">
        <v>1007</v>
      </c>
      <c r="O50" t="s">
        <v>350</v>
      </c>
      <c r="P50" t="s">
        <v>350</v>
      </c>
      <c r="Q50">
        <v>1</v>
      </c>
      <c r="X50">
        <v>0.59399999999999997</v>
      </c>
      <c r="Y50">
        <v>2.44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0.59399999999999997</v>
      </c>
      <c r="AH50">
        <v>2</v>
      </c>
      <c r="AI50">
        <v>36324464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ROW(Source!A76)</f>
        <v>76</v>
      </c>
      <c r="B51">
        <v>36324468</v>
      </c>
      <c r="C51">
        <v>36324467</v>
      </c>
      <c r="D51">
        <v>18409850</v>
      </c>
      <c r="E51">
        <v>1</v>
      </c>
      <c r="F51">
        <v>1</v>
      </c>
      <c r="G51">
        <v>1</v>
      </c>
      <c r="H51">
        <v>1</v>
      </c>
      <c r="I51" t="s">
        <v>450</v>
      </c>
      <c r="J51" t="s">
        <v>3</v>
      </c>
      <c r="K51" t="s">
        <v>451</v>
      </c>
      <c r="L51">
        <v>1369</v>
      </c>
      <c r="N51">
        <v>1013</v>
      </c>
      <c r="O51" t="s">
        <v>339</v>
      </c>
      <c r="P51" t="s">
        <v>339</v>
      </c>
      <c r="Q51">
        <v>1</v>
      </c>
      <c r="X51">
        <v>11.9</v>
      </c>
      <c r="Y51">
        <v>0</v>
      </c>
      <c r="Z51">
        <v>0</v>
      </c>
      <c r="AA51">
        <v>0</v>
      </c>
      <c r="AB51">
        <v>296.13</v>
      </c>
      <c r="AC51">
        <v>0</v>
      </c>
      <c r="AD51">
        <v>1</v>
      </c>
      <c r="AE51">
        <v>1</v>
      </c>
      <c r="AF51" t="s">
        <v>144</v>
      </c>
      <c r="AG51">
        <v>13.684999999999999</v>
      </c>
      <c r="AH51">
        <v>2</v>
      </c>
      <c r="AI51">
        <v>36324468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ROW(Source!A76)</f>
        <v>76</v>
      </c>
      <c r="B52">
        <v>36324469</v>
      </c>
      <c r="C52">
        <v>36324467</v>
      </c>
      <c r="D52">
        <v>29174913</v>
      </c>
      <c r="E52">
        <v>1</v>
      </c>
      <c r="F52">
        <v>1</v>
      </c>
      <c r="G52">
        <v>1</v>
      </c>
      <c r="H52">
        <v>2</v>
      </c>
      <c r="I52" t="s">
        <v>375</v>
      </c>
      <c r="J52" t="s">
        <v>376</v>
      </c>
      <c r="K52" t="s">
        <v>377</v>
      </c>
      <c r="L52">
        <v>1368</v>
      </c>
      <c r="N52">
        <v>1011</v>
      </c>
      <c r="O52" t="s">
        <v>343</v>
      </c>
      <c r="P52" t="s">
        <v>343</v>
      </c>
      <c r="Q52">
        <v>1</v>
      </c>
      <c r="X52">
        <v>0.03</v>
      </c>
      <c r="Y52">
        <v>0</v>
      </c>
      <c r="Z52">
        <v>87.17</v>
      </c>
      <c r="AA52">
        <v>11.6</v>
      </c>
      <c r="AB52">
        <v>0</v>
      </c>
      <c r="AC52">
        <v>0</v>
      </c>
      <c r="AD52">
        <v>1</v>
      </c>
      <c r="AE52">
        <v>0</v>
      </c>
      <c r="AF52" t="s">
        <v>143</v>
      </c>
      <c r="AG52">
        <v>3.7499999999999999E-2</v>
      </c>
      <c r="AH52">
        <v>2</v>
      </c>
      <c r="AI52">
        <v>36324469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ROW(Source!A76)</f>
        <v>76</v>
      </c>
      <c r="B53">
        <v>36324470</v>
      </c>
      <c r="C53">
        <v>36324467</v>
      </c>
      <c r="D53">
        <v>29114247</v>
      </c>
      <c r="E53">
        <v>1</v>
      </c>
      <c r="F53">
        <v>1</v>
      </c>
      <c r="G53">
        <v>1</v>
      </c>
      <c r="H53">
        <v>3</v>
      </c>
      <c r="I53" t="s">
        <v>416</v>
      </c>
      <c r="J53" t="s">
        <v>417</v>
      </c>
      <c r="K53" t="s">
        <v>418</v>
      </c>
      <c r="L53">
        <v>1348</v>
      </c>
      <c r="N53">
        <v>1009</v>
      </c>
      <c r="O53" t="s">
        <v>43</v>
      </c>
      <c r="P53" t="s">
        <v>43</v>
      </c>
      <c r="Q53">
        <v>1000</v>
      </c>
      <c r="X53">
        <v>0</v>
      </c>
      <c r="Y53">
        <v>9040.01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0</v>
      </c>
      <c r="AF53" t="s">
        <v>3</v>
      </c>
      <c r="AG53">
        <v>0</v>
      </c>
      <c r="AH53">
        <v>3</v>
      </c>
      <c r="AI53">
        <v>-1</v>
      </c>
      <c r="AJ53" t="s">
        <v>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ROW(Source!A78)</f>
        <v>78</v>
      </c>
      <c r="B54">
        <v>36322082</v>
      </c>
      <c r="C54">
        <v>36322081</v>
      </c>
      <c r="D54">
        <v>18416187</v>
      </c>
      <c r="E54">
        <v>1</v>
      </c>
      <c r="F54">
        <v>1</v>
      </c>
      <c r="G54">
        <v>1</v>
      </c>
      <c r="H54">
        <v>1</v>
      </c>
      <c r="I54" t="s">
        <v>452</v>
      </c>
      <c r="J54" t="s">
        <v>3</v>
      </c>
      <c r="K54" t="s">
        <v>453</v>
      </c>
      <c r="L54">
        <v>1369</v>
      </c>
      <c r="N54">
        <v>1013</v>
      </c>
      <c r="O54" t="s">
        <v>339</v>
      </c>
      <c r="P54" t="s">
        <v>339</v>
      </c>
      <c r="Q54">
        <v>1</v>
      </c>
      <c r="X54">
        <v>5.31</v>
      </c>
      <c r="Y54">
        <v>0</v>
      </c>
      <c r="Z54">
        <v>0</v>
      </c>
      <c r="AA54">
        <v>0</v>
      </c>
      <c r="AB54">
        <v>347.72</v>
      </c>
      <c r="AC54">
        <v>0</v>
      </c>
      <c r="AD54">
        <v>1</v>
      </c>
      <c r="AE54">
        <v>1</v>
      </c>
      <c r="AF54" t="s">
        <v>144</v>
      </c>
      <c r="AG54">
        <v>6.1064999999999987</v>
      </c>
      <c r="AH54">
        <v>2</v>
      </c>
      <c r="AI54">
        <v>36322082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ROW(Source!A78)</f>
        <v>78</v>
      </c>
      <c r="B55">
        <v>36322083</v>
      </c>
      <c r="C55">
        <v>36322081</v>
      </c>
      <c r="D55">
        <v>121548</v>
      </c>
      <c r="E55">
        <v>1</v>
      </c>
      <c r="F55">
        <v>1</v>
      </c>
      <c r="G55">
        <v>1</v>
      </c>
      <c r="H55">
        <v>1</v>
      </c>
      <c r="I55" t="s">
        <v>15</v>
      </c>
      <c r="J55" t="s">
        <v>3</v>
      </c>
      <c r="K55" t="s">
        <v>355</v>
      </c>
      <c r="L55">
        <v>608254</v>
      </c>
      <c r="N55">
        <v>1013</v>
      </c>
      <c r="O55" t="s">
        <v>356</v>
      </c>
      <c r="P55" t="s">
        <v>356</v>
      </c>
      <c r="Q55">
        <v>1</v>
      </c>
      <c r="X55">
        <v>0.01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2</v>
      </c>
      <c r="AF55" t="s">
        <v>143</v>
      </c>
      <c r="AG55">
        <v>1.2500000000000001E-2</v>
      </c>
      <c r="AH55">
        <v>2</v>
      </c>
      <c r="AI55">
        <v>36322083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ROW(Source!A78)</f>
        <v>78</v>
      </c>
      <c r="B56">
        <v>36322084</v>
      </c>
      <c r="C56">
        <v>36322081</v>
      </c>
      <c r="D56">
        <v>29172479</v>
      </c>
      <c r="E56">
        <v>1</v>
      </c>
      <c r="F56">
        <v>1</v>
      </c>
      <c r="G56">
        <v>1</v>
      </c>
      <c r="H56">
        <v>2</v>
      </c>
      <c r="I56" t="s">
        <v>454</v>
      </c>
      <c r="J56" t="s">
        <v>455</v>
      </c>
      <c r="K56" t="s">
        <v>456</v>
      </c>
      <c r="L56">
        <v>1368</v>
      </c>
      <c r="N56">
        <v>1011</v>
      </c>
      <c r="O56" t="s">
        <v>343</v>
      </c>
      <c r="P56" t="s">
        <v>343</v>
      </c>
      <c r="Q56">
        <v>1</v>
      </c>
      <c r="X56">
        <v>0.01</v>
      </c>
      <c r="Y56">
        <v>0</v>
      </c>
      <c r="Z56">
        <v>99.89</v>
      </c>
      <c r="AA56">
        <v>10.06</v>
      </c>
      <c r="AB56">
        <v>0</v>
      </c>
      <c r="AC56">
        <v>0</v>
      </c>
      <c r="AD56">
        <v>1</v>
      </c>
      <c r="AE56">
        <v>0</v>
      </c>
      <c r="AF56" t="s">
        <v>143</v>
      </c>
      <c r="AG56">
        <v>1.2500000000000001E-2</v>
      </c>
      <c r="AH56">
        <v>2</v>
      </c>
      <c r="AI56">
        <v>36322084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ROW(Source!A78)</f>
        <v>78</v>
      </c>
      <c r="B57">
        <v>36322085</v>
      </c>
      <c r="C57">
        <v>36322081</v>
      </c>
      <c r="D57">
        <v>29172513</v>
      </c>
      <c r="E57">
        <v>1</v>
      </c>
      <c r="F57">
        <v>1</v>
      </c>
      <c r="G57">
        <v>1</v>
      </c>
      <c r="H57">
        <v>2</v>
      </c>
      <c r="I57" t="s">
        <v>457</v>
      </c>
      <c r="J57" t="s">
        <v>458</v>
      </c>
      <c r="K57" t="s">
        <v>459</v>
      </c>
      <c r="L57">
        <v>1368</v>
      </c>
      <c r="N57">
        <v>1011</v>
      </c>
      <c r="O57" t="s">
        <v>343</v>
      </c>
      <c r="P57" t="s">
        <v>343</v>
      </c>
      <c r="Q57">
        <v>1</v>
      </c>
      <c r="X57">
        <v>0.01</v>
      </c>
      <c r="Y57">
        <v>0</v>
      </c>
      <c r="Z57">
        <v>1.7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143</v>
      </c>
      <c r="AG57">
        <v>1.2500000000000001E-2</v>
      </c>
      <c r="AH57">
        <v>2</v>
      </c>
      <c r="AI57">
        <v>36322085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ROW(Source!A78)</f>
        <v>78</v>
      </c>
      <c r="B58">
        <v>36322086</v>
      </c>
      <c r="C58">
        <v>36322081</v>
      </c>
      <c r="D58">
        <v>29174653</v>
      </c>
      <c r="E58">
        <v>1</v>
      </c>
      <c r="F58">
        <v>1</v>
      </c>
      <c r="G58">
        <v>1</v>
      </c>
      <c r="H58">
        <v>2</v>
      </c>
      <c r="I58" t="s">
        <v>460</v>
      </c>
      <c r="J58" t="s">
        <v>461</v>
      </c>
      <c r="K58" t="s">
        <v>462</v>
      </c>
      <c r="L58">
        <v>1368</v>
      </c>
      <c r="N58">
        <v>1011</v>
      </c>
      <c r="O58" t="s">
        <v>343</v>
      </c>
      <c r="P58" t="s">
        <v>343</v>
      </c>
      <c r="Q58">
        <v>1</v>
      </c>
      <c r="X58">
        <v>1.1200000000000001</v>
      </c>
      <c r="Y58">
        <v>0</v>
      </c>
      <c r="Z58">
        <v>6.82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143</v>
      </c>
      <c r="AG58">
        <v>1.4000000000000001</v>
      </c>
      <c r="AH58">
        <v>2</v>
      </c>
      <c r="AI58">
        <v>36322086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ROW(Source!A78)</f>
        <v>78</v>
      </c>
      <c r="B59">
        <v>36322087</v>
      </c>
      <c r="C59">
        <v>36322081</v>
      </c>
      <c r="D59">
        <v>29174913</v>
      </c>
      <c r="E59">
        <v>1</v>
      </c>
      <c r="F59">
        <v>1</v>
      </c>
      <c r="G59">
        <v>1</v>
      </c>
      <c r="H59">
        <v>2</v>
      </c>
      <c r="I59" t="s">
        <v>375</v>
      </c>
      <c r="J59" t="s">
        <v>376</v>
      </c>
      <c r="K59" t="s">
        <v>377</v>
      </c>
      <c r="L59">
        <v>1368</v>
      </c>
      <c r="N59">
        <v>1011</v>
      </c>
      <c r="O59" t="s">
        <v>343</v>
      </c>
      <c r="P59" t="s">
        <v>343</v>
      </c>
      <c r="Q59">
        <v>1</v>
      </c>
      <c r="X59">
        <v>0.01</v>
      </c>
      <c r="Y59">
        <v>0</v>
      </c>
      <c r="Z59">
        <v>87.17</v>
      </c>
      <c r="AA59">
        <v>11.6</v>
      </c>
      <c r="AB59">
        <v>0</v>
      </c>
      <c r="AC59">
        <v>0</v>
      </c>
      <c r="AD59">
        <v>1</v>
      </c>
      <c r="AE59">
        <v>0</v>
      </c>
      <c r="AF59" t="s">
        <v>143</v>
      </c>
      <c r="AG59">
        <v>1.2500000000000001E-2</v>
      </c>
      <c r="AH59">
        <v>2</v>
      </c>
      <c r="AI59">
        <v>36322087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ROW(Source!A78)</f>
        <v>78</v>
      </c>
      <c r="B60">
        <v>36322088</v>
      </c>
      <c r="C60">
        <v>36322081</v>
      </c>
      <c r="D60">
        <v>29122102</v>
      </c>
      <c r="E60">
        <v>1</v>
      </c>
      <c r="F60">
        <v>1</v>
      </c>
      <c r="G60">
        <v>1</v>
      </c>
      <c r="H60">
        <v>3</v>
      </c>
      <c r="I60" t="s">
        <v>432</v>
      </c>
      <c r="J60" t="s">
        <v>433</v>
      </c>
      <c r="K60" t="s">
        <v>434</v>
      </c>
      <c r="L60">
        <v>1348</v>
      </c>
      <c r="N60">
        <v>1009</v>
      </c>
      <c r="O60" t="s">
        <v>43</v>
      </c>
      <c r="P60" t="s">
        <v>43</v>
      </c>
      <c r="Q60">
        <v>1000</v>
      </c>
      <c r="X60">
        <v>1.2E-2</v>
      </c>
      <c r="Y60">
        <v>15620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1.2E-2</v>
      </c>
      <c r="AH60">
        <v>2</v>
      </c>
      <c r="AI60">
        <v>36322088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ROW(Source!A78)</f>
        <v>78</v>
      </c>
      <c r="B61">
        <v>36322089</v>
      </c>
      <c r="C61">
        <v>36322081</v>
      </c>
      <c r="D61">
        <v>29122499</v>
      </c>
      <c r="E61">
        <v>1</v>
      </c>
      <c r="F61">
        <v>1</v>
      </c>
      <c r="G61">
        <v>1</v>
      </c>
      <c r="H61">
        <v>3</v>
      </c>
      <c r="I61" t="s">
        <v>463</v>
      </c>
      <c r="J61" t="s">
        <v>464</v>
      </c>
      <c r="K61" t="s">
        <v>465</v>
      </c>
      <c r="L61">
        <v>1348</v>
      </c>
      <c r="N61">
        <v>1009</v>
      </c>
      <c r="O61" t="s">
        <v>43</v>
      </c>
      <c r="P61" t="s">
        <v>43</v>
      </c>
      <c r="Q61">
        <v>1000</v>
      </c>
      <c r="X61">
        <v>2E-3</v>
      </c>
      <c r="Y61">
        <v>7640.01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2E-3</v>
      </c>
      <c r="AH61">
        <v>2</v>
      </c>
      <c r="AI61">
        <v>36322089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ROW(Source!A79)</f>
        <v>79</v>
      </c>
      <c r="B62">
        <v>36322091</v>
      </c>
      <c r="C62">
        <v>36322090</v>
      </c>
      <c r="D62">
        <v>18409850</v>
      </c>
      <c r="E62">
        <v>1</v>
      </c>
      <c r="F62">
        <v>1</v>
      </c>
      <c r="G62">
        <v>1</v>
      </c>
      <c r="H62">
        <v>1</v>
      </c>
      <c r="I62" t="s">
        <v>450</v>
      </c>
      <c r="J62" t="s">
        <v>3</v>
      </c>
      <c r="K62" t="s">
        <v>451</v>
      </c>
      <c r="L62">
        <v>1369</v>
      </c>
      <c r="N62">
        <v>1013</v>
      </c>
      <c r="O62" t="s">
        <v>339</v>
      </c>
      <c r="P62" t="s">
        <v>339</v>
      </c>
      <c r="Q62">
        <v>1</v>
      </c>
      <c r="X62">
        <v>3.83</v>
      </c>
      <c r="Y62">
        <v>0</v>
      </c>
      <c r="Z62">
        <v>0</v>
      </c>
      <c r="AA62">
        <v>0</v>
      </c>
      <c r="AB62">
        <v>296.13</v>
      </c>
      <c r="AC62">
        <v>0</v>
      </c>
      <c r="AD62">
        <v>1</v>
      </c>
      <c r="AE62">
        <v>1</v>
      </c>
      <c r="AF62" t="s">
        <v>144</v>
      </c>
      <c r="AG62">
        <v>4.4044999999999996</v>
      </c>
      <c r="AH62">
        <v>2</v>
      </c>
      <c r="AI62">
        <v>36322091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ROW(Source!A79)</f>
        <v>79</v>
      </c>
      <c r="B63">
        <v>36322092</v>
      </c>
      <c r="C63">
        <v>36322090</v>
      </c>
      <c r="D63">
        <v>121548</v>
      </c>
      <c r="E63">
        <v>1</v>
      </c>
      <c r="F63">
        <v>1</v>
      </c>
      <c r="G63">
        <v>1</v>
      </c>
      <c r="H63">
        <v>1</v>
      </c>
      <c r="I63" t="s">
        <v>15</v>
      </c>
      <c r="J63" t="s">
        <v>3</v>
      </c>
      <c r="K63" t="s">
        <v>355</v>
      </c>
      <c r="L63">
        <v>608254</v>
      </c>
      <c r="N63">
        <v>1013</v>
      </c>
      <c r="O63" t="s">
        <v>356</v>
      </c>
      <c r="P63" t="s">
        <v>356</v>
      </c>
      <c r="Q63">
        <v>1</v>
      </c>
      <c r="X63">
        <v>0.01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2</v>
      </c>
      <c r="AF63" t="s">
        <v>143</v>
      </c>
      <c r="AG63">
        <v>1.2500000000000001E-2</v>
      </c>
      <c r="AH63">
        <v>2</v>
      </c>
      <c r="AI63">
        <v>36322092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ROW(Source!A79)</f>
        <v>79</v>
      </c>
      <c r="B64">
        <v>36322093</v>
      </c>
      <c r="C64">
        <v>36322090</v>
      </c>
      <c r="D64">
        <v>29172479</v>
      </c>
      <c r="E64">
        <v>1</v>
      </c>
      <c r="F64">
        <v>1</v>
      </c>
      <c r="G64">
        <v>1</v>
      </c>
      <c r="H64">
        <v>2</v>
      </c>
      <c r="I64" t="s">
        <v>454</v>
      </c>
      <c r="J64" t="s">
        <v>455</v>
      </c>
      <c r="K64" t="s">
        <v>456</v>
      </c>
      <c r="L64">
        <v>1368</v>
      </c>
      <c r="N64">
        <v>1011</v>
      </c>
      <c r="O64" t="s">
        <v>343</v>
      </c>
      <c r="P64" t="s">
        <v>343</v>
      </c>
      <c r="Q64">
        <v>1</v>
      </c>
      <c r="X64">
        <v>0.01</v>
      </c>
      <c r="Y64">
        <v>0</v>
      </c>
      <c r="Z64">
        <v>99.89</v>
      </c>
      <c r="AA64">
        <v>10.06</v>
      </c>
      <c r="AB64">
        <v>0</v>
      </c>
      <c r="AC64">
        <v>0</v>
      </c>
      <c r="AD64">
        <v>1</v>
      </c>
      <c r="AE64">
        <v>0</v>
      </c>
      <c r="AF64" t="s">
        <v>143</v>
      </c>
      <c r="AG64">
        <v>1.2500000000000001E-2</v>
      </c>
      <c r="AH64">
        <v>2</v>
      </c>
      <c r="AI64">
        <v>36322093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ROW(Source!A79)</f>
        <v>79</v>
      </c>
      <c r="B65">
        <v>36322094</v>
      </c>
      <c r="C65">
        <v>36322090</v>
      </c>
      <c r="D65">
        <v>29172513</v>
      </c>
      <c r="E65">
        <v>1</v>
      </c>
      <c r="F65">
        <v>1</v>
      </c>
      <c r="G65">
        <v>1</v>
      </c>
      <c r="H65">
        <v>2</v>
      </c>
      <c r="I65" t="s">
        <v>457</v>
      </c>
      <c r="J65" t="s">
        <v>458</v>
      </c>
      <c r="K65" t="s">
        <v>459</v>
      </c>
      <c r="L65">
        <v>1368</v>
      </c>
      <c r="N65">
        <v>1011</v>
      </c>
      <c r="O65" t="s">
        <v>343</v>
      </c>
      <c r="P65" t="s">
        <v>343</v>
      </c>
      <c r="Q65">
        <v>1</v>
      </c>
      <c r="X65">
        <v>0.01</v>
      </c>
      <c r="Y65">
        <v>0</v>
      </c>
      <c r="Z65">
        <v>1.7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143</v>
      </c>
      <c r="AG65">
        <v>1.2500000000000001E-2</v>
      </c>
      <c r="AH65">
        <v>2</v>
      </c>
      <c r="AI65">
        <v>36322094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ROW(Source!A79)</f>
        <v>79</v>
      </c>
      <c r="B66">
        <v>36322095</v>
      </c>
      <c r="C66">
        <v>36322090</v>
      </c>
      <c r="D66">
        <v>29174653</v>
      </c>
      <c r="E66">
        <v>1</v>
      </c>
      <c r="F66">
        <v>1</v>
      </c>
      <c r="G66">
        <v>1</v>
      </c>
      <c r="H66">
        <v>2</v>
      </c>
      <c r="I66" t="s">
        <v>460</v>
      </c>
      <c r="J66" t="s">
        <v>461</v>
      </c>
      <c r="K66" t="s">
        <v>462</v>
      </c>
      <c r="L66">
        <v>1368</v>
      </c>
      <c r="N66">
        <v>1011</v>
      </c>
      <c r="O66" t="s">
        <v>343</v>
      </c>
      <c r="P66" t="s">
        <v>343</v>
      </c>
      <c r="Q66">
        <v>1</v>
      </c>
      <c r="X66">
        <v>0.65</v>
      </c>
      <c r="Y66">
        <v>0</v>
      </c>
      <c r="Z66">
        <v>6.82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143</v>
      </c>
      <c r="AG66">
        <v>0.8125</v>
      </c>
      <c r="AH66">
        <v>2</v>
      </c>
      <c r="AI66">
        <v>36322095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ROW(Source!A79)</f>
        <v>79</v>
      </c>
      <c r="B67">
        <v>36322096</v>
      </c>
      <c r="C67">
        <v>36322090</v>
      </c>
      <c r="D67">
        <v>29174913</v>
      </c>
      <c r="E67">
        <v>1</v>
      </c>
      <c r="F67">
        <v>1</v>
      </c>
      <c r="G67">
        <v>1</v>
      </c>
      <c r="H67">
        <v>2</v>
      </c>
      <c r="I67" t="s">
        <v>375</v>
      </c>
      <c r="J67" t="s">
        <v>376</v>
      </c>
      <c r="K67" t="s">
        <v>377</v>
      </c>
      <c r="L67">
        <v>1368</v>
      </c>
      <c r="N67">
        <v>1011</v>
      </c>
      <c r="O67" t="s">
        <v>343</v>
      </c>
      <c r="P67" t="s">
        <v>343</v>
      </c>
      <c r="Q67">
        <v>1</v>
      </c>
      <c r="X67">
        <v>0.01</v>
      </c>
      <c r="Y67">
        <v>0</v>
      </c>
      <c r="Z67">
        <v>87.17</v>
      </c>
      <c r="AA67">
        <v>11.6</v>
      </c>
      <c r="AB67">
        <v>0</v>
      </c>
      <c r="AC67">
        <v>0</v>
      </c>
      <c r="AD67">
        <v>1</v>
      </c>
      <c r="AE67">
        <v>0</v>
      </c>
      <c r="AF67" t="s">
        <v>143</v>
      </c>
      <c r="AG67">
        <v>1.2500000000000001E-2</v>
      </c>
      <c r="AH67">
        <v>2</v>
      </c>
      <c r="AI67">
        <v>36322096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ROW(Source!A79)</f>
        <v>79</v>
      </c>
      <c r="B68">
        <v>36322097</v>
      </c>
      <c r="C68">
        <v>36322090</v>
      </c>
      <c r="D68">
        <v>29107700</v>
      </c>
      <c r="E68">
        <v>1</v>
      </c>
      <c r="F68">
        <v>1</v>
      </c>
      <c r="G68">
        <v>1</v>
      </c>
      <c r="H68">
        <v>3</v>
      </c>
      <c r="I68" t="s">
        <v>466</v>
      </c>
      <c r="J68" t="s">
        <v>467</v>
      </c>
      <c r="K68" t="s">
        <v>468</v>
      </c>
      <c r="L68">
        <v>1348</v>
      </c>
      <c r="N68">
        <v>1009</v>
      </c>
      <c r="O68" t="s">
        <v>43</v>
      </c>
      <c r="P68" t="s">
        <v>43</v>
      </c>
      <c r="Q68">
        <v>1000</v>
      </c>
      <c r="X68">
        <v>1.4E-3</v>
      </c>
      <c r="Y68">
        <v>6667.01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1.4E-3</v>
      </c>
      <c r="AH68">
        <v>2</v>
      </c>
      <c r="AI68">
        <v>36322097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ROW(Source!A79)</f>
        <v>79</v>
      </c>
      <c r="B69">
        <v>36322098</v>
      </c>
      <c r="C69">
        <v>36322090</v>
      </c>
      <c r="D69">
        <v>29122980</v>
      </c>
      <c r="E69">
        <v>1</v>
      </c>
      <c r="F69">
        <v>1</v>
      </c>
      <c r="G69">
        <v>1</v>
      </c>
      <c r="H69">
        <v>3</v>
      </c>
      <c r="I69" t="s">
        <v>469</v>
      </c>
      <c r="J69" t="s">
        <v>470</v>
      </c>
      <c r="K69" t="s">
        <v>471</v>
      </c>
      <c r="L69">
        <v>1348</v>
      </c>
      <c r="N69">
        <v>1009</v>
      </c>
      <c r="O69" t="s">
        <v>43</v>
      </c>
      <c r="P69" t="s">
        <v>43</v>
      </c>
      <c r="Q69">
        <v>1000</v>
      </c>
      <c r="X69">
        <v>1.9E-2</v>
      </c>
      <c r="Y69">
        <v>14985.76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1.9E-2</v>
      </c>
      <c r="AH69">
        <v>2</v>
      </c>
      <c r="AI69">
        <v>36322098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ROW(Source!A80)</f>
        <v>80</v>
      </c>
      <c r="B70">
        <v>35683815</v>
      </c>
      <c r="C70">
        <v>35683790</v>
      </c>
      <c r="D70">
        <v>18410572</v>
      </c>
      <c r="E70">
        <v>1</v>
      </c>
      <c r="F70">
        <v>1</v>
      </c>
      <c r="G70">
        <v>1</v>
      </c>
      <c r="H70">
        <v>1</v>
      </c>
      <c r="I70" t="s">
        <v>384</v>
      </c>
      <c r="J70" t="s">
        <v>3</v>
      </c>
      <c r="K70" t="s">
        <v>385</v>
      </c>
      <c r="L70">
        <v>1369</v>
      </c>
      <c r="N70">
        <v>1013</v>
      </c>
      <c r="O70" t="s">
        <v>339</v>
      </c>
      <c r="P70" t="s">
        <v>339</v>
      </c>
      <c r="Q70">
        <v>1</v>
      </c>
      <c r="X70">
        <v>35.5</v>
      </c>
      <c r="Y70">
        <v>0</v>
      </c>
      <c r="Z70">
        <v>0</v>
      </c>
      <c r="AA70">
        <v>0</v>
      </c>
      <c r="AB70">
        <v>261.76</v>
      </c>
      <c r="AC70">
        <v>0</v>
      </c>
      <c r="AD70">
        <v>1</v>
      </c>
      <c r="AE70">
        <v>1</v>
      </c>
      <c r="AF70" t="s">
        <v>144</v>
      </c>
      <c r="AG70">
        <v>40.824999999999996</v>
      </c>
      <c r="AH70">
        <v>2</v>
      </c>
      <c r="AI70">
        <v>35683807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ROW(Source!A80)</f>
        <v>80</v>
      </c>
      <c r="B71">
        <v>35683816</v>
      </c>
      <c r="C71">
        <v>35683790</v>
      </c>
      <c r="D71">
        <v>121548</v>
      </c>
      <c r="E71">
        <v>1</v>
      </c>
      <c r="F71">
        <v>1</v>
      </c>
      <c r="G71">
        <v>1</v>
      </c>
      <c r="H71">
        <v>1</v>
      </c>
      <c r="I71" t="s">
        <v>15</v>
      </c>
      <c r="J71" t="s">
        <v>3</v>
      </c>
      <c r="K71" t="s">
        <v>355</v>
      </c>
      <c r="L71">
        <v>608254</v>
      </c>
      <c r="N71">
        <v>1013</v>
      </c>
      <c r="O71" t="s">
        <v>356</v>
      </c>
      <c r="P71" t="s">
        <v>356</v>
      </c>
      <c r="Q71">
        <v>1</v>
      </c>
      <c r="X71">
        <v>2.61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2</v>
      </c>
      <c r="AF71" t="s">
        <v>143</v>
      </c>
      <c r="AG71">
        <v>3.2624999999999997</v>
      </c>
      <c r="AH71">
        <v>2</v>
      </c>
      <c r="AI71">
        <v>35683808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ROW(Source!A80)</f>
        <v>80</v>
      </c>
      <c r="B72">
        <v>35683817</v>
      </c>
      <c r="C72">
        <v>35683790</v>
      </c>
      <c r="D72">
        <v>29172285</v>
      </c>
      <c r="E72">
        <v>1</v>
      </c>
      <c r="F72">
        <v>1</v>
      </c>
      <c r="G72">
        <v>1</v>
      </c>
      <c r="H72">
        <v>2</v>
      </c>
      <c r="I72" t="s">
        <v>386</v>
      </c>
      <c r="J72" t="s">
        <v>472</v>
      </c>
      <c r="K72" t="s">
        <v>388</v>
      </c>
      <c r="L72">
        <v>1368</v>
      </c>
      <c r="N72">
        <v>1011</v>
      </c>
      <c r="O72" t="s">
        <v>343</v>
      </c>
      <c r="P72" t="s">
        <v>343</v>
      </c>
      <c r="Q72">
        <v>1</v>
      </c>
      <c r="X72">
        <v>0.04</v>
      </c>
      <c r="Y72">
        <v>0</v>
      </c>
      <c r="Z72">
        <v>120.52</v>
      </c>
      <c r="AA72">
        <v>15.42</v>
      </c>
      <c r="AB72">
        <v>0</v>
      </c>
      <c r="AC72">
        <v>0</v>
      </c>
      <c r="AD72">
        <v>1</v>
      </c>
      <c r="AE72">
        <v>0</v>
      </c>
      <c r="AF72" t="s">
        <v>143</v>
      </c>
      <c r="AG72">
        <v>0.05</v>
      </c>
      <c r="AH72">
        <v>2</v>
      </c>
      <c r="AI72">
        <v>35683809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ROW(Source!A80)</f>
        <v>80</v>
      </c>
      <c r="B73">
        <v>35683818</v>
      </c>
      <c r="C73">
        <v>35683790</v>
      </c>
      <c r="D73">
        <v>29172379</v>
      </c>
      <c r="E73">
        <v>1</v>
      </c>
      <c r="F73">
        <v>1</v>
      </c>
      <c r="G73">
        <v>1</v>
      </c>
      <c r="H73">
        <v>2</v>
      </c>
      <c r="I73" t="s">
        <v>389</v>
      </c>
      <c r="J73" t="s">
        <v>473</v>
      </c>
      <c r="K73" t="s">
        <v>391</v>
      </c>
      <c r="L73">
        <v>1368</v>
      </c>
      <c r="N73">
        <v>1011</v>
      </c>
      <c r="O73" t="s">
        <v>343</v>
      </c>
      <c r="P73" t="s">
        <v>343</v>
      </c>
      <c r="Q73">
        <v>1</v>
      </c>
      <c r="X73">
        <v>0.21</v>
      </c>
      <c r="Y73">
        <v>0</v>
      </c>
      <c r="Z73">
        <v>112</v>
      </c>
      <c r="AA73">
        <v>13.5</v>
      </c>
      <c r="AB73">
        <v>0</v>
      </c>
      <c r="AC73">
        <v>0</v>
      </c>
      <c r="AD73">
        <v>1</v>
      </c>
      <c r="AE73">
        <v>0</v>
      </c>
      <c r="AF73" t="s">
        <v>143</v>
      </c>
      <c r="AG73">
        <v>0.26250000000000001</v>
      </c>
      <c r="AH73">
        <v>2</v>
      </c>
      <c r="AI73">
        <v>35683810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ROW(Source!A80)</f>
        <v>80</v>
      </c>
      <c r="B74">
        <v>35683819</v>
      </c>
      <c r="C74">
        <v>35683790</v>
      </c>
      <c r="D74">
        <v>29172409</v>
      </c>
      <c r="E74">
        <v>1</v>
      </c>
      <c r="F74">
        <v>1</v>
      </c>
      <c r="G74">
        <v>1</v>
      </c>
      <c r="H74">
        <v>2</v>
      </c>
      <c r="I74" t="s">
        <v>474</v>
      </c>
      <c r="J74" t="s">
        <v>475</v>
      </c>
      <c r="K74" t="s">
        <v>476</v>
      </c>
      <c r="L74">
        <v>1368</v>
      </c>
      <c r="N74">
        <v>1011</v>
      </c>
      <c r="O74" t="s">
        <v>343</v>
      </c>
      <c r="P74" t="s">
        <v>343</v>
      </c>
      <c r="Q74">
        <v>1</v>
      </c>
      <c r="X74">
        <v>2.36</v>
      </c>
      <c r="Y74">
        <v>0</v>
      </c>
      <c r="Z74">
        <v>175.55</v>
      </c>
      <c r="AA74">
        <v>14.4</v>
      </c>
      <c r="AB74">
        <v>0</v>
      </c>
      <c r="AC74">
        <v>0</v>
      </c>
      <c r="AD74">
        <v>1</v>
      </c>
      <c r="AE74">
        <v>0</v>
      </c>
      <c r="AF74" t="s">
        <v>143</v>
      </c>
      <c r="AG74">
        <v>2.9499999999999997</v>
      </c>
      <c r="AH74">
        <v>2</v>
      </c>
      <c r="AI74">
        <v>35683811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ROW(Source!A80)</f>
        <v>80</v>
      </c>
      <c r="B75">
        <v>35683820</v>
      </c>
      <c r="C75">
        <v>35683790</v>
      </c>
      <c r="D75">
        <v>29172498</v>
      </c>
      <c r="E75">
        <v>1</v>
      </c>
      <c r="F75">
        <v>1</v>
      </c>
      <c r="G75">
        <v>1</v>
      </c>
      <c r="H75">
        <v>2</v>
      </c>
      <c r="I75" t="s">
        <v>477</v>
      </c>
      <c r="J75" t="s">
        <v>478</v>
      </c>
      <c r="K75" t="s">
        <v>479</v>
      </c>
      <c r="L75">
        <v>1368</v>
      </c>
      <c r="N75">
        <v>1011</v>
      </c>
      <c r="O75" t="s">
        <v>343</v>
      </c>
      <c r="P75" t="s">
        <v>343</v>
      </c>
      <c r="Q75">
        <v>1</v>
      </c>
      <c r="X75">
        <v>0.99</v>
      </c>
      <c r="Y75">
        <v>0</v>
      </c>
      <c r="Z75">
        <v>2.37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143</v>
      </c>
      <c r="AG75">
        <v>1.2375</v>
      </c>
      <c r="AH75">
        <v>2</v>
      </c>
      <c r="AI75">
        <v>35683812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ROW(Source!A80)</f>
        <v>80</v>
      </c>
      <c r="B76">
        <v>35683821</v>
      </c>
      <c r="C76">
        <v>35683790</v>
      </c>
      <c r="D76">
        <v>29172659</v>
      </c>
      <c r="E76">
        <v>1</v>
      </c>
      <c r="F76">
        <v>1</v>
      </c>
      <c r="G76">
        <v>1</v>
      </c>
      <c r="H76">
        <v>2</v>
      </c>
      <c r="I76" t="s">
        <v>395</v>
      </c>
      <c r="J76" t="s">
        <v>480</v>
      </c>
      <c r="K76" t="s">
        <v>397</v>
      </c>
      <c r="L76">
        <v>1368</v>
      </c>
      <c r="N76">
        <v>1011</v>
      </c>
      <c r="O76" t="s">
        <v>343</v>
      </c>
      <c r="P76" t="s">
        <v>343</v>
      </c>
      <c r="Q76">
        <v>1</v>
      </c>
      <c r="X76">
        <v>1.68</v>
      </c>
      <c r="Y76">
        <v>0</v>
      </c>
      <c r="Z76">
        <v>1.2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143</v>
      </c>
      <c r="AG76">
        <v>2.1</v>
      </c>
      <c r="AH76">
        <v>2</v>
      </c>
      <c r="AI76">
        <v>35683813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ROW(Source!A80)</f>
        <v>80</v>
      </c>
      <c r="B77">
        <v>35683822</v>
      </c>
      <c r="C77">
        <v>35683790</v>
      </c>
      <c r="D77">
        <v>29172669</v>
      </c>
      <c r="E77">
        <v>1</v>
      </c>
      <c r="F77">
        <v>1</v>
      </c>
      <c r="G77">
        <v>1</v>
      </c>
      <c r="H77">
        <v>2</v>
      </c>
      <c r="I77" t="s">
        <v>398</v>
      </c>
      <c r="J77" t="s">
        <v>481</v>
      </c>
      <c r="K77" t="s">
        <v>400</v>
      </c>
      <c r="L77">
        <v>1368</v>
      </c>
      <c r="N77">
        <v>1011</v>
      </c>
      <c r="O77" t="s">
        <v>343</v>
      </c>
      <c r="P77" t="s">
        <v>343</v>
      </c>
      <c r="Q77">
        <v>1</v>
      </c>
      <c r="X77">
        <v>0.18</v>
      </c>
      <c r="Y77">
        <v>0</v>
      </c>
      <c r="Z77">
        <v>12.31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143</v>
      </c>
      <c r="AG77">
        <v>0.22499999999999998</v>
      </c>
      <c r="AH77">
        <v>2</v>
      </c>
      <c r="AI77">
        <v>35683814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ROW(Source!A80)</f>
        <v>80</v>
      </c>
      <c r="B78">
        <v>35683823</v>
      </c>
      <c r="C78">
        <v>35683790</v>
      </c>
      <c r="D78">
        <v>29172679</v>
      </c>
      <c r="E78">
        <v>1</v>
      </c>
      <c r="F78">
        <v>1</v>
      </c>
      <c r="G78">
        <v>1</v>
      </c>
      <c r="H78">
        <v>2</v>
      </c>
      <c r="I78" t="s">
        <v>482</v>
      </c>
      <c r="J78" t="s">
        <v>483</v>
      </c>
      <c r="K78" t="s">
        <v>484</v>
      </c>
      <c r="L78">
        <v>1368</v>
      </c>
      <c r="N78">
        <v>1011</v>
      </c>
      <c r="O78" t="s">
        <v>343</v>
      </c>
      <c r="P78" t="s">
        <v>343</v>
      </c>
      <c r="Q78">
        <v>1</v>
      </c>
      <c r="X78">
        <v>0.02</v>
      </c>
      <c r="Y78">
        <v>0</v>
      </c>
      <c r="Z78">
        <v>6.7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143</v>
      </c>
      <c r="AG78">
        <v>2.5000000000000001E-2</v>
      </c>
      <c r="AH78">
        <v>2</v>
      </c>
      <c r="AI78">
        <v>35683791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ROW(Source!A80)</f>
        <v>80</v>
      </c>
      <c r="B79">
        <v>35683824</v>
      </c>
      <c r="C79">
        <v>35683790</v>
      </c>
      <c r="D79">
        <v>29174500</v>
      </c>
      <c r="E79">
        <v>1</v>
      </c>
      <c r="F79">
        <v>1</v>
      </c>
      <c r="G79">
        <v>1</v>
      </c>
      <c r="H79">
        <v>2</v>
      </c>
      <c r="I79" t="s">
        <v>485</v>
      </c>
      <c r="J79" t="s">
        <v>486</v>
      </c>
      <c r="K79" t="s">
        <v>487</v>
      </c>
      <c r="L79">
        <v>1368</v>
      </c>
      <c r="N79">
        <v>1011</v>
      </c>
      <c r="O79" t="s">
        <v>343</v>
      </c>
      <c r="P79" t="s">
        <v>343</v>
      </c>
      <c r="Q79">
        <v>1</v>
      </c>
      <c r="X79">
        <v>2.41</v>
      </c>
      <c r="Y79">
        <v>0</v>
      </c>
      <c r="Z79">
        <v>1.95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143</v>
      </c>
      <c r="AG79">
        <v>3.0125000000000002</v>
      </c>
      <c r="AH79">
        <v>2</v>
      </c>
      <c r="AI79">
        <v>35683792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ROW(Source!A80)</f>
        <v>80</v>
      </c>
      <c r="B80">
        <v>35683825</v>
      </c>
      <c r="C80">
        <v>35683790</v>
      </c>
      <c r="D80">
        <v>29174913</v>
      </c>
      <c r="E80">
        <v>1</v>
      </c>
      <c r="F80">
        <v>1</v>
      </c>
      <c r="G80">
        <v>1</v>
      </c>
      <c r="H80">
        <v>2</v>
      </c>
      <c r="I80" t="s">
        <v>375</v>
      </c>
      <c r="J80" t="s">
        <v>488</v>
      </c>
      <c r="K80" t="s">
        <v>377</v>
      </c>
      <c r="L80">
        <v>1368</v>
      </c>
      <c r="N80">
        <v>1011</v>
      </c>
      <c r="O80" t="s">
        <v>343</v>
      </c>
      <c r="P80" t="s">
        <v>343</v>
      </c>
      <c r="Q80">
        <v>1</v>
      </c>
      <c r="X80">
        <v>0.32</v>
      </c>
      <c r="Y80">
        <v>0</v>
      </c>
      <c r="Z80">
        <v>87.17</v>
      </c>
      <c r="AA80">
        <v>11.6</v>
      </c>
      <c r="AB80">
        <v>0</v>
      </c>
      <c r="AC80">
        <v>0</v>
      </c>
      <c r="AD80">
        <v>1</v>
      </c>
      <c r="AE80">
        <v>0</v>
      </c>
      <c r="AF80" t="s">
        <v>143</v>
      </c>
      <c r="AG80">
        <v>0.4</v>
      </c>
      <c r="AH80">
        <v>2</v>
      </c>
      <c r="AI80">
        <v>35683793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ROW(Source!A80)</f>
        <v>80</v>
      </c>
      <c r="B81">
        <v>35683826</v>
      </c>
      <c r="C81">
        <v>35683790</v>
      </c>
      <c r="D81">
        <v>29107906</v>
      </c>
      <c r="E81">
        <v>1</v>
      </c>
      <c r="F81">
        <v>1</v>
      </c>
      <c r="G81">
        <v>1</v>
      </c>
      <c r="H81">
        <v>3</v>
      </c>
      <c r="I81" t="s">
        <v>401</v>
      </c>
      <c r="J81" t="s">
        <v>489</v>
      </c>
      <c r="K81" t="s">
        <v>403</v>
      </c>
      <c r="L81">
        <v>1348</v>
      </c>
      <c r="N81">
        <v>1009</v>
      </c>
      <c r="O81" t="s">
        <v>43</v>
      </c>
      <c r="P81" t="s">
        <v>43</v>
      </c>
      <c r="Q81">
        <v>1000</v>
      </c>
      <c r="X81">
        <v>1.4999999999999999E-4</v>
      </c>
      <c r="Y81">
        <v>37900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1.4999999999999999E-4</v>
      </c>
      <c r="AH81">
        <v>2</v>
      </c>
      <c r="AI81">
        <v>35683794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ROW(Source!A80)</f>
        <v>80</v>
      </c>
      <c r="B82">
        <v>35683827</v>
      </c>
      <c r="C82">
        <v>35683790</v>
      </c>
      <c r="D82">
        <v>29107441</v>
      </c>
      <c r="E82">
        <v>1</v>
      </c>
      <c r="F82">
        <v>1</v>
      </c>
      <c r="G82">
        <v>1</v>
      </c>
      <c r="H82">
        <v>3</v>
      </c>
      <c r="I82" t="s">
        <v>404</v>
      </c>
      <c r="J82" t="s">
        <v>490</v>
      </c>
      <c r="K82" t="s">
        <v>406</v>
      </c>
      <c r="L82">
        <v>1339</v>
      </c>
      <c r="N82">
        <v>1007</v>
      </c>
      <c r="O82" t="s">
        <v>350</v>
      </c>
      <c r="P82" t="s">
        <v>350</v>
      </c>
      <c r="Q82">
        <v>1</v>
      </c>
      <c r="X82">
        <v>1.4</v>
      </c>
      <c r="Y82">
        <v>6.23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1.4</v>
      </c>
      <c r="AH82">
        <v>2</v>
      </c>
      <c r="AI82">
        <v>35683795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ROW(Source!A80)</f>
        <v>80</v>
      </c>
      <c r="B83">
        <v>35683828</v>
      </c>
      <c r="C83">
        <v>35683790</v>
      </c>
      <c r="D83">
        <v>29113598</v>
      </c>
      <c r="E83">
        <v>1</v>
      </c>
      <c r="F83">
        <v>1</v>
      </c>
      <c r="G83">
        <v>1</v>
      </c>
      <c r="H83">
        <v>3</v>
      </c>
      <c r="I83" t="s">
        <v>407</v>
      </c>
      <c r="J83" t="s">
        <v>491</v>
      </c>
      <c r="K83" t="s">
        <v>409</v>
      </c>
      <c r="L83">
        <v>1348</v>
      </c>
      <c r="N83">
        <v>1009</v>
      </c>
      <c r="O83" t="s">
        <v>43</v>
      </c>
      <c r="P83" t="s">
        <v>43</v>
      </c>
      <c r="Q83">
        <v>1000</v>
      </c>
      <c r="X83">
        <v>4.0000000000000003E-5</v>
      </c>
      <c r="Y83">
        <v>4455.2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4.0000000000000003E-5</v>
      </c>
      <c r="AH83">
        <v>2</v>
      </c>
      <c r="AI83">
        <v>35683796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ROW(Source!A80)</f>
        <v>80</v>
      </c>
      <c r="B84">
        <v>35683829</v>
      </c>
      <c r="C84">
        <v>35683790</v>
      </c>
      <c r="D84">
        <v>29113797</v>
      </c>
      <c r="E84">
        <v>1</v>
      </c>
      <c r="F84">
        <v>1</v>
      </c>
      <c r="G84">
        <v>1</v>
      </c>
      <c r="H84">
        <v>3</v>
      </c>
      <c r="I84" t="s">
        <v>410</v>
      </c>
      <c r="J84" t="s">
        <v>492</v>
      </c>
      <c r="K84" t="s">
        <v>412</v>
      </c>
      <c r="L84">
        <v>1348</v>
      </c>
      <c r="N84">
        <v>1009</v>
      </c>
      <c r="O84" t="s">
        <v>43</v>
      </c>
      <c r="P84" t="s">
        <v>43</v>
      </c>
      <c r="Q84">
        <v>1000</v>
      </c>
      <c r="X84">
        <v>2.97E-3</v>
      </c>
      <c r="Y84">
        <v>4920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2.97E-3</v>
      </c>
      <c r="AH84">
        <v>2</v>
      </c>
      <c r="AI84">
        <v>35683797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ROW(Source!A80)</f>
        <v>80</v>
      </c>
      <c r="B85">
        <v>35683830</v>
      </c>
      <c r="C85">
        <v>35683790</v>
      </c>
      <c r="D85">
        <v>29113979</v>
      </c>
      <c r="E85">
        <v>1</v>
      </c>
      <c r="F85">
        <v>1</v>
      </c>
      <c r="G85">
        <v>1</v>
      </c>
      <c r="H85">
        <v>3</v>
      </c>
      <c r="I85" t="s">
        <v>413</v>
      </c>
      <c r="J85" t="s">
        <v>493</v>
      </c>
      <c r="K85" t="s">
        <v>415</v>
      </c>
      <c r="L85">
        <v>1348</v>
      </c>
      <c r="N85">
        <v>1009</v>
      </c>
      <c r="O85" t="s">
        <v>43</v>
      </c>
      <c r="P85" t="s">
        <v>43</v>
      </c>
      <c r="Q85">
        <v>1000</v>
      </c>
      <c r="X85">
        <v>6.0999999999999997E-4</v>
      </c>
      <c r="Y85">
        <v>9749.99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6.0999999999999997E-4</v>
      </c>
      <c r="AH85">
        <v>2</v>
      </c>
      <c r="AI85">
        <v>35683798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ROW(Source!A80)</f>
        <v>80</v>
      </c>
      <c r="B86">
        <v>35683831</v>
      </c>
      <c r="C86">
        <v>35683790</v>
      </c>
      <c r="D86">
        <v>29114247</v>
      </c>
      <c r="E86">
        <v>1</v>
      </c>
      <c r="F86">
        <v>1</v>
      </c>
      <c r="G86">
        <v>1</v>
      </c>
      <c r="H86">
        <v>3</v>
      </c>
      <c r="I86" t="s">
        <v>416</v>
      </c>
      <c r="J86" t="s">
        <v>494</v>
      </c>
      <c r="K86" t="s">
        <v>418</v>
      </c>
      <c r="L86">
        <v>1348</v>
      </c>
      <c r="N86">
        <v>1009</v>
      </c>
      <c r="O86" t="s">
        <v>43</v>
      </c>
      <c r="P86" t="s">
        <v>43</v>
      </c>
      <c r="Q86">
        <v>1000</v>
      </c>
      <c r="X86">
        <v>2.2000000000000001E-3</v>
      </c>
      <c r="Y86">
        <v>9040.01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2.2000000000000001E-3</v>
      </c>
      <c r="AH86">
        <v>2</v>
      </c>
      <c r="AI86">
        <v>35683799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ROW(Source!A80)</f>
        <v>80</v>
      </c>
      <c r="B87">
        <v>35683832</v>
      </c>
      <c r="C87">
        <v>35683790</v>
      </c>
      <c r="D87">
        <v>29107444</v>
      </c>
      <c r="E87">
        <v>1</v>
      </c>
      <c r="F87">
        <v>1</v>
      </c>
      <c r="G87">
        <v>1</v>
      </c>
      <c r="H87">
        <v>3</v>
      </c>
      <c r="I87" t="s">
        <v>422</v>
      </c>
      <c r="J87" t="s">
        <v>495</v>
      </c>
      <c r="K87" t="s">
        <v>424</v>
      </c>
      <c r="L87">
        <v>1346</v>
      </c>
      <c r="N87">
        <v>1009</v>
      </c>
      <c r="O87" t="s">
        <v>425</v>
      </c>
      <c r="P87" t="s">
        <v>425</v>
      </c>
      <c r="Q87">
        <v>1</v>
      </c>
      <c r="X87">
        <v>0.42</v>
      </c>
      <c r="Y87">
        <v>6.09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0.42</v>
      </c>
      <c r="AH87">
        <v>2</v>
      </c>
      <c r="AI87">
        <v>35683800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ROW(Source!A80)</f>
        <v>80</v>
      </c>
      <c r="B88">
        <v>35683833</v>
      </c>
      <c r="C88">
        <v>35683790</v>
      </c>
      <c r="D88">
        <v>29110606</v>
      </c>
      <c r="E88">
        <v>1</v>
      </c>
      <c r="F88">
        <v>1</v>
      </c>
      <c r="G88">
        <v>1</v>
      </c>
      <c r="H88">
        <v>3</v>
      </c>
      <c r="I88" t="s">
        <v>426</v>
      </c>
      <c r="J88" t="s">
        <v>496</v>
      </c>
      <c r="K88" t="s">
        <v>428</v>
      </c>
      <c r="L88">
        <v>1348</v>
      </c>
      <c r="N88">
        <v>1009</v>
      </c>
      <c r="O88" t="s">
        <v>43</v>
      </c>
      <c r="P88" t="s">
        <v>43</v>
      </c>
      <c r="Q88">
        <v>1000</v>
      </c>
      <c r="X88">
        <v>9.0000000000000006E-5</v>
      </c>
      <c r="Y88">
        <v>9420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9.0000000000000006E-5</v>
      </c>
      <c r="AH88">
        <v>2</v>
      </c>
      <c r="AI88">
        <v>35683801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ROW(Source!A80)</f>
        <v>80</v>
      </c>
      <c r="B89">
        <v>35683834</v>
      </c>
      <c r="C89">
        <v>35683790</v>
      </c>
      <c r="D89">
        <v>29112833</v>
      </c>
      <c r="E89">
        <v>1</v>
      </c>
      <c r="F89">
        <v>1</v>
      </c>
      <c r="G89">
        <v>1</v>
      </c>
      <c r="H89">
        <v>3</v>
      </c>
      <c r="I89" t="s">
        <v>596</v>
      </c>
      <c r="J89" t="s">
        <v>597</v>
      </c>
      <c r="K89" t="s">
        <v>598</v>
      </c>
      <c r="L89">
        <v>1348</v>
      </c>
      <c r="N89">
        <v>1009</v>
      </c>
      <c r="O89" t="s">
        <v>43</v>
      </c>
      <c r="P89" t="s">
        <v>43</v>
      </c>
      <c r="Q89">
        <v>1000</v>
      </c>
      <c r="X89">
        <v>0</v>
      </c>
      <c r="Y89">
        <v>0</v>
      </c>
      <c r="Z89">
        <v>0</v>
      </c>
      <c r="AA89">
        <v>0</v>
      </c>
      <c r="AB89">
        <v>0</v>
      </c>
      <c r="AC89">
        <v>1</v>
      </c>
      <c r="AD89">
        <v>0</v>
      </c>
      <c r="AE89">
        <v>0</v>
      </c>
      <c r="AF89" t="s">
        <v>3</v>
      </c>
      <c r="AG89">
        <v>0</v>
      </c>
      <c r="AH89">
        <v>3</v>
      </c>
      <c r="AI89">
        <v>-1</v>
      </c>
      <c r="AJ89" t="s">
        <v>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ROW(Source!A80)</f>
        <v>80</v>
      </c>
      <c r="B90">
        <v>35683835</v>
      </c>
      <c r="C90">
        <v>35683790</v>
      </c>
      <c r="D90">
        <v>29112584</v>
      </c>
      <c r="E90">
        <v>1</v>
      </c>
      <c r="F90">
        <v>1</v>
      </c>
      <c r="G90">
        <v>1</v>
      </c>
      <c r="H90">
        <v>3</v>
      </c>
      <c r="I90" t="s">
        <v>599</v>
      </c>
      <c r="J90" t="s">
        <v>600</v>
      </c>
      <c r="K90" t="s">
        <v>601</v>
      </c>
      <c r="L90">
        <v>1348</v>
      </c>
      <c r="N90">
        <v>1009</v>
      </c>
      <c r="O90" t="s">
        <v>43</v>
      </c>
      <c r="P90" t="s">
        <v>43</v>
      </c>
      <c r="Q90">
        <v>1000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0</v>
      </c>
      <c r="AE90">
        <v>0</v>
      </c>
      <c r="AF90" t="s">
        <v>3</v>
      </c>
      <c r="AG90">
        <v>0</v>
      </c>
      <c r="AH90">
        <v>3</v>
      </c>
      <c r="AI90">
        <v>-1</v>
      </c>
      <c r="AJ90" t="s">
        <v>3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ROW(Source!A80)</f>
        <v>80</v>
      </c>
      <c r="B91">
        <v>35683836</v>
      </c>
      <c r="C91">
        <v>35683790</v>
      </c>
      <c r="D91">
        <v>29115467</v>
      </c>
      <c r="E91">
        <v>1</v>
      </c>
      <c r="F91">
        <v>1</v>
      </c>
      <c r="G91">
        <v>1</v>
      </c>
      <c r="H91">
        <v>3</v>
      </c>
      <c r="I91" t="s">
        <v>429</v>
      </c>
      <c r="J91" t="s">
        <v>497</v>
      </c>
      <c r="K91" t="s">
        <v>431</v>
      </c>
      <c r="L91">
        <v>1339</v>
      </c>
      <c r="N91">
        <v>1007</v>
      </c>
      <c r="O91" t="s">
        <v>350</v>
      </c>
      <c r="P91" t="s">
        <v>350</v>
      </c>
      <c r="Q91">
        <v>1</v>
      </c>
      <c r="X91">
        <v>1.2999999999999999E-3</v>
      </c>
      <c r="Y91">
        <v>1699.99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1.2999999999999999E-3</v>
      </c>
      <c r="AH91">
        <v>2</v>
      </c>
      <c r="AI91">
        <v>35683802</v>
      </c>
      <c r="AJ91">
        <v>89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ROW(Source!A80)</f>
        <v>80</v>
      </c>
      <c r="B92">
        <v>35683837</v>
      </c>
      <c r="C92">
        <v>35683790</v>
      </c>
      <c r="D92">
        <v>29122102</v>
      </c>
      <c r="E92">
        <v>1</v>
      </c>
      <c r="F92">
        <v>1</v>
      </c>
      <c r="G92">
        <v>1</v>
      </c>
      <c r="H92">
        <v>3</v>
      </c>
      <c r="I92" t="s">
        <v>432</v>
      </c>
      <c r="J92" t="s">
        <v>498</v>
      </c>
      <c r="K92" t="s">
        <v>434</v>
      </c>
      <c r="L92">
        <v>1348</v>
      </c>
      <c r="N92">
        <v>1009</v>
      </c>
      <c r="O92" t="s">
        <v>43</v>
      </c>
      <c r="P92" t="s">
        <v>43</v>
      </c>
      <c r="Q92">
        <v>1000</v>
      </c>
      <c r="X92">
        <v>4.6999999999999999E-4</v>
      </c>
      <c r="Y92">
        <v>15620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4.6999999999999999E-4</v>
      </c>
      <c r="AH92">
        <v>2</v>
      </c>
      <c r="AI92">
        <v>35683803</v>
      </c>
      <c r="AJ92">
        <v>90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ROW(Source!A80)</f>
        <v>80</v>
      </c>
      <c r="B93">
        <v>35683838</v>
      </c>
      <c r="C93">
        <v>35683790</v>
      </c>
      <c r="D93">
        <v>29129276</v>
      </c>
      <c r="E93">
        <v>1</v>
      </c>
      <c r="F93">
        <v>1</v>
      </c>
      <c r="G93">
        <v>1</v>
      </c>
      <c r="H93">
        <v>3</v>
      </c>
      <c r="I93" t="s">
        <v>435</v>
      </c>
      <c r="J93" t="s">
        <v>499</v>
      </c>
      <c r="K93" t="s">
        <v>437</v>
      </c>
      <c r="L93">
        <v>1348</v>
      </c>
      <c r="N93">
        <v>1009</v>
      </c>
      <c r="O93" t="s">
        <v>43</v>
      </c>
      <c r="P93" t="s">
        <v>43</v>
      </c>
      <c r="Q93">
        <v>1000</v>
      </c>
      <c r="X93">
        <v>1.0999999999999999E-2</v>
      </c>
      <c r="Y93">
        <v>7712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1.0999999999999999E-2</v>
      </c>
      <c r="AH93">
        <v>2</v>
      </c>
      <c r="AI93">
        <v>35683804</v>
      </c>
      <c r="AJ93">
        <v>91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ROW(Source!A80)</f>
        <v>80</v>
      </c>
      <c r="B94">
        <v>35683839</v>
      </c>
      <c r="C94">
        <v>35683790</v>
      </c>
      <c r="D94">
        <v>29162764</v>
      </c>
      <c r="E94">
        <v>1</v>
      </c>
      <c r="F94">
        <v>1</v>
      </c>
      <c r="G94">
        <v>1</v>
      </c>
      <c r="H94">
        <v>3</v>
      </c>
      <c r="I94" t="s">
        <v>438</v>
      </c>
      <c r="J94" t="s">
        <v>500</v>
      </c>
      <c r="K94" t="s">
        <v>440</v>
      </c>
      <c r="L94">
        <v>1302</v>
      </c>
      <c r="N94">
        <v>1003</v>
      </c>
      <c r="O94" t="s">
        <v>441</v>
      </c>
      <c r="P94" t="s">
        <v>441</v>
      </c>
      <c r="Q94">
        <v>10</v>
      </c>
      <c r="X94">
        <v>1.6E-2</v>
      </c>
      <c r="Y94">
        <v>71.489999999999995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1.6E-2</v>
      </c>
      <c r="AH94">
        <v>2</v>
      </c>
      <c r="AI94">
        <v>35683805</v>
      </c>
      <c r="AJ94">
        <v>92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ROW(Source!A82)</f>
        <v>82</v>
      </c>
      <c r="B95">
        <v>36361776</v>
      </c>
      <c r="C95">
        <v>36361775</v>
      </c>
      <c r="D95">
        <v>18413593</v>
      </c>
      <c r="E95">
        <v>1</v>
      </c>
      <c r="F95">
        <v>1</v>
      </c>
      <c r="G95">
        <v>1</v>
      </c>
      <c r="H95">
        <v>1</v>
      </c>
      <c r="I95" t="s">
        <v>501</v>
      </c>
      <c r="J95" t="s">
        <v>3</v>
      </c>
      <c r="K95" t="s">
        <v>502</v>
      </c>
      <c r="L95">
        <v>1369</v>
      </c>
      <c r="N95">
        <v>1013</v>
      </c>
      <c r="O95" t="s">
        <v>339</v>
      </c>
      <c r="P95" t="s">
        <v>339</v>
      </c>
      <c r="Q95">
        <v>1</v>
      </c>
      <c r="X95">
        <v>2.78</v>
      </c>
      <c r="Y95">
        <v>0</v>
      </c>
      <c r="Z95">
        <v>0</v>
      </c>
      <c r="AA95">
        <v>0</v>
      </c>
      <c r="AB95">
        <v>328.46</v>
      </c>
      <c r="AC95">
        <v>0</v>
      </c>
      <c r="AD95">
        <v>1</v>
      </c>
      <c r="AE95">
        <v>1</v>
      </c>
      <c r="AF95" t="s">
        <v>144</v>
      </c>
      <c r="AG95">
        <v>3.1969999999999996</v>
      </c>
      <c r="AH95">
        <v>2</v>
      </c>
      <c r="AI95">
        <v>36361776</v>
      </c>
      <c r="AJ95">
        <v>94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ROW(Source!A82)</f>
        <v>82</v>
      </c>
      <c r="B96">
        <v>36361777</v>
      </c>
      <c r="C96">
        <v>36361775</v>
      </c>
      <c r="D96">
        <v>29172657</v>
      </c>
      <c r="E96">
        <v>1</v>
      </c>
      <c r="F96">
        <v>1</v>
      </c>
      <c r="G96">
        <v>1</v>
      </c>
      <c r="H96">
        <v>2</v>
      </c>
      <c r="I96" t="s">
        <v>372</v>
      </c>
      <c r="J96" t="s">
        <v>373</v>
      </c>
      <c r="K96" t="s">
        <v>374</v>
      </c>
      <c r="L96">
        <v>1368</v>
      </c>
      <c r="N96">
        <v>1011</v>
      </c>
      <c r="O96" t="s">
        <v>343</v>
      </c>
      <c r="P96" t="s">
        <v>343</v>
      </c>
      <c r="Q96">
        <v>1</v>
      </c>
      <c r="X96">
        <v>0.73</v>
      </c>
      <c r="Y96">
        <v>0</v>
      </c>
      <c r="Z96">
        <v>8.1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143</v>
      </c>
      <c r="AG96">
        <v>0.91249999999999998</v>
      </c>
      <c r="AH96">
        <v>2</v>
      </c>
      <c r="AI96">
        <v>36361777</v>
      </c>
      <c r="AJ96">
        <v>95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ROW(Source!A82)</f>
        <v>82</v>
      </c>
      <c r="B97">
        <v>36361778</v>
      </c>
      <c r="C97">
        <v>36361775</v>
      </c>
      <c r="D97">
        <v>29173472</v>
      </c>
      <c r="E97">
        <v>1</v>
      </c>
      <c r="F97">
        <v>1</v>
      </c>
      <c r="G97">
        <v>1</v>
      </c>
      <c r="H97">
        <v>2</v>
      </c>
      <c r="I97" t="s">
        <v>503</v>
      </c>
      <c r="J97" t="s">
        <v>504</v>
      </c>
      <c r="K97" t="s">
        <v>505</v>
      </c>
      <c r="L97">
        <v>1368</v>
      </c>
      <c r="N97">
        <v>1011</v>
      </c>
      <c r="O97" t="s">
        <v>343</v>
      </c>
      <c r="P97" t="s">
        <v>343</v>
      </c>
      <c r="Q97">
        <v>1</v>
      </c>
      <c r="X97">
        <v>0.77</v>
      </c>
      <c r="Y97">
        <v>0</v>
      </c>
      <c r="Z97">
        <v>3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143</v>
      </c>
      <c r="AG97">
        <v>0.96250000000000002</v>
      </c>
      <c r="AH97">
        <v>2</v>
      </c>
      <c r="AI97">
        <v>36361778</v>
      </c>
      <c r="AJ97">
        <v>96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ROW(Source!A82)</f>
        <v>82</v>
      </c>
      <c r="B98">
        <v>36361779</v>
      </c>
      <c r="C98">
        <v>36361775</v>
      </c>
      <c r="D98">
        <v>29174580</v>
      </c>
      <c r="E98">
        <v>1</v>
      </c>
      <c r="F98">
        <v>1</v>
      </c>
      <c r="G98">
        <v>1</v>
      </c>
      <c r="H98">
        <v>2</v>
      </c>
      <c r="I98" t="s">
        <v>506</v>
      </c>
      <c r="J98" t="s">
        <v>507</v>
      </c>
      <c r="K98" t="s">
        <v>508</v>
      </c>
      <c r="L98">
        <v>1368</v>
      </c>
      <c r="N98">
        <v>1011</v>
      </c>
      <c r="O98" t="s">
        <v>343</v>
      </c>
      <c r="P98" t="s">
        <v>343</v>
      </c>
      <c r="Q98">
        <v>1</v>
      </c>
      <c r="X98">
        <v>0.73</v>
      </c>
      <c r="Y98">
        <v>0</v>
      </c>
      <c r="Z98">
        <v>2.08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143</v>
      </c>
      <c r="AG98">
        <v>0.91249999999999998</v>
      </c>
      <c r="AH98">
        <v>2</v>
      </c>
      <c r="AI98">
        <v>36361779</v>
      </c>
      <c r="AJ98">
        <v>97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ROW(Source!A82)</f>
        <v>82</v>
      </c>
      <c r="B99">
        <v>36361780</v>
      </c>
      <c r="C99">
        <v>36361775</v>
      </c>
      <c r="D99">
        <v>29174913</v>
      </c>
      <c r="E99">
        <v>1</v>
      </c>
      <c r="F99">
        <v>1</v>
      </c>
      <c r="G99">
        <v>1</v>
      </c>
      <c r="H99">
        <v>2</v>
      </c>
      <c r="I99" t="s">
        <v>375</v>
      </c>
      <c r="J99" t="s">
        <v>376</v>
      </c>
      <c r="K99" t="s">
        <v>377</v>
      </c>
      <c r="L99">
        <v>1368</v>
      </c>
      <c r="N99">
        <v>1011</v>
      </c>
      <c r="O99" t="s">
        <v>343</v>
      </c>
      <c r="P99" t="s">
        <v>343</v>
      </c>
      <c r="Q99">
        <v>1</v>
      </c>
      <c r="X99">
        <v>0.02</v>
      </c>
      <c r="Y99">
        <v>0</v>
      </c>
      <c r="Z99">
        <v>87.17</v>
      </c>
      <c r="AA99">
        <v>11.6</v>
      </c>
      <c r="AB99">
        <v>0</v>
      </c>
      <c r="AC99">
        <v>0</v>
      </c>
      <c r="AD99">
        <v>1</v>
      </c>
      <c r="AE99">
        <v>0</v>
      </c>
      <c r="AF99" t="s">
        <v>143</v>
      </c>
      <c r="AG99">
        <v>2.5000000000000001E-2</v>
      </c>
      <c r="AH99">
        <v>2</v>
      </c>
      <c r="AI99">
        <v>36361780</v>
      </c>
      <c r="AJ99">
        <v>98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ROW(Source!A82)</f>
        <v>82</v>
      </c>
      <c r="B100">
        <v>36361781</v>
      </c>
      <c r="C100">
        <v>36361775</v>
      </c>
      <c r="D100">
        <v>29113979</v>
      </c>
      <c r="E100">
        <v>1</v>
      </c>
      <c r="F100">
        <v>1</v>
      </c>
      <c r="G100">
        <v>1</v>
      </c>
      <c r="H100">
        <v>3</v>
      </c>
      <c r="I100" t="s">
        <v>413</v>
      </c>
      <c r="J100" t="s">
        <v>414</v>
      </c>
      <c r="K100" t="s">
        <v>415</v>
      </c>
      <c r="L100">
        <v>1348</v>
      </c>
      <c r="N100">
        <v>1009</v>
      </c>
      <c r="O100" t="s">
        <v>43</v>
      </c>
      <c r="P100" t="s">
        <v>43</v>
      </c>
      <c r="Q100">
        <v>1000</v>
      </c>
      <c r="X100">
        <v>8.0000000000000007E-5</v>
      </c>
      <c r="Y100">
        <v>9749.99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8.0000000000000007E-5</v>
      </c>
      <c r="AH100">
        <v>2</v>
      </c>
      <c r="AI100">
        <v>36361781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ROW(Source!A82)</f>
        <v>82</v>
      </c>
      <c r="B101">
        <v>36361782</v>
      </c>
      <c r="C101">
        <v>36361775</v>
      </c>
      <c r="D101">
        <v>29114168</v>
      </c>
      <c r="E101">
        <v>1</v>
      </c>
      <c r="F101">
        <v>1</v>
      </c>
      <c r="G101">
        <v>1</v>
      </c>
      <c r="H101">
        <v>3</v>
      </c>
      <c r="I101" t="s">
        <v>509</v>
      </c>
      <c r="J101" t="s">
        <v>510</v>
      </c>
      <c r="K101" t="s">
        <v>511</v>
      </c>
      <c r="L101">
        <v>1348</v>
      </c>
      <c r="N101">
        <v>1009</v>
      </c>
      <c r="O101" t="s">
        <v>43</v>
      </c>
      <c r="P101" t="s">
        <v>43</v>
      </c>
      <c r="Q101">
        <v>1000</v>
      </c>
      <c r="X101">
        <v>3.0000000000000001E-3</v>
      </c>
      <c r="Y101">
        <v>10068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3.0000000000000001E-3</v>
      </c>
      <c r="AH101">
        <v>2</v>
      </c>
      <c r="AI101">
        <v>36361782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ROW(Source!A82)</f>
        <v>82</v>
      </c>
      <c r="B102">
        <v>36361783</v>
      </c>
      <c r="C102">
        <v>36361775</v>
      </c>
      <c r="D102">
        <v>29107992</v>
      </c>
      <c r="E102">
        <v>1</v>
      </c>
      <c r="F102">
        <v>1</v>
      </c>
      <c r="G102">
        <v>1</v>
      </c>
      <c r="H102">
        <v>3</v>
      </c>
      <c r="I102" t="s">
        <v>512</v>
      </c>
      <c r="J102" t="s">
        <v>513</v>
      </c>
      <c r="K102" t="s">
        <v>514</v>
      </c>
      <c r="L102">
        <v>1354</v>
      </c>
      <c r="N102">
        <v>1010</v>
      </c>
      <c r="O102" t="s">
        <v>23</v>
      </c>
      <c r="P102" t="s">
        <v>23</v>
      </c>
      <c r="Q102">
        <v>1</v>
      </c>
      <c r="X102">
        <v>0.19</v>
      </c>
      <c r="Y102">
        <v>115.41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0.19</v>
      </c>
      <c r="AH102">
        <v>2</v>
      </c>
      <c r="AI102">
        <v>36361783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ROW(Source!A82)</f>
        <v>82</v>
      </c>
      <c r="B103">
        <v>36361784</v>
      </c>
      <c r="C103">
        <v>36361775</v>
      </c>
      <c r="D103">
        <v>29130608</v>
      </c>
      <c r="E103">
        <v>1</v>
      </c>
      <c r="F103">
        <v>1</v>
      </c>
      <c r="G103">
        <v>1</v>
      </c>
      <c r="H103">
        <v>3</v>
      </c>
      <c r="I103" t="s">
        <v>181</v>
      </c>
      <c r="J103" t="s">
        <v>183</v>
      </c>
      <c r="K103" t="s">
        <v>182</v>
      </c>
      <c r="L103">
        <v>1354</v>
      </c>
      <c r="N103">
        <v>1010</v>
      </c>
      <c r="O103" t="s">
        <v>23</v>
      </c>
      <c r="P103" t="s">
        <v>23</v>
      </c>
      <c r="Q103">
        <v>1</v>
      </c>
      <c r="X103">
        <v>0</v>
      </c>
      <c r="Y103">
        <v>4729.26</v>
      </c>
      <c r="Z103">
        <v>0</v>
      </c>
      <c r="AA103">
        <v>0</v>
      </c>
      <c r="AB103">
        <v>0</v>
      </c>
      <c r="AC103">
        <v>1</v>
      </c>
      <c r="AD103">
        <v>0</v>
      </c>
      <c r="AE103">
        <v>0</v>
      </c>
      <c r="AF103" t="s">
        <v>3</v>
      </c>
      <c r="AG103">
        <v>0</v>
      </c>
      <c r="AH103">
        <v>2</v>
      </c>
      <c r="AI103">
        <v>36361784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ROW(Source!A86)</f>
        <v>86</v>
      </c>
      <c r="B104">
        <v>35687489</v>
      </c>
      <c r="C104">
        <v>35687488</v>
      </c>
      <c r="D104">
        <v>18413627</v>
      </c>
      <c r="E104">
        <v>1</v>
      </c>
      <c r="F104">
        <v>1</v>
      </c>
      <c r="G104">
        <v>1</v>
      </c>
      <c r="H104">
        <v>1</v>
      </c>
      <c r="I104" t="s">
        <v>515</v>
      </c>
      <c r="J104" t="s">
        <v>3</v>
      </c>
      <c r="K104" t="s">
        <v>516</v>
      </c>
      <c r="L104">
        <v>1369</v>
      </c>
      <c r="N104">
        <v>1013</v>
      </c>
      <c r="O104" t="s">
        <v>339</v>
      </c>
      <c r="P104" t="s">
        <v>339</v>
      </c>
      <c r="Q104">
        <v>1</v>
      </c>
      <c r="X104">
        <v>1.1100000000000001</v>
      </c>
      <c r="Y104">
        <v>0</v>
      </c>
      <c r="Z104">
        <v>0</v>
      </c>
      <c r="AA104">
        <v>0</v>
      </c>
      <c r="AB104">
        <v>323.88</v>
      </c>
      <c r="AC104">
        <v>0</v>
      </c>
      <c r="AD104">
        <v>1</v>
      </c>
      <c r="AE104">
        <v>1</v>
      </c>
      <c r="AF104" t="s">
        <v>144</v>
      </c>
      <c r="AG104">
        <v>1.2765</v>
      </c>
      <c r="AH104">
        <v>2</v>
      </c>
      <c r="AI104">
        <v>35687489</v>
      </c>
      <c r="AJ104">
        <v>105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ROW(Source!A86)</f>
        <v>86</v>
      </c>
      <c r="B105">
        <v>35687490</v>
      </c>
      <c r="C105">
        <v>35687488</v>
      </c>
      <c r="D105">
        <v>29172657</v>
      </c>
      <c r="E105">
        <v>1</v>
      </c>
      <c r="F105">
        <v>1</v>
      </c>
      <c r="G105">
        <v>1</v>
      </c>
      <c r="H105">
        <v>2</v>
      </c>
      <c r="I105" t="s">
        <v>372</v>
      </c>
      <c r="J105" t="s">
        <v>517</v>
      </c>
      <c r="K105" t="s">
        <v>374</v>
      </c>
      <c r="L105">
        <v>1368</v>
      </c>
      <c r="N105">
        <v>1011</v>
      </c>
      <c r="O105" t="s">
        <v>343</v>
      </c>
      <c r="P105" t="s">
        <v>343</v>
      </c>
      <c r="Q105">
        <v>1</v>
      </c>
      <c r="X105">
        <v>0.26</v>
      </c>
      <c r="Y105">
        <v>0</v>
      </c>
      <c r="Z105">
        <v>8.1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143</v>
      </c>
      <c r="AG105">
        <v>0.32500000000000001</v>
      </c>
      <c r="AH105">
        <v>2</v>
      </c>
      <c r="AI105">
        <v>35687490</v>
      </c>
      <c r="AJ105">
        <v>106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ROW(Source!A86)</f>
        <v>86</v>
      </c>
      <c r="B106">
        <v>35687491</v>
      </c>
      <c r="C106">
        <v>35687488</v>
      </c>
      <c r="D106">
        <v>29173472</v>
      </c>
      <c r="E106">
        <v>1</v>
      </c>
      <c r="F106">
        <v>1</v>
      </c>
      <c r="G106">
        <v>1</v>
      </c>
      <c r="H106">
        <v>2</v>
      </c>
      <c r="I106" t="s">
        <v>503</v>
      </c>
      <c r="J106" t="s">
        <v>518</v>
      </c>
      <c r="K106" t="s">
        <v>505</v>
      </c>
      <c r="L106">
        <v>1368</v>
      </c>
      <c r="N106">
        <v>1011</v>
      </c>
      <c r="O106" t="s">
        <v>343</v>
      </c>
      <c r="P106" t="s">
        <v>343</v>
      </c>
      <c r="Q106">
        <v>1</v>
      </c>
      <c r="X106">
        <v>0.15</v>
      </c>
      <c r="Y106">
        <v>0</v>
      </c>
      <c r="Z106">
        <v>3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143</v>
      </c>
      <c r="AG106">
        <v>0.1875</v>
      </c>
      <c r="AH106">
        <v>2</v>
      </c>
      <c r="AI106">
        <v>35687491</v>
      </c>
      <c r="AJ106">
        <v>107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ROW(Source!A86)</f>
        <v>86</v>
      </c>
      <c r="B107">
        <v>35687492</v>
      </c>
      <c r="C107">
        <v>35687488</v>
      </c>
      <c r="D107">
        <v>29174500</v>
      </c>
      <c r="E107">
        <v>1</v>
      </c>
      <c r="F107">
        <v>1</v>
      </c>
      <c r="G107">
        <v>1</v>
      </c>
      <c r="H107">
        <v>2</v>
      </c>
      <c r="I107" t="s">
        <v>485</v>
      </c>
      <c r="J107" t="s">
        <v>486</v>
      </c>
      <c r="K107" t="s">
        <v>487</v>
      </c>
      <c r="L107">
        <v>1368</v>
      </c>
      <c r="N107">
        <v>1011</v>
      </c>
      <c r="O107" t="s">
        <v>343</v>
      </c>
      <c r="P107" t="s">
        <v>343</v>
      </c>
      <c r="Q107">
        <v>1</v>
      </c>
      <c r="X107">
        <v>0.11</v>
      </c>
      <c r="Y107">
        <v>0</v>
      </c>
      <c r="Z107">
        <v>1.95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143</v>
      </c>
      <c r="AG107">
        <v>0.13750000000000001</v>
      </c>
      <c r="AH107">
        <v>2</v>
      </c>
      <c r="AI107">
        <v>35687492</v>
      </c>
      <c r="AJ107">
        <v>108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ROW(Source!A86)</f>
        <v>86</v>
      </c>
      <c r="B108">
        <v>35687493</v>
      </c>
      <c r="C108">
        <v>35687488</v>
      </c>
      <c r="D108">
        <v>29174507</v>
      </c>
      <c r="E108">
        <v>1</v>
      </c>
      <c r="F108">
        <v>1</v>
      </c>
      <c r="G108">
        <v>1</v>
      </c>
      <c r="H108">
        <v>2</v>
      </c>
      <c r="I108" t="s">
        <v>519</v>
      </c>
      <c r="J108" t="s">
        <v>520</v>
      </c>
      <c r="K108" t="s">
        <v>521</v>
      </c>
      <c r="L108">
        <v>1368</v>
      </c>
      <c r="N108">
        <v>1011</v>
      </c>
      <c r="O108" t="s">
        <v>343</v>
      </c>
      <c r="P108" t="s">
        <v>343</v>
      </c>
      <c r="Q108">
        <v>1</v>
      </c>
      <c r="X108">
        <v>0.02</v>
      </c>
      <c r="Y108">
        <v>0</v>
      </c>
      <c r="Z108">
        <v>5.13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143</v>
      </c>
      <c r="AG108">
        <v>2.5000000000000001E-2</v>
      </c>
      <c r="AH108">
        <v>2</v>
      </c>
      <c r="AI108">
        <v>35687493</v>
      </c>
      <c r="AJ108">
        <v>109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ROW(Source!A86)</f>
        <v>86</v>
      </c>
      <c r="B109">
        <v>35687494</v>
      </c>
      <c r="C109">
        <v>35687488</v>
      </c>
      <c r="D109">
        <v>29113979</v>
      </c>
      <c r="E109">
        <v>1</v>
      </c>
      <c r="F109">
        <v>1</v>
      </c>
      <c r="G109">
        <v>1</v>
      </c>
      <c r="H109">
        <v>3</v>
      </c>
      <c r="I109" t="s">
        <v>413</v>
      </c>
      <c r="J109" t="s">
        <v>493</v>
      </c>
      <c r="K109" t="s">
        <v>415</v>
      </c>
      <c r="L109">
        <v>1348</v>
      </c>
      <c r="N109">
        <v>1009</v>
      </c>
      <c r="O109" t="s">
        <v>43</v>
      </c>
      <c r="P109" t="s">
        <v>43</v>
      </c>
      <c r="Q109">
        <v>1000</v>
      </c>
      <c r="X109">
        <v>6.9999999999999994E-5</v>
      </c>
      <c r="Y109">
        <v>9749.99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6.9999999999999994E-5</v>
      </c>
      <c r="AH109">
        <v>2</v>
      </c>
      <c r="AI109">
        <v>35687494</v>
      </c>
      <c r="AJ109">
        <v>110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ROW(Source!A86)</f>
        <v>86</v>
      </c>
      <c r="B110">
        <v>35687495</v>
      </c>
      <c r="C110">
        <v>35687488</v>
      </c>
      <c r="D110">
        <v>29114298</v>
      </c>
      <c r="E110">
        <v>1</v>
      </c>
      <c r="F110">
        <v>1</v>
      </c>
      <c r="G110">
        <v>1</v>
      </c>
      <c r="H110">
        <v>3</v>
      </c>
      <c r="I110" t="s">
        <v>522</v>
      </c>
      <c r="J110" t="s">
        <v>523</v>
      </c>
      <c r="K110" t="s">
        <v>524</v>
      </c>
      <c r="L110">
        <v>1354</v>
      </c>
      <c r="N110">
        <v>1010</v>
      </c>
      <c r="O110" t="s">
        <v>23</v>
      </c>
      <c r="P110" t="s">
        <v>23</v>
      </c>
      <c r="Q110">
        <v>1</v>
      </c>
      <c r="X110">
        <v>8.0000000000000002E-3</v>
      </c>
      <c r="Y110">
        <v>0.2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8.0000000000000002E-3</v>
      </c>
      <c r="AH110">
        <v>2</v>
      </c>
      <c r="AI110">
        <v>35687495</v>
      </c>
      <c r="AJ110">
        <v>111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ROW(Source!A86)</f>
        <v>86</v>
      </c>
      <c r="B111">
        <v>35687496</v>
      </c>
      <c r="C111">
        <v>35687488</v>
      </c>
      <c r="D111">
        <v>29114830</v>
      </c>
      <c r="E111">
        <v>1</v>
      </c>
      <c r="F111">
        <v>1</v>
      </c>
      <c r="G111">
        <v>1</v>
      </c>
      <c r="H111">
        <v>3</v>
      </c>
      <c r="I111" t="s">
        <v>602</v>
      </c>
      <c r="J111" t="s">
        <v>603</v>
      </c>
      <c r="K111" t="s">
        <v>604</v>
      </c>
      <c r="L111">
        <v>1035</v>
      </c>
      <c r="N111">
        <v>1013</v>
      </c>
      <c r="O111" t="s">
        <v>191</v>
      </c>
      <c r="P111" t="s">
        <v>191</v>
      </c>
      <c r="Q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</v>
      </c>
      <c r="AF111" t="s">
        <v>3</v>
      </c>
      <c r="AG111">
        <v>0</v>
      </c>
      <c r="AH111">
        <v>3</v>
      </c>
      <c r="AI111">
        <v>-1</v>
      </c>
      <c r="AJ111" t="s">
        <v>3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ROW(Source!A88)</f>
        <v>88</v>
      </c>
      <c r="B112">
        <v>36128677</v>
      </c>
      <c r="C112">
        <v>36128652</v>
      </c>
      <c r="D112">
        <v>18409661</v>
      </c>
      <c r="E112">
        <v>1</v>
      </c>
      <c r="F112">
        <v>1</v>
      </c>
      <c r="G112">
        <v>1</v>
      </c>
      <c r="H112">
        <v>1</v>
      </c>
      <c r="I112" t="s">
        <v>525</v>
      </c>
      <c r="J112" t="s">
        <v>3</v>
      </c>
      <c r="K112" t="s">
        <v>526</v>
      </c>
      <c r="L112">
        <v>1369</v>
      </c>
      <c r="N112">
        <v>1013</v>
      </c>
      <c r="O112" t="s">
        <v>339</v>
      </c>
      <c r="P112" t="s">
        <v>339</v>
      </c>
      <c r="Q112">
        <v>1</v>
      </c>
      <c r="X112">
        <v>160.52000000000001</v>
      </c>
      <c r="Y112">
        <v>0</v>
      </c>
      <c r="Z112">
        <v>0</v>
      </c>
      <c r="AA112">
        <v>0</v>
      </c>
      <c r="AB112">
        <v>282.08999999999997</v>
      </c>
      <c r="AC112">
        <v>0</v>
      </c>
      <c r="AD112">
        <v>1</v>
      </c>
      <c r="AE112">
        <v>1</v>
      </c>
      <c r="AF112" t="s">
        <v>144</v>
      </c>
      <c r="AG112">
        <v>184.59799999999998</v>
      </c>
      <c r="AH112">
        <v>2</v>
      </c>
      <c r="AI112">
        <v>36128677</v>
      </c>
      <c r="AJ112">
        <v>113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ROW(Source!A88)</f>
        <v>88</v>
      </c>
      <c r="B113">
        <v>36128678</v>
      </c>
      <c r="C113">
        <v>36128652</v>
      </c>
      <c r="D113">
        <v>121548</v>
      </c>
      <c r="E113">
        <v>1</v>
      </c>
      <c r="F113">
        <v>1</v>
      </c>
      <c r="G113">
        <v>1</v>
      </c>
      <c r="H113">
        <v>1</v>
      </c>
      <c r="I113" t="s">
        <v>15</v>
      </c>
      <c r="J113" t="s">
        <v>3</v>
      </c>
      <c r="K113" t="s">
        <v>355</v>
      </c>
      <c r="L113">
        <v>608254</v>
      </c>
      <c r="N113">
        <v>1013</v>
      </c>
      <c r="O113" t="s">
        <v>356</v>
      </c>
      <c r="P113" t="s">
        <v>356</v>
      </c>
      <c r="Q113">
        <v>1</v>
      </c>
      <c r="X113">
        <v>1.05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2</v>
      </c>
      <c r="AF113" t="s">
        <v>143</v>
      </c>
      <c r="AG113">
        <v>1.3125</v>
      </c>
      <c r="AH113">
        <v>2</v>
      </c>
      <c r="AI113">
        <v>36128678</v>
      </c>
      <c r="AJ113">
        <v>114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ROW(Source!A88)</f>
        <v>88</v>
      </c>
      <c r="B114">
        <v>36128679</v>
      </c>
      <c r="C114">
        <v>36128652</v>
      </c>
      <c r="D114">
        <v>29172556</v>
      </c>
      <c r="E114">
        <v>1</v>
      </c>
      <c r="F114">
        <v>1</v>
      </c>
      <c r="G114">
        <v>1</v>
      </c>
      <c r="H114">
        <v>2</v>
      </c>
      <c r="I114" t="s">
        <v>357</v>
      </c>
      <c r="J114" t="s">
        <v>358</v>
      </c>
      <c r="K114" t="s">
        <v>359</v>
      </c>
      <c r="L114">
        <v>1368</v>
      </c>
      <c r="N114">
        <v>1011</v>
      </c>
      <c r="O114" t="s">
        <v>343</v>
      </c>
      <c r="P114" t="s">
        <v>343</v>
      </c>
      <c r="Q114">
        <v>1</v>
      </c>
      <c r="X114">
        <v>1.05</v>
      </c>
      <c r="Y114">
        <v>0</v>
      </c>
      <c r="Z114">
        <v>31.26</v>
      </c>
      <c r="AA114">
        <v>13.5</v>
      </c>
      <c r="AB114">
        <v>0</v>
      </c>
      <c r="AC114">
        <v>0</v>
      </c>
      <c r="AD114">
        <v>1</v>
      </c>
      <c r="AE114">
        <v>0</v>
      </c>
      <c r="AF114" t="s">
        <v>143</v>
      </c>
      <c r="AG114">
        <v>1.3125</v>
      </c>
      <c r="AH114">
        <v>2</v>
      </c>
      <c r="AI114">
        <v>36128679</v>
      </c>
      <c r="AJ114">
        <v>115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ROW(Source!A88)</f>
        <v>88</v>
      </c>
      <c r="B115">
        <v>36128680</v>
      </c>
      <c r="C115">
        <v>36128652</v>
      </c>
      <c r="D115">
        <v>29173472</v>
      </c>
      <c r="E115">
        <v>1</v>
      </c>
      <c r="F115">
        <v>1</v>
      </c>
      <c r="G115">
        <v>1</v>
      </c>
      <c r="H115">
        <v>2</v>
      </c>
      <c r="I115" t="s">
        <v>503</v>
      </c>
      <c r="J115" t="s">
        <v>518</v>
      </c>
      <c r="K115" t="s">
        <v>505</v>
      </c>
      <c r="L115">
        <v>1368</v>
      </c>
      <c r="N115">
        <v>1011</v>
      </c>
      <c r="O115" t="s">
        <v>343</v>
      </c>
      <c r="P115" t="s">
        <v>343</v>
      </c>
      <c r="Q115">
        <v>1</v>
      </c>
      <c r="X115">
        <v>20.8</v>
      </c>
      <c r="Y115">
        <v>0</v>
      </c>
      <c r="Z115">
        <v>3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143</v>
      </c>
      <c r="AG115">
        <v>26</v>
      </c>
      <c r="AH115">
        <v>2</v>
      </c>
      <c r="AI115">
        <v>36128680</v>
      </c>
      <c r="AJ115">
        <v>116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ROW(Source!A88)</f>
        <v>88</v>
      </c>
      <c r="B116">
        <v>36128681</v>
      </c>
      <c r="C116">
        <v>36128652</v>
      </c>
      <c r="D116">
        <v>29174500</v>
      </c>
      <c r="E116">
        <v>1</v>
      </c>
      <c r="F116">
        <v>1</v>
      </c>
      <c r="G116">
        <v>1</v>
      </c>
      <c r="H116">
        <v>2</v>
      </c>
      <c r="I116" t="s">
        <v>485</v>
      </c>
      <c r="J116" t="s">
        <v>486</v>
      </c>
      <c r="K116" t="s">
        <v>487</v>
      </c>
      <c r="L116">
        <v>1368</v>
      </c>
      <c r="N116">
        <v>1011</v>
      </c>
      <c r="O116" t="s">
        <v>343</v>
      </c>
      <c r="P116" t="s">
        <v>343</v>
      </c>
      <c r="Q116">
        <v>1</v>
      </c>
      <c r="X116">
        <v>61.61</v>
      </c>
      <c r="Y116">
        <v>0</v>
      </c>
      <c r="Z116">
        <v>1.95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143</v>
      </c>
      <c r="AG116">
        <v>77.012500000000003</v>
      </c>
      <c r="AH116">
        <v>2</v>
      </c>
      <c r="AI116">
        <v>36128681</v>
      </c>
      <c r="AJ116">
        <v>117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ROW(Source!A88)</f>
        <v>88</v>
      </c>
      <c r="B117">
        <v>36128682</v>
      </c>
      <c r="C117">
        <v>36128652</v>
      </c>
      <c r="D117">
        <v>29174913</v>
      </c>
      <c r="E117">
        <v>1</v>
      </c>
      <c r="F117">
        <v>1</v>
      </c>
      <c r="G117">
        <v>1</v>
      </c>
      <c r="H117">
        <v>2</v>
      </c>
      <c r="I117" t="s">
        <v>375</v>
      </c>
      <c r="J117" t="s">
        <v>488</v>
      </c>
      <c r="K117" t="s">
        <v>377</v>
      </c>
      <c r="L117">
        <v>1368</v>
      </c>
      <c r="N117">
        <v>1011</v>
      </c>
      <c r="O117" t="s">
        <v>343</v>
      </c>
      <c r="P117" t="s">
        <v>343</v>
      </c>
      <c r="Q117">
        <v>1</v>
      </c>
      <c r="X117">
        <v>3.57</v>
      </c>
      <c r="Y117">
        <v>0</v>
      </c>
      <c r="Z117">
        <v>87.17</v>
      </c>
      <c r="AA117">
        <v>11.6</v>
      </c>
      <c r="AB117">
        <v>0</v>
      </c>
      <c r="AC117">
        <v>0</v>
      </c>
      <c r="AD117">
        <v>1</v>
      </c>
      <c r="AE117">
        <v>0</v>
      </c>
      <c r="AF117" t="s">
        <v>143</v>
      </c>
      <c r="AG117">
        <v>4.4624999999999995</v>
      </c>
      <c r="AH117">
        <v>2</v>
      </c>
      <c r="AI117">
        <v>36128682</v>
      </c>
      <c r="AJ117">
        <v>118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ROW(Source!A88)</f>
        <v>88</v>
      </c>
      <c r="B118">
        <v>36128683</v>
      </c>
      <c r="C118">
        <v>36128652</v>
      </c>
      <c r="D118">
        <v>29114699</v>
      </c>
      <c r="E118">
        <v>1</v>
      </c>
      <c r="F118">
        <v>1</v>
      </c>
      <c r="G118">
        <v>1</v>
      </c>
      <c r="H118">
        <v>3</v>
      </c>
      <c r="I118" t="s">
        <v>527</v>
      </c>
      <c r="J118" t="s">
        <v>528</v>
      </c>
      <c r="K118" t="s">
        <v>529</v>
      </c>
      <c r="L118">
        <v>1354</v>
      </c>
      <c r="N118">
        <v>1010</v>
      </c>
      <c r="O118" t="s">
        <v>23</v>
      </c>
      <c r="P118" t="s">
        <v>23</v>
      </c>
      <c r="Q118">
        <v>1</v>
      </c>
      <c r="X118">
        <v>652</v>
      </c>
      <c r="Y118">
        <v>0.05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652</v>
      </c>
      <c r="AH118">
        <v>2</v>
      </c>
      <c r="AI118">
        <v>36128683</v>
      </c>
      <c r="AJ118">
        <v>119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ROW(Source!A88)</f>
        <v>88</v>
      </c>
      <c r="B119">
        <v>36128684</v>
      </c>
      <c r="C119">
        <v>36128652</v>
      </c>
      <c r="D119">
        <v>29108696</v>
      </c>
      <c r="E119">
        <v>1</v>
      </c>
      <c r="F119">
        <v>1</v>
      </c>
      <c r="G119">
        <v>1</v>
      </c>
      <c r="H119">
        <v>3</v>
      </c>
      <c r="I119" t="s">
        <v>530</v>
      </c>
      <c r="J119" t="s">
        <v>531</v>
      </c>
      <c r="K119" t="s">
        <v>532</v>
      </c>
      <c r="L119">
        <v>1354</v>
      </c>
      <c r="N119">
        <v>1010</v>
      </c>
      <c r="O119" t="s">
        <v>23</v>
      </c>
      <c r="P119" t="s">
        <v>23</v>
      </c>
      <c r="Q119">
        <v>1</v>
      </c>
      <c r="X119">
        <v>68</v>
      </c>
      <c r="Y119">
        <v>67.209999999999994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68</v>
      </c>
      <c r="AH119">
        <v>2</v>
      </c>
      <c r="AI119">
        <v>36128684</v>
      </c>
      <c r="AJ119">
        <v>120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ROW(Source!A88)</f>
        <v>88</v>
      </c>
      <c r="B120">
        <v>36128685</v>
      </c>
      <c r="C120">
        <v>36128652</v>
      </c>
      <c r="D120">
        <v>29115197</v>
      </c>
      <c r="E120">
        <v>1</v>
      </c>
      <c r="F120">
        <v>1</v>
      </c>
      <c r="G120">
        <v>1</v>
      </c>
      <c r="H120">
        <v>3</v>
      </c>
      <c r="I120" t="s">
        <v>533</v>
      </c>
      <c r="J120" t="s">
        <v>534</v>
      </c>
      <c r="K120" t="s">
        <v>535</v>
      </c>
      <c r="L120">
        <v>1354</v>
      </c>
      <c r="N120">
        <v>1010</v>
      </c>
      <c r="O120" t="s">
        <v>23</v>
      </c>
      <c r="P120" t="s">
        <v>23</v>
      </c>
      <c r="Q120">
        <v>1</v>
      </c>
      <c r="X120">
        <v>800</v>
      </c>
      <c r="Y120">
        <v>0.5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800</v>
      </c>
      <c r="AH120">
        <v>2</v>
      </c>
      <c r="AI120">
        <v>36128685</v>
      </c>
      <c r="AJ120">
        <v>121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ROW(Source!A88)</f>
        <v>88</v>
      </c>
      <c r="B121">
        <v>36128686</v>
      </c>
      <c r="C121">
        <v>36128652</v>
      </c>
      <c r="D121">
        <v>29130491</v>
      </c>
      <c r="E121">
        <v>1</v>
      </c>
      <c r="F121">
        <v>1</v>
      </c>
      <c r="G121">
        <v>1</v>
      </c>
      <c r="H121">
        <v>3</v>
      </c>
      <c r="I121" t="s">
        <v>209</v>
      </c>
      <c r="J121" t="s">
        <v>212</v>
      </c>
      <c r="K121" t="s">
        <v>210</v>
      </c>
      <c r="L121">
        <v>1327</v>
      </c>
      <c r="N121">
        <v>1005</v>
      </c>
      <c r="O121" t="s">
        <v>211</v>
      </c>
      <c r="P121" t="s">
        <v>211</v>
      </c>
      <c r="Q121">
        <v>1</v>
      </c>
      <c r="X121">
        <v>100</v>
      </c>
      <c r="Y121">
        <v>1533.73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100</v>
      </c>
      <c r="AH121">
        <v>2</v>
      </c>
      <c r="AI121">
        <v>36128686</v>
      </c>
      <c r="AJ121">
        <v>122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ROW(Source!A91)</f>
        <v>91</v>
      </c>
      <c r="B122">
        <v>35688923</v>
      </c>
      <c r="C122">
        <v>35683864</v>
      </c>
      <c r="D122">
        <v>18410244</v>
      </c>
      <c r="E122">
        <v>1</v>
      </c>
      <c r="F122">
        <v>1</v>
      </c>
      <c r="G122">
        <v>1</v>
      </c>
      <c r="H122">
        <v>1</v>
      </c>
      <c r="I122" t="s">
        <v>536</v>
      </c>
      <c r="J122" t="s">
        <v>3</v>
      </c>
      <c r="K122" t="s">
        <v>537</v>
      </c>
      <c r="L122">
        <v>1369</v>
      </c>
      <c r="N122">
        <v>1013</v>
      </c>
      <c r="O122" t="s">
        <v>339</v>
      </c>
      <c r="P122" t="s">
        <v>339</v>
      </c>
      <c r="Q122">
        <v>1</v>
      </c>
      <c r="X122">
        <v>204.06</v>
      </c>
      <c r="Y122">
        <v>0</v>
      </c>
      <c r="Z122">
        <v>0</v>
      </c>
      <c r="AA122">
        <v>0</v>
      </c>
      <c r="AB122">
        <v>303.32</v>
      </c>
      <c r="AC122">
        <v>0</v>
      </c>
      <c r="AD122">
        <v>1</v>
      </c>
      <c r="AE122">
        <v>1</v>
      </c>
      <c r="AF122" t="s">
        <v>144</v>
      </c>
      <c r="AG122">
        <v>234.66899999999998</v>
      </c>
      <c r="AH122">
        <v>2</v>
      </c>
      <c r="AI122">
        <v>35688923</v>
      </c>
      <c r="AJ122">
        <v>124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ROW(Source!A91)</f>
        <v>91</v>
      </c>
      <c r="B123">
        <v>35688924</v>
      </c>
      <c r="C123">
        <v>35683864</v>
      </c>
      <c r="D123">
        <v>121548</v>
      </c>
      <c r="E123">
        <v>1</v>
      </c>
      <c r="F123">
        <v>1</v>
      </c>
      <c r="G123">
        <v>1</v>
      </c>
      <c r="H123">
        <v>1</v>
      </c>
      <c r="I123" t="s">
        <v>15</v>
      </c>
      <c r="J123" t="s">
        <v>3</v>
      </c>
      <c r="K123" t="s">
        <v>355</v>
      </c>
      <c r="L123">
        <v>608254</v>
      </c>
      <c r="N123">
        <v>1013</v>
      </c>
      <c r="O123" t="s">
        <v>356</v>
      </c>
      <c r="P123" t="s">
        <v>356</v>
      </c>
      <c r="Q123">
        <v>1</v>
      </c>
      <c r="X123">
        <v>2.06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2</v>
      </c>
      <c r="AF123" t="s">
        <v>143</v>
      </c>
      <c r="AG123">
        <v>2.5750000000000002</v>
      </c>
      <c r="AH123">
        <v>2</v>
      </c>
      <c r="AI123">
        <v>35688924</v>
      </c>
      <c r="AJ123">
        <v>125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ROW(Source!A91)</f>
        <v>91</v>
      </c>
      <c r="B124">
        <v>35688925</v>
      </c>
      <c r="C124">
        <v>35683864</v>
      </c>
      <c r="D124">
        <v>29172556</v>
      </c>
      <c r="E124">
        <v>1</v>
      </c>
      <c r="F124">
        <v>1</v>
      </c>
      <c r="G124">
        <v>1</v>
      </c>
      <c r="H124">
        <v>2</v>
      </c>
      <c r="I124" t="s">
        <v>357</v>
      </c>
      <c r="J124" t="s">
        <v>358</v>
      </c>
      <c r="K124" t="s">
        <v>359</v>
      </c>
      <c r="L124">
        <v>1368</v>
      </c>
      <c r="N124">
        <v>1011</v>
      </c>
      <c r="O124" t="s">
        <v>343</v>
      </c>
      <c r="P124" t="s">
        <v>343</v>
      </c>
      <c r="Q124">
        <v>1</v>
      </c>
      <c r="X124">
        <v>2.06</v>
      </c>
      <c r="Y124">
        <v>0</v>
      </c>
      <c r="Z124">
        <v>31.26</v>
      </c>
      <c r="AA124">
        <v>13.5</v>
      </c>
      <c r="AB124">
        <v>0</v>
      </c>
      <c r="AC124">
        <v>0</v>
      </c>
      <c r="AD124">
        <v>1</v>
      </c>
      <c r="AE124">
        <v>0</v>
      </c>
      <c r="AF124" t="s">
        <v>143</v>
      </c>
      <c r="AG124">
        <v>2.5750000000000002</v>
      </c>
      <c r="AH124">
        <v>2</v>
      </c>
      <c r="AI124">
        <v>35688925</v>
      </c>
      <c r="AJ124">
        <v>126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ROW(Source!A91)</f>
        <v>91</v>
      </c>
      <c r="B125">
        <v>35688926</v>
      </c>
      <c r="C125">
        <v>35683864</v>
      </c>
      <c r="D125">
        <v>29145213</v>
      </c>
      <c r="E125">
        <v>1</v>
      </c>
      <c r="F125">
        <v>1</v>
      </c>
      <c r="G125">
        <v>1</v>
      </c>
      <c r="H125">
        <v>3</v>
      </c>
      <c r="I125" t="s">
        <v>538</v>
      </c>
      <c r="J125" t="s">
        <v>539</v>
      </c>
      <c r="K125" t="s">
        <v>540</v>
      </c>
      <c r="L125">
        <v>1339</v>
      </c>
      <c r="N125">
        <v>1007</v>
      </c>
      <c r="O125" t="s">
        <v>350</v>
      </c>
      <c r="P125" t="s">
        <v>350</v>
      </c>
      <c r="Q125">
        <v>1</v>
      </c>
      <c r="X125">
        <v>0.1</v>
      </c>
      <c r="Y125">
        <v>517.89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0.1</v>
      </c>
      <c r="AH125">
        <v>2</v>
      </c>
      <c r="AI125">
        <v>35688926</v>
      </c>
      <c r="AJ125">
        <v>127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ROW(Source!A91)</f>
        <v>91</v>
      </c>
      <c r="B126">
        <v>35688927</v>
      </c>
      <c r="C126">
        <v>35683864</v>
      </c>
      <c r="D126">
        <v>29145216</v>
      </c>
      <c r="E126">
        <v>1</v>
      </c>
      <c r="F126">
        <v>1</v>
      </c>
      <c r="G126">
        <v>1</v>
      </c>
      <c r="H126">
        <v>3</v>
      </c>
      <c r="I126" t="s">
        <v>541</v>
      </c>
      <c r="J126" t="s">
        <v>542</v>
      </c>
      <c r="K126" t="s">
        <v>543</v>
      </c>
      <c r="L126">
        <v>1339</v>
      </c>
      <c r="N126">
        <v>1007</v>
      </c>
      <c r="O126" t="s">
        <v>350</v>
      </c>
      <c r="P126" t="s">
        <v>350</v>
      </c>
      <c r="Q126">
        <v>1</v>
      </c>
      <c r="X126">
        <v>4.3</v>
      </c>
      <c r="Y126">
        <v>477.5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4.3</v>
      </c>
      <c r="AH126">
        <v>2</v>
      </c>
      <c r="AI126">
        <v>35688927</v>
      </c>
      <c r="AJ126">
        <v>128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ROW(Source!A92)</f>
        <v>92</v>
      </c>
      <c r="B127">
        <v>35688906</v>
      </c>
      <c r="C127">
        <v>35688905</v>
      </c>
      <c r="D127">
        <v>18410572</v>
      </c>
      <c r="E127">
        <v>1</v>
      </c>
      <c r="F127">
        <v>1</v>
      </c>
      <c r="G127">
        <v>1</v>
      </c>
      <c r="H127">
        <v>1</v>
      </c>
      <c r="I127" t="s">
        <v>384</v>
      </c>
      <c r="J127" t="s">
        <v>3</v>
      </c>
      <c r="K127" t="s">
        <v>385</v>
      </c>
      <c r="L127">
        <v>1369</v>
      </c>
      <c r="N127">
        <v>1013</v>
      </c>
      <c r="O127" t="s">
        <v>339</v>
      </c>
      <c r="P127" t="s">
        <v>339</v>
      </c>
      <c r="Q127">
        <v>1</v>
      </c>
      <c r="X127">
        <v>43.56</v>
      </c>
      <c r="Y127">
        <v>0</v>
      </c>
      <c r="Z127">
        <v>0</v>
      </c>
      <c r="AA127">
        <v>0</v>
      </c>
      <c r="AB127">
        <v>285.36</v>
      </c>
      <c r="AC127">
        <v>0</v>
      </c>
      <c r="AD127">
        <v>1</v>
      </c>
      <c r="AE127">
        <v>1</v>
      </c>
      <c r="AF127" t="s">
        <v>144</v>
      </c>
      <c r="AG127">
        <v>50.094000000000001</v>
      </c>
      <c r="AH127">
        <v>2</v>
      </c>
      <c r="AI127">
        <v>35688906</v>
      </c>
      <c r="AJ127">
        <v>129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ROW(Source!A92)</f>
        <v>92</v>
      </c>
      <c r="B128">
        <v>35688907</v>
      </c>
      <c r="C128">
        <v>35688905</v>
      </c>
      <c r="D128">
        <v>121548</v>
      </c>
      <c r="E128">
        <v>1</v>
      </c>
      <c r="F128">
        <v>1</v>
      </c>
      <c r="G128">
        <v>1</v>
      </c>
      <c r="H128">
        <v>1</v>
      </c>
      <c r="I128" t="s">
        <v>15</v>
      </c>
      <c r="J128" t="s">
        <v>3</v>
      </c>
      <c r="K128" t="s">
        <v>355</v>
      </c>
      <c r="L128">
        <v>608254</v>
      </c>
      <c r="N128">
        <v>1013</v>
      </c>
      <c r="O128" t="s">
        <v>356</v>
      </c>
      <c r="P128" t="s">
        <v>356</v>
      </c>
      <c r="Q128">
        <v>1</v>
      </c>
      <c r="X128">
        <v>0.02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2</v>
      </c>
      <c r="AF128" t="s">
        <v>143</v>
      </c>
      <c r="AG128">
        <v>2.5000000000000001E-2</v>
      </c>
      <c r="AH128">
        <v>2</v>
      </c>
      <c r="AI128">
        <v>35688907</v>
      </c>
      <c r="AJ128">
        <v>130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ROW(Source!A92)</f>
        <v>92</v>
      </c>
      <c r="B129">
        <v>35688908</v>
      </c>
      <c r="C129">
        <v>35688905</v>
      </c>
      <c r="D129">
        <v>29172554</v>
      </c>
      <c r="E129">
        <v>1</v>
      </c>
      <c r="F129">
        <v>1</v>
      </c>
      <c r="G129">
        <v>1</v>
      </c>
      <c r="H129">
        <v>2</v>
      </c>
      <c r="I129" t="s">
        <v>544</v>
      </c>
      <c r="J129" t="s">
        <v>545</v>
      </c>
      <c r="K129" t="s">
        <v>546</v>
      </c>
      <c r="L129">
        <v>1368</v>
      </c>
      <c r="N129">
        <v>1011</v>
      </c>
      <c r="O129" t="s">
        <v>343</v>
      </c>
      <c r="P129" t="s">
        <v>343</v>
      </c>
      <c r="Q129">
        <v>1</v>
      </c>
      <c r="X129">
        <v>0.02</v>
      </c>
      <c r="Y129">
        <v>0</v>
      </c>
      <c r="Z129">
        <v>27.66</v>
      </c>
      <c r="AA129">
        <v>11.6</v>
      </c>
      <c r="AB129">
        <v>0</v>
      </c>
      <c r="AC129">
        <v>0</v>
      </c>
      <c r="AD129">
        <v>1</v>
      </c>
      <c r="AE129">
        <v>0</v>
      </c>
      <c r="AF129" t="s">
        <v>143</v>
      </c>
      <c r="AG129">
        <v>2.5000000000000001E-2</v>
      </c>
      <c r="AH129">
        <v>2</v>
      </c>
      <c r="AI129">
        <v>35688908</v>
      </c>
      <c r="AJ129">
        <v>131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ROW(Source!A92)</f>
        <v>92</v>
      </c>
      <c r="B130">
        <v>35688909</v>
      </c>
      <c r="C130">
        <v>35688905</v>
      </c>
      <c r="D130">
        <v>29174913</v>
      </c>
      <c r="E130">
        <v>1</v>
      </c>
      <c r="F130">
        <v>1</v>
      </c>
      <c r="G130">
        <v>1</v>
      </c>
      <c r="H130">
        <v>2</v>
      </c>
      <c r="I130" t="s">
        <v>375</v>
      </c>
      <c r="J130" t="s">
        <v>488</v>
      </c>
      <c r="K130" t="s">
        <v>377</v>
      </c>
      <c r="L130">
        <v>1368</v>
      </c>
      <c r="N130">
        <v>1011</v>
      </c>
      <c r="O130" t="s">
        <v>343</v>
      </c>
      <c r="P130" t="s">
        <v>343</v>
      </c>
      <c r="Q130">
        <v>1</v>
      </c>
      <c r="X130">
        <v>0.15</v>
      </c>
      <c r="Y130">
        <v>0</v>
      </c>
      <c r="Z130">
        <v>87.17</v>
      </c>
      <c r="AA130">
        <v>11.6</v>
      </c>
      <c r="AB130">
        <v>0</v>
      </c>
      <c r="AC130">
        <v>0</v>
      </c>
      <c r="AD130">
        <v>1</v>
      </c>
      <c r="AE130">
        <v>0</v>
      </c>
      <c r="AF130" t="s">
        <v>143</v>
      </c>
      <c r="AG130">
        <v>0.1875</v>
      </c>
      <c r="AH130">
        <v>2</v>
      </c>
      <c r="AI130">
        <v>35688909</v>
      </c>
      <c r="AJ130">
        <v>132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ROW(Source!A92)</f>
        <v>92</v>
      </c>
      <c r="B131">
        <v>35688910</v>
      </c>
      <c r="C131">
        <v>35688905</v>
      </c>
      <c r="D131">
        <v>29107779</v>
      </c>
      <c r="E131">
        <v>1</v>
      </c>
      <c r="F131">
        <v>1</v>
      </c>
      <c r="G131">
        <v>1</v>
      </c>
      <c r="H131">
        <v>3</v>
      </c>
      <c r="I131" t="s">
        <v>547</v>
      </c>
      <c r="J131" t="s">
        <v>548</v>
      </c>
      <c r="K131" t="s">
        <v>549</v>
      </c>
      <c r="L131">
        <v>1327</v>
      </c>
      <c r="N131">
        <v>1005</v>
      </c>
      <c r="O131" t="s">
        <v>211</v>
      </c>
      <c r="P131" t="s">
        <v>211</v>
      </c>
      <c r="Q131">
        <v>1</v>
      </c>
      <c r="X131">
        <v>0.84</v>
      </c>
      <c r="Y131">
        <v>72.31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0.84</v>
      </c>
      <c r="AH131">
        <v>2</v>
      </c>
      <c r="AI131">
        <v>35688910</v>
      </c>
      <c r="AJ131">
        <v>133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ROW(Source!A92)</f>
        <v>92</v>
      </c>
      <c r="B132">
        <v>35688911</v>
      </c>
      <c r="C132">
        <v>35688905</v>
      </c>
      <c r="D132">
        <v>29107800</v>
      </c>
      <c r="E132">
        <v>1</v>
      </c>
      <c r="F132">
        <v>1</v>
      </c>
      <c r="G132">
        <v>1</v>
      </c>
      <c r="H132">
        <v>3</v>
      </c>
      <c r="I132" t="s">
        <v>550</v>
      </c>
      <c r="J132" t="s">
        <v>551</v>
      </c>
      <c r="K132" t="s">
        <v>552</v>
      </c>
      <c r="L132">
        <v>1346</v>
      </c>
      <c r="N132">
        <v>1009</v>
      </c>
      <c r="O132" t="s">
        <v>425</v>
      </c>
      <c r="P132" t="s">
        <v>425</v>
      </c>
      <c r="Q132">
        <v>1</v>
      </c>
      <c r="X132">
        <v>0.31</v>
      </c>
      <c r="Y132">
        <v>1.81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0.31</v>
      </c>
      <c r="AH132">
        <v>2</v>
      </c>
      <c r="AI132">
        <v>35688911</v>
      </c>
      <c r="AJ132">
        <v>134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ROW(Source!A92)</f>
        <v>92</v>
      </c>
      <c r="B133">
        <v>35688912</v>
      </c>
      <c r="C133">
        <v>35688905</v>
      </c>
      <c r="D133">
        <v>29110233</v>
      </c>
      <c r="E133">
        <v>1</v>
      </c>
      <c r="F133">
        <v>1</v>
      </c>
      <c r="G133">
        <v>1</v>
      </c>
      <c r="H133">
        <v>3</v>
      </c>
      <c r="I133" t="s">
        <v>553</v>
      </c>
      <c r="J133" t="s">
        <v>554</v>
      </c>
      <c r="K133" t="s">
        <v>555</v>
      </c>
      <c r="L133">
        <v>1348</v>
      </c>
      <c r="N133">
        <v>1009</v>
      </c>
      <c r="O133" t="s">
        <v>43</v>
      </c>
      <c r="P133" t="s">
        <v>43</v>
      </c>
      <c r="Q133">
        <v>1000</v>
      </c>
      <c r="X133">
        <v>0.03</v>
      </c>
      <c r="Y133">
        <v>4615.9399999999996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0.03</v>
      </c>
      <c r="AH133">
        <v>2</v>
      </c>
      <c r="AI133">
        <v>35688912</v>
      </c>
      <c r="AJ133">
        <v>135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ROW(Source!A92)</f>
        <v>92</v>
      </c>
      <c r="B134">
        <v>35688913</v>
      </c>
      <c r="C134">
        <v>35688905</v>
      </c>
      <c r="D134">
        <v>29109784</v>
      </c>
      <c r="E134">
        <v>1</v>
      </c>
      <c r="F134">
        <v>1</v>
      </c>
      <c r="G134">
        <v>1</v>
      </c>
      <c r="H134">
        <v>3</v>
      </c>
      <c r="I134" t="s">
        <v>556</v>
      </c>
      <c r="J134" t="s">
        <v>557</v>
      </c>
      <c r="K134" t="s">
        <v>558</v>
      </c>
      <c r="L134">
        <v>1348</v>
      </c>
      <c r="N134">
        <v>1009</v>
      </c>
      <c r="O134" t="s">
        <v>43</v>
      </c>
      <c r="P134" t="s">
        <v>43</v>
      </c>
      <c r="Q134">
        <v>1000</v>
      </c>
      <c r="X134">
        <v>5.0999999999999997E-2</v>
      </c>
      <c r="Y134">
        <v>11927.49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5.0999999999999997E-2</v>
      </c>
      <c r="AH134">
        <v>2</v>
      </c>
      <c r="AI134">
        <v>35688913</v>
      </c>
      <c r="AJ134">
        <v>136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ROW(Source!A92)</f>
        <v>92</v>
      </c>
      <c r="B135">
        <v>35688914</v>
      </c>
      <c r="C135">
        <v>35688905</v>
      </c>
      <c r="D135">
        <v>29109298</v>
      </c>
      <c r="E135">
        <v>1</v>
      </c>
      <c r="F135">
        <v>1</v>
      </c>
      <c r="G135">
        <v>1</v>
      </c>
      <c r="H135">
        <v>3</v>
      </c>
      <c r="I135" t="s">
        <v>559</v>
      </c>
      <c r="J135" t="s">
        <v>560</v>
      </c>
      <c r="K135" t="s">
        <v>561</v>
      </c>
      <c r="L135">
        <v>1346</v>
      </c>
      <c r="N135">
        <v>1009</v>
      </c>
      <c r="O135" t="s">
        <v>425</v>
      </c>
      <c r="P135" t="s">
        <v>425</v>
      </c>
      <c r="Q135">
        <v>1</v>
      </c>
      <c r="X135">
        <v>20</v>
      </c>
      <c r="Y135">
        <v>15.26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20</v>
      </c>
      <c r="AH135">
        <v>2</v>
      </c>
      <c r="AI135">
        <v>35688914</v>
      </c>
      <c r="AJ135">
        <v>137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ROW(Source!A93)</f>
        <v>93</v>
      </c>
      <c r="B136">
        <v>35687370</v>
      </c>
      <c r="C136">
        <v>35687369</v>
      </c>
      <c r="D136">
        <v>18411771</v>
      </c>
      <c r="E136">
        <v>1</v>
      </c>
      <c r="F136">
        <v>1</v>
      </c>
      <c r="G136">
        <v>1</v>
      </c>
      <c r="H136">
        <v>1</v>
      </c>
      <c r="I136" t="s">
        <v>360</v>
      </c>
      <c r="J136" t="s">
        <v>3</v>
      </c>
      <c r="K136" t="s">
        <v>361</v>
      </c>
      <c r="L136">
        <v>1369</v>
      </c>
      <c r="N136">
        <v>1013</v>
      </c>
      <c r="O136" t="s">
        <v>339</v>
      </c>
      <c r="P136" t="s">
        <v>339</v>
      </c>
      <c r="Q136">
        <v>1</v>
      </c>
      <c r="X136">
        <v>39.51</v>
      </c>
      <c r="Y136">
        <v>0</v>
      </c>
      <c r="Z136">
        <v>0</v>
      </c>
      <c r="AA136">
        <v>0</v>
      </c>
      <c r="AB136">
        <v>259.24</v>
      </c>
      <c r="AC136">
        <v>0</v>
      </c>
      <c r="AD136">
        <v>1</v>
      </c>
      <c r="AE136">
        <v>1</v>
      </c>
      <c r="AF136" t="s">
        <v>144</v>
      </c>
      <c r="AG136">
        <v>45.436499999999995</v>
      </c>
      <c r="AH136">
        <v>2</v>
      </c>
      <c r="AI136">
        <v>35687370</v>
      </c>
      <c r="AJ136">
        <v>138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ROW(Source!A93)</f>
        <v>93</v>
      </c>
      <c r="B137">
        <v>35687371</v>
      </c>
      <c r="C137">
        <v>35687369</v>
      </c>
      <c r="D137">
        <v>121548</v>
      </c>
      <c r="E137">
        <v>1</v>
      </c>
      <c r="F137">
        <v>1</v>
      </c>
      <c r="G137">
        <v>1</v>
      </c>
      <c r="H137">
        <v>1</v>
      </c>
      <c r="I137" t="s">
        <v>15</v>
      </c>
      <c r="J137" t="s">
        <v>3</v>
      </c>
      <c r="K137" t="s">
        <v>355</v>
      </c>
      <c r="L137">
        <v>608254</v>
      </c>
      <c r="N137">
        <v>1013</v>
      </c>
      <c r="O137" t="s">
        <v>356</v>
      </c>
      <c r="P137" t="s">
        <v>356</v>
      </c>
      <c r="Q137">
        <v>1</v>
      </c>
      <c r="X137">
        <v>1.27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2</v>
      </c>
      <c r="AF137" t="s">
        <v>143</v>
      </c>
      <c r="AG137">
        <v>1.5874999999999999</v>
      </c>
      <c r="AH137">
        <v>2</v>
      </c>
      <c r="AI137">
        <v>35687371</v>
      </c>
      <c r="AJ137">
        <v>139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ROW(Source!A93)</f>
        <v>93</v>
      </c>
      <c r="B138">
        <v>35687372</v>
      </c>
      <c r="C138">
        <v>35687369</v>
      </c>
      <c r="D138">
        <v>29172556</v>
      </c>
      <c r="E138">
        <v>1</v>
      </c>
      <c r="F138">
        <v>1</v>
      </c>
      <c r="G138">
        <v>1</v>
      </c>
      <c r="H138">
        <v>2</v>
      </c>
      <c r="I138" t="s">
        <v>357</v>
      </c>
      <c r="J138" t="s">
        <v>358</v>
      </c>
      <c r="K138" t="s">
        <v>359</v>
      </c>
      <c r="L138">
        <v>1368</v>
      </c>
      <c r="N138">
        <v>1011</v>
      </c>
      <c r="O138" t="s">
        <v>343</v>
      </c>
      <c r="P138" t="s">
        <v>343</v>
      </c>
      <c r="Q138">
        <v>1</v>
      </c>
      <c r="X138">
        <v>1.27</v>
      </c>
      <c r="Y138">
        <v>0</v>
      </c>
      <c r="Z138">
        <v>31.26</v>
      </c>
      <c r="AA138">
        <v>13.5</v>
      </c>
      <c r="AB138">
        <v>0</v>
      </c>
      <c r="AC138">
        <v>0</v>
      </c>
      <c r="AD138">
        <v>1</v>
      </c>
      <c r="AE138">
        <v>0</v>
      </c>
      <c r="AF138" t="s">
        <v>143</v>
      </c>
      <c r="AG138">
        <v>1.5874999999999999</v>
      </c>
      <c r="AH138">
        <v>2</v>
      </c>
      <c r="AI138">
        <v>35687372</v>
      </c>
      <c r="AJ138">
        <v>140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ROW(Source!A93)</f>
        <v>93</v>
      </c>
      <c r="B139">
        <v>35687373</v>
      </c>
      <c r="C139">
        <v>35687369</v>
      </c>
      <c r="D139">
        <v>29173152</v>
      </c>
      <c r="E139">
        <v>1</v>
      </c>
      <c r="F139">
        <v>1</v>
      </c>
      <c r="G139">
        <v>1</v>
      </c>
      <c r="H139">
        <v>2</v>
      </c>
      <c r="I139" t="s">
        <v>562</v>
      </c>
      <c r="J139" t="s">
        <v>563</v>
      </c>
      <c r="K139" t="s">
        <v>564</v>
      </c>
      <c r="L139">
        <v>1368</v>
      </c>
      <c r="N139">
        <v>1011</v>
      </c>
      <c r="O139" t="s">
        <v>343</v>
      </c>
      <c r="P139" t="s">
        <v>343</v>
      </c>
      <c r="Q139">
        <v>1</v>
      </c>
      <c r="X139">
        <v>9.07</v>
      </c>
      <c r="Y139">
        <v>0</v>
      </c>
      <c r="Z139">
        <v>0.5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143</v>
      </c>
      <c r="AG139">
        <v>11.3375</v>
      </c>
      <c r="AH139">
        <v>2</v>
      </c>
      <c r="AI139">
        <v>35687373</v>
      </c>
      <c r="AJ139">
        <v>141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ROW(Source!A93)</f>
        <v>93</v>
      </c>
      <c r="B140">
        <v>35687374</v>
      </c>
      <c r="C140">
        <v>35687369</v>
      </c>
      <c r="D140">
        <v>29145158</v>
      </c>
      <c r="E140">
        <v>1</v>
      </c>
      <c r="F140">
        <v>1</v>
      </c>
      <c r="G140">
        <v>1</v>
      </c>
      <c r="H140">
        <v>3</v>
      </c>
      <c r="I140" t="s">
        <v>565</v>
      </c>
      <c r="J140" t="s">
        <v>566</v>
      </c>
      <c r="K140" t="s">
        <v>567</v>
      </c>
      <c r="L140">
        <v>1339</v>
      </c>
      <c r="N140">
        <v>1007</v>
      </c>
      <c r="O140" t="s">
        <v>350</v>
      </c>
      <c r="P140" t="s">
        <v>350</v>
      </c>
      <c r="Q140">
        <v>1</v>
      </c>
      <c r="X140">
        <v>2.04</v>
      </c>
      <c r="Y140">
        <v>548.29999999999995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2.04</v>
      </c>
      <c r="AH140">
        <v>2</v>
      </c>
      <c r="AI140">
        <v>35687374</v>
      </c>
      <c r="AJ140">
        <v>142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ROW(Source!A93)</f>
        <v>93</v>
      </c>
      <c r="B141">
        <v>35687375</v>
      </c>
      <c r="C141">
        <v>35687369</v>
      </c>
      <c r="D141">
        <v>29150040</v>
      </c>
      <c r="E141">
        <v>1</v>
      </c>
      <c r="F141">
        <v>1</v>
      </c>
      <c r="G141">
        <v>1</v>
      </c>
      <c r="H141">
        <v>3</v>
      </c>
      <c r="I141" t="s">
        <v>347</v>
      </c>
      <c r="J141" t="s">
        <v>568</v>
      </c>
      <c r="K141" t="s">
        <v>349</v>
      </c>
      <c r="L141">
        <v>1339</v>
      </c>
      <c r="N141">
        <v>1007</v>
      </c>
      <c r="O141" t="s">
        <v>350</v>
      </c>
      <c r="P141" t="s">
        <v>350</v>
      </c>
      <c r="Q141">
        <v>1</v>
      </c>
      <c r="X141">
        <v>3.5</v>
      </c>
      <c r="Y141">
        <v>2.44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3.5</v>
      </c>
      <c r="AH141">
        <v>2</v>
      </c>
      <c r="AI141">
        <v>35687375</v>
      </c>
      <c r="AJ141">
        <v>143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ROW(Source!A94)</f>
        <v>94</v>
      </c>
      <c r="B142">
        <v>35687383</v>
      </c>
      <c r="C142">
        <v>35687376</v>
      </c>
      <c r="D142">
        <v>18411771</v>
      </c>
      <c r="E142">
        <v>1</v>
      </c>
      <c r="F142">
        <v>1</v>
      </c>
      <c r="G142">
        <v>1</v>
      </c>
      <c r="H142">
        <v>1</v>
      </c>
      <c r="I142" t="s">
        <v>360</v>
      </c>
      <c r="J142" t="s">
        <v>3</v>
      </c>
      <c r="K142" t="s">
        <v>361</v>
      </c>
      <c r="L142">
        <v>1369</v>
      </c>
      <c r="N142">
        <v>1013</v>
      </c>
      <c r="O142" t="s">
        <v>339</v>
      </c>
      <c r="P142" t="s">
        <v>339</v>
      </c>
      <c r="Q142">
        <v>1</v>
      </c>
      <c r="X142">
        <v>0.5</v>
      </c>
      <c r="Y142">
        <v>0</v>
      </c>
      <c r="Z142">
        <v>0</v>
      </c>
      <c r="AA142">
        <v>0</v>
      </c>
      <c r="AB142">
        <v>259.24</v>
      </c>
      <c r="AC142">
        <v>0</v>
      </c>
      <c r="AD142">
        <v>1</v>
      </c>
      <c r="AE142">
        <v>1</v>
      </c>
      <c r="AF142" t="s">
        <v>144</v>
      </c>
      <c r="AG142">
        <v>0.57499999999999996</v>
      </c>
      <c r="AH142">
        <v>2</v>
      </c>
      <c r="AI142">
        <v>35687383</v>
      </c>
      <c r="AJ142">
        <v>144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ROW(Source!A94)</f>
        <v>94</v>
      </c>
      <c r="B143">
        <v>35687384</v>
      </c>
      <c r="C143">
        <v>35687376</v>
      </c>
      <c r="D143">
        <v>121548</v>
      </c>
      <c r="E143">
        <v>1</v>
      </c>
      <c r="F143">
        <v>1</v>
      </c>
      <c r="G143">
        <v>1</v>
      </c>
      <c r="H143">
        <v>1</v>
      </c>
      <c r="I143" t="s">
        <v>15</v>
      </c>
      <c r="J143" t="s">
        <v>3</v>
      </c>
      <c r="K143" t="s">
        <v>355</v>
      </c>
      <c r="L143">
        <v>608254</v>
      </c>
      <c r="N143">
        <v>1013</v>
      </c>
      <c r="O143" t="s">
        <v>356</v>
      </c>
      <c r="P143" t="s">
        <v>356</v>
      </c>
      <c r="Q143">
        <v>1</v>
      </c>
      <c r="X143">
        <v>0.21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2</v>
      </c>
      <c r="AF143" t="s">
        <v>143</v>
      </c>
      <c r="AG143">
        <v>0.26250000000000001</v>
      </c>
      <c r="AH143">
        <v>2</v>
      </c>
      <c r="AI143">
        <v>35687384</v>
      </c>
      <c r="AJ143">
        <v>145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ROW(Source!A94)</f>
        <v>94</v>
      </c>
      <c r="B144">
        <v>35687385</v>
      </c>
      <c r="C144">
        <v>35687376</v>
      </c>
      <c r="D144">
        <v>29172556</v>
      </c>
      <c r="E144">
        <v>1</v>
      </c>
      <c r="F144">
        <v>1</v>
      </c>
      <c r="G144">
        <v>1</v>
      </c>
      <c r="H144">
        <v>2</v>
      </c>
      <c r="I144" t="s">
        <v>357</v>
      </c>
      <c r="J144" t="s">
        <v>358</v>
      </c>
      <c r="K144" t="s">
        <v>359</v>
      </c>
      <c r="L144">
        <v>1368</v>
      </c>
      <c r="N144">
        <v>1011</v>
      </c>
      <c r="O144" t="s">
        <v>343</v>
      </c>
      <c r="P144" t="s">
        <v>343</v>
      </c>
      <c r="Q144">
        <v>1</v>
      </c>
      <c r="X144">
        <v>0.21</v>
      </c>
      <c r="Y144">
        <v>0</v>
      </c>
      <c r="Z144">
        <v>31.26</v>
      </c>
      <c r="AA144">
        <v>13.5</v>
      </c>
      <c r="AB144">
        <v>0</v>
      </c>
      <c r="AC144">
        <v>0</v>
      </c>
      <c r="AD144">
        <v>1</v>
      </c>
      <c r="AE144">
        <v>0</v>
      </c>
      <c r="AF144" t="s">
        <v>143</v>
      </c>
      <c r="AG144">
        <v>0.26250000000000001</v>
      </c>
      <c r="AH144">
        <v>2</v>
      </c>
      <c r="AI144">
        <v>35687385</v>
      </c>
      <c r="AJ144">
        <v>146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ROW(Source!A94)</f>
        <v>94</v>
      </c>
      <c r="B145">
        <v>35687386</v>
      </c>
      <c r="C145">
        <v>35687376</v>
      </c>
      <c r="D145">
        <v>29173152</v>
      </c>
      <c r="E145">
        <v>1</v>
      </c>
      <c r="F145">
        <v>1</v>
      </c>
      <c r="G145">
        <v>1</v>
      </c>
      <c r="H145">
        <v>2</v>
      </c>
      <c r="I145" t="s">
        <v>562</v>
      </c>
      <c r="J145" t="s">
        <v>563</v>
      </c>
      <c r="K145" t="s">
        <v>564</v>
      </c>
      <c r="L145">
        <v>1368</v>
      </c>
      <c r="N145">
        <v>1011</v>
      </c>
      <c r="O145" t="s">
        <v>343</v>
      </c>
      <c r="P145" t="s">
        <v>343</v>
      </c>
      <c r="Q145">
        <v>1</v>
      </c>
      <c r="X145">
        <v>2.3199999999999998</v>
      </c>
      <c r="Y145">
        <v>0</v>
      </c>
      <c r="Z145">
        <v>0.5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143</v>
      </c>
      <c r="AG145">
        <v>2.9</v>
      </c>
      <c r="AH145">
        <v>2</v>
      </c>
      <c r="AI145">
        <v>35687386</v>
      </c>
      <c r="AJ145">
        <v>147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ROW(Source!A94)</f>
        <v>94</v>
      </c>
      <c r="B146">
        <v>35687387</v>
      </c>
      <c r="C146">
        <v>35687376</v>
      </c>
      <c r="D146">
        <v>29145158</v>
      </c>
      <c r="E146">
        <v>1</v>
      </c>
      <c r="F146">
        <v>1</v>
      </c>
      <c r="G146">
        <v>1</v>
      </c>
      <c r="H146">
        <v>3</v>
      </c>
      <c r="I146" t="s">
        <v>565</v>
      </c>
      <c r="J146" t="s">
        <v>566</v>
      </c>
      <c r="K146" t="s">
        <v>567</v>
      </c>
      <c r="L146">
        <v>1339</v>
      </c>
      <c r="N146">
        <v>1007</v>
      </c>
      <c r="O146" t="s">
        <v>350</v>
      </c>
      <c r="P146" t="s">
        <v>350</v>
      </c>
      <c r="Q146">
        <v>1</v>
      </c>
      <c r="X146">
        <v>0.51</v>
      </c>
      <c r="Y146">
        <v>548.29999999999995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0.51</v>
      </c>
      <c r="AH146">
        <v>2</v>
      </c>
      <c r="AI146">
        <v>35687387</v>
      </c>
      <c r="AJ146">
        <v>148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ROW(Source!A95)</f>
        <v>95</v>
      </c>
      <c r="B147">
        <v>35683928</v>
      </c>
      <c r="C147">
        <v>35683916</v>
      </c>
      <c r="D147">
        <v>18410572</v>
      </c>
      <c r="E147">
        <v>1</v>
      </c>
      <c r="F147">
        <v>1</v>
      </c>
      <c r="G147">
        <v>1</v>
      </c>
      <c r="H147">
        <v>1</v>
      </c>
      <c r="I147" t="s">
        <v>384</v>
      </c>
      <c r="J147" t="s">
        <v>3</v>
      </c>
      <c r="K147" t="s">
        <v>385</v>
      </c>
      <c r="L147">
        <v>1369</v>
      </c>
      <c r="N147">
        <v>1013</v>
      </c>
      <c r="O147" t="s">
        <v>339</v>
      </c>
      <c r="P147" t="s">
        <v>339</v>
      </c>
      <c r="Q147">
        <v>1</v>
      </c>
      <c r="X147">
        <v>310.42</v>
      </c>
      <c r="Y147">
        <v>0</v>
      </c>
      <c r="Z147">
        <v>0</v>
      </c>
      <c r="AA147">
        <v>0</v>
      </c>
      <c r="AB147">
        <v>261.76</v>
      </c>
      <c r="AC147">
        <v>0</v>
      </c>
      <c r="AD147">
        <v>1</v>
      </c>
      <c r="AE147">
        <v>1</v>
      </c>
      <c r="AF147" t="s">
        <v>144</v>
      </c>
      <c r="AG147">
        <v>356.983</v>
      </c>
      <c r="AH147">
        <v>2</v>
      </c>
      <c r="AI147">
        <v>35683917</v>
      </c>
      <c r="AJ147">
        <v>149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ROW(Source!A95)</f>
        <v>95</v>
      </c>
      <c r="B148">
        <v>35683929</v>
      </c>
      <c r="C148">
        <v>35683916</v>
      </c>
      <c r="D148">
        <v>121548</v>
      </c>
      <c r="E148">
        <v>1</v>
      </c>
      <c r="F148">
        <v>1</v>
      </c>
      <c r="G148">
        <v>1</v>
      </c>
      <c r="H148">
        <v>1</v>
      </c>
      <c r="I148" t="s">
        <v>15</v>
      </c>
      <c r="J148" t="s">
        <v>3</v>
      </c>
      <c r="K148" t="s">
        <v>355</v>
      </c>
      <c r="L148">
        <v>608254</v>
      </c>
      <c r="N148">
        <v>1013</v>
      </c>
      <c r="O148" t="s">
        <v>356</v>
      </c>
      <c r="P148" t="s">
        <v>356</v>
      </c>
      <c r="Q148">
        <v>1</v>
      </c>
      <c r="X148">
        <v>1.72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2</v>
      </c>
      <c r="AF148" t="s">
        <v>143</v>
      </c>
      <c r="AG148">
        <v>2.15</v>
      </c>
      <c r="AH148">
        <v>2</v>
      </c>
      <c r="AI148">
        <v>35683918</v>
      </c>
      <c r="AJ148">
        <v>150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ROW(Source!A95)</f>
        <v>95</v>
      </c>
      <c r="B149">
        <v>35683930</v>
      </c>
      <c r="C149">
        <v>35683916</v>
      </c>
      <c r="D149">
        <v>29172267</v>
      </c>
      <c r="E149">
        <v>1</v>
      </c>
      <c r="F149">
        <v>1</v>
      </c>
      <c r="G149">
        <v>1</v>
      </c>
      <c r="H149">
        <v>2</v>
      </c>
      <c r="I149" t="s">
        <v>569</v>
      </c>
      <c r="J149" t="s">
        <v>570</v>
      </c>
      <c r="K149" t="s">
        <v>571</v>
      </c>
      <c r="L149">
        <v>1368</v>
      </c>
      <c r="N149">
        <v>1011</v>
      </c>
      <c r="O149" t="s">
        <v>343</v>
      </c>
      <c r="P149" t="s">
        <v>343</v>
      </c>
      <c r="Q149">
        <v>1</v>
      </c>
      <c r="X149">
        <v>0.02</v>
      </c>
      <c r="Y149">
        <v>0</v>
      </c>
      <c r="Z149">
        <v>83.43</v>
      </c>
      <c r="AA149">
        <v>13.5</v>
      </c>
      <c r="AB149">
        <v>0</v>
      </c>
      <c r="AC149">
        <v>0</v>
      </c>
      <c r="AD149">
        <v>1</v>
      </c>
      <c r="AE149">
        <v>0</v>
      </c>
      <c r="AF149" t="s">
        <v>143</v>
      </c>
      <c r="AG149">
        <v>2.5000000000000001E-2</v>
      </c>
      <c r="AH149">
        <v>2</v>
      </c>
      <c r="AI149">
        <v>35683919</v>
      </c>
      <c r="AJ149">
        <v>151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ROW(Source!A95)</f>
        <v>95</v>
      </c>
      <c r="B150">
        <v>35683931</v>
      </c>
      <c r="C150">
        <v>35683916</v>
      </c>
      <c r="D150">
        <v>29172378</v>
      </c>
      <c r="E150">
        <v>1</v>
      </c>
      <c r="F150">
        <v>1</v>
      </c>
      <c r="G150">
        <v>1</v>
      </c>
      <c r="H150">
        <v>2</v>
      </c>
      <c r="I150" t="s">
        <v>572</v>
      </c>
      <c r="J150" t="s">
        <v>573</v>
      </c>
      <c r="K150" t="s">
        <v>574</v>
      </c>
      <c r="L150">
        <v>1368</v>
      </c>
      <c r="N150">
        <v>1011</v>
      </c>
      <c r="O150" t="s">
        <v>343</v>
      </c>
      <c r="P150" t="s">
        <v>343</v>
      </c>
      <c r="Q150">
        <v>1</v>
      </c>
      <c r="X150">
        <v>0.01</v>
      </c>
      <c r="Y150">
        <v>0</v>
      </c>
      <c r="Z150">
        <v>88.01</v>
      </c>
      <c r="AA150">
        <v>11.6</v>
      </c>
      <c r="AB150">
        <v>0</v>
      </c>
      <c r="AC150">
        <v>0</v>
      </c>
      <c r="AD150">
        <v>1</v>
      </c>
      <c r="AE150">
        <v>0</v>
      </c>
      <c r="AF150" t="s">
        <v>143</v>
      </c>
      <c r="AG150">
        <v>1.2500000000000001E-2</v>
      </c>
      <c r="AH150">
        <v>2</v>
      </c>
      <c r="AI150">
        <v>35683920</v>
      </c>
      <c r="AJ150">
        <v>152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ROW(Source!A95)</f>
        <v>95</v>
      </c>
      <c r="B151">
        <v>35683932</v>
      </c>
      <c r="C151">
        <v>35683916</v>
      </c>
      <c r="D151">
        <v>29173141</v>
      </c>
      <c r="E151">
        <v>1</v>
      </c>
      <c r="F151">
        <v>1</v>
      </c>
      <c r="G151">
        <v>1</v>
      </c>
      <c r="H151">
        <v>2</v>
      </c>
      <c r="I151" t="s">
        <v>575</v>
      </c>
      <c r="J151" t="s">
        <v>576</v>
      </c>
      <c r="K151" t="s">
        <v>577</v>
      </c>
      <c r="L151">
        <v>1368</v>
      </c>
      <c r="N151">
        <v>1011</v>
      </c>
      <c r="O151" t="s">
        <v>343</v>
      </c>
      <c r="P151" t="s">
        <v>343</v>
      </c>
      <c r="Q151">
        <v>1</v>
      </c>
      <c r="X151">
        <v>1.69</v>
      </c>
      <c r="Y151">
        <v>0</v>
      </c>
      <c r="Z151">
        <v>12.4</v>
      </c>
      <c r="AA151">
        <v>10.06</v>
      </c>
      <c r="AB151">
        <v>0</v>
      </c>
      <c r="AC151">
        <v>0</v>
      </c>
      <c r="AD151">
        <v>1</v>
      </c>
      <c r="AE151">
        <v>0</v>
      </c>
      <c r="AF151" t="s">
        <v>143</v>
      </c>
      <c r="AG151">
        <v>2.1124999999999998</v>
      </c>
      <c r="AH151">
        <v>2</v>
      </c>
      <c r="AI151">
        <v>35683921</v>
      </c>
      <c r="AJ151">
        <v>153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ROW(Source!A95)</f>
        <v>95</v>
      </c>
      <c r="B152">
        <v>35683933</v>
      </c>
      <c r="C152">
        <v>35683916</v>
      </c>
      <c r="D152">
        <v>29174638</v>
      </c>
      <c r="E152">
        <v>1</v>
      </c>
      <c r="F152">
        <v>1</v>
      </c>
      <c r="G152">
        <v>1</v>
      </c>
      <c r="H152">
        <v>2</v>
      </c>
      <c r="I152" t="s">
        <v>578</v>
      </c>
      <c r="J152" t="s">
        <v>579</v>
      </c>
      <c r="K152" t="s">
        <v>580</v>
      </c>
      <c r="L152">
        <v>1368</v>
      </c>
      <c r="N152">
        <v>1011</v>
      </c>
      <c r="O152" t="s">
        <v>343</v>
      </c>
      <c r="P152" t="s">
        <v>343</v>
      </c>
      <c r="Q152">
        <v>1</v>
      </c>
      <c r="X152">
        <v>0.05</v>
      </c>
      <c r="Y152">
        <v>0</v>
      </c>
      <c r="Z152">
        <v>9.9700000000000006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143</v>
      </c>
      <c r="AG152">
        <v>6.25E-2</v>
      </c>
      <c r="AH152">
        <v>2</v>
      </c>
      <c r="AI152">
        <v>35683922</v>
      </c>
      <c r="AJ152">
        <v>154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ROW(Source!A95)</f>
        <v>95</v>
      </c>
      <c r="B153">
        <v>35683934</v>
      </c>
      <c r="C153">
        <v>35683916</v>
      </c>
      <c r="D153">
        <v>29174913</v>
      </c>
      <c r="E153">
        <v>1</v>
      </c>
      <c r="F153">
        <v>1</v>
      </c>
      <c r="G153">
        <v>1</v>
      </c>
      <c r="H153">
        <v>2</v>
      </c>
      <c r="I153" t="s">
        <v>375</v>
      </c>
      <c r="J153" t="s">
        <v>488</v>
      </c>
      <c r="K153" t="s">
        <v>377</v>
      </c>
      <c r="L153">
        <v>1368</v>
      </c>
      <c r="N153">
        <v>1011</v>
      </c>
      <c r="O153" t="s">
        <v>343</v>
      </c>
      <c r="P153" t="s">
        <v>343</v>
      </c>
      <c r="Q153">
        <v>1</v>
      </c>
      <c r="X153">
        <v>0.01</v>
      </c>
      <c r="Y153">
        <v>0</v>
      </c>
      <c r="Z153">
        <v>87.17</v>
      </c>
      <c r="AA153">
        <v>11.6</v>
      </c>
      <c r="AB153">
        <v>0</v>
      </c>
      <c r="AC153">
        <v>0</v>
      </c>
      <c r="AD153">
        <v>1</v>
      </c>
      <c r="AE153">
        <v>0</v>
      </c>
      <c r="AF153" t="s">
        <v>143</v>
      </c>
      <c r="AG153">
        <v>1.2500000000000001E-2</v>
      </c>
      <c r="AH153">
        <v>2</v>
      </c>
      <c r="AI153">
        <v>35683923</v>
      </c>
      <c r="AJ153">
        <v>155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ROW(Source!A95)</f>
        <v>95</v>
      </c>
      <c r="B154">
        <v>35683935</v>
      </c>
      <c r="C154">
        <v>35683916</v>
      </c>
      <c r="D154">
        <v>29107863</v>
      </c>
      <c r="E154">
        <v>1</v>
      </c>
      <c r="F154">
        <v>1</v>
      </c>
      <c r="G154">
        <v>1</v>
      </c>
      <c r="H154">
        <v>3</v>
      </c>
      <c r="I154" t="s">
        <v>581</v>
      </c>
      <c r="J154" t="s">
        <v>582</v>
      </c>
      <c r="K154" t="s">
        <v>583</v>
      </c>
      <c r="L154">
        <v>1348</v>
      </c>
      <c r="N154">
        <v>1009</v>
      </c>
      <c r="O154" t="s">
        <v>43</v>
      </c>
      <c r="P154" t="s">
        <v>43</v>
      </c>
      <c r="Q154">
        <v>1000</v>
      </c>
      <c r="X154">
        <v>1.2999999999999999E-2</v>
      </c>
      <c r="Y154">
        <v>6532.53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1.2999999999999999E-2</v>
      </c>
      <c r="AH154">
        <v>2</v>
      </c>
      <c r="AI154">
        <v>35683924</v>
      </c>
      <c r="AJ154">
        <v>156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ROW(Source!A95)</f>
        <v>95</v>
      </c>
      <c r="B155">
        <v>35683936</v>
      </c>
      <c r="C155">
        <v>35683916</v>
      </c>
      <c r="D155">
        <v>29109437</v>
      </c>
      <c r="E155">
        <v>1</v>
      </c>
      <c r="F155">
        <v>1</v>
      </c>
      <c r="G155">
        <v>1</v>
      </c>
      <c r="H155">
        <v>3</v>
      </c>
      <c r="I155" t="s">
        <v>584</v>
      </c>
      <c r="J155" t="s">
        <v>585</v>
      </c>
      <c r="K155" t="s">
        <v>586</v>
      </c>
      <c r="L155">
        <v>1346</v>
      </c>
      <c r="N155">
        <v>1009</v>
      </c>
      <c r="O155" t="s">
        <v>425</v>
      </c>
      <c r="P155" t="s">
        <v>425</v>
      </c>
      <c r="Q155">
        <v>1</v>
      </c>
      <c r="X155">
        <v>1200</v>
      </c>
      <c r="Y155">
        <v>3.86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</v>
      </c>
      <c r="AG155">
        <v>1200</v>
      </c>
      <c r="AH155">
        <v>2</v>
      </c>
      <c r="AI155">
        <v>35683925</v>
      </c>
      <c r="AJ155">
        <v>157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ROW(Source!A95)</f>
        <v>95</v>
      </c>
      <c r="B156">
        <v>35683937</v>
      </c>
      <c r="C156">
        <v>35683916</v>
      </c>
      <c r="D156">
        <v>29109880</v>
      </c>
      <c r="E156">
        <v>1</v>
      </c>
      <c r="F156">
        <v>1</v>
      </c>
      <c r="G156">
        <v>1</v>
      </c>
      <c r="H156">
        <v>3</v>
      </c>
      <c r="I156" t="s">
        <v>587</v>
      </c>
      <c r="J156" t="s">
        <v>588</v>
      </c>
      <c r="K156" t="s">
        <v>589</v>
      </c>
      <c r="L156">
        <v>1327</v>
      </c>
      <c r="N156">
        <v>1005</v>
      </c>
      <c r="O156" t="s">
        <v>211</v>
      </c>
      <c r="P156" t="s">
        <v>211</v>
      </c>
      <c r="Q156">
        <v>1</v>
      </c>
      <c r="X156">
        <v>102</v>
      </c>
      <c r="Y156">
        <v>145.63999999999999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102</v>
      </c>
      <c r="AH156">
        <v>2</v>
      </c>
      <c r="AI156">
        <v>35683926</v>
      </c>
      <c r="AJ156">
        <v>158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ROW(Source!A95)</f>
        <v>95</v>
      </c>
      <c r="B157">
        <v>35683938</v>
      </c>
      <c r="C157">
        <v>35683916</v>
      </c>
      <c r="D157">
        <v>29109265</v>
      </c>
      <c r="E157">
        <v>1</v>
      </c>
      <c r="F157">
        <v>1</v>
      </c>
      <c r="G157">
        <v>1</v>
      </c>
      <c r="H157">
        <v>3</v>
      </c>
      <c r="I157" t="s">
        <v>605</v>
      </c>
      <c r="J157" t="s">
        <v>606</v>
      </c>
      <c r="K157" t="s">
        <v>607</v>
      </c>
      <c r="L157">
        <v>1348</v>
      </c>
      <c r="N157">
        <v>1009</v>
      </c>
      <c r="O157" t="s">
        <v>43</v>
      </c>
      <c r="P157" t="s">
        <v>43</v>
      </c>
      <c r="Q157">
        <v>1000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1</v>
      </c>
      <c r="AD157">
        <v>0</v>
      </c>
      <c r="AE157">
        <v>0</v>
      </c>
      <c r="AF157" t="s">
        <v>3</v>
      </c>
      <c r="AG157">
        <v>0</v>
      </c>
      <c r="AH157">
        <v>3</v>
      </c>
      <c r="AI157">
        <v>-1</v>
      </c>
      <c r="AJ157" t="s">
        <v>3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ROW(Source!A95)</f>
        <v>95</v>
      </c>
      <c r="B158">
        <v>35683939</v>
      </c>
      <c r="C158">
        <v>35683916</v>
      </c>
      <c r="D158">
        <v>29131294</v>
      </c>
      <c r="E158">
        <v>1</v>
      </c>
      <c r="F158">
        <v>1</v>
      </c>
      <c r="G158">
        <v>1</v>
      </c>
      <c r="H158">
        <v>3</v>
      </c>
      <c r="I158" t="s">
        <v>608</v>
      </c>
      <c r="J158" t="s">
        <v>609</v>
      </c>
      <c r="K158" t="s">
        <v>610</v>
      </c>
      <c r="L158">
        <v>1339</v>
      </c>
      <c r="N158">
        <v>1007</v>
      </c>
      <c r="O158" t="s">
        <v>350</v>
      </c>
      <c r="P158" t="s">
        <v>350</v>
      </c>
      <c r="Q158">
        <v>1</v>
      </c>
      <c r="X158">
        <v>0.01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 t="s">
        <v>3</v>
      </c>
      <c r="AG158">
        <v>0.01</v>
      </c>
      <c r="AH158">
        <v>3</v>
      </c>
      <c r="AI158">
        <v>-1</v>
      </c>
      <c r="AJ158" t="s">
        <v>3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ROW(Source!A95)</f>
        <v>95</v>
      </c>
      <c r="B159">
        <v>35683940</v>
      </c>
      <c r="C159">
        <v>35683916</v>
      </c>
      <c r="D159">
        <v>29150040</v>
      </c>
      <c r="E159">
        <v>1</v>
      </c>
      <c r="F159">
        <v>1</v>
      </c>
      <c r="G159">
        <v>1</v>
      </c>
      <c r="H159">
        <v>3</v>
      </c>
      <c r="I159" t="s">
        <v>347</v>
      </c>
      <c r="J159" t="s">
        <v>568</v>
      </c>
      <c r="K159" t="s">
        <v>349</v>
      </c>
      <c r="L159">
        <v>1339</v>
      </c>
      <c r="N159">
        <v>1007</v>
      </c>
      <c r="O159" t="s">
        <v>350</v>
      </c>
      <c r="P159" t="s">
        <v>350</v>
      </c>
      <c r="Q159">
        <v>1</v>
      </c>
      <c r="X159">
        <v>0.44</v>
      </c>
      <c r="Y159">
        <v>2.44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0.44</v>
      </c>
      <c r="AH159">
        <v>2</v>
      </c>
      <c r="AI159">
        <v>35683927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Смета 12 гр. ТЕР МО</vt:lpstr>
      <vt:lpstr>Дефектная ведомость</vt:lpstr>
      <vt:lpstr>Source</vt:lpstr>
      <vt:lpstr>SourceObSm</vt:lpstr>
      <vt:lpstr>SmtRes</vt:lpstr>
      <vt:lpstr>EtalonRes</vt:lpstr>
      <vt:lpstr>'Дефектная ведомость'!Заголовки_для_печати</vt:lpstr>
      <vt:lpstr>'Смета 12 гр. ТЕР МО'!Заголовки_для_печати</vt:lpstr>
      <vt:lpstr>'Дефектная ведомость'!Область_печати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кцсон</cp:lastModifiedBy>
  <dcterms:created xsi:type="dcterms:W3CDTF">2021-07-12T07:50:45Z</dcterms:created>
  <dcterms:modified xsi:type="dcterms:W3CDTF">2021-07-12T07:51:46Z</dcterms:modified>
</cp:coreProperties>
</file>