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040" windowHeight="1185"/>
  </bookViews>
  <sheets>
    <sheet name="Смета 12 гр. ТЕР МО" sheetId="5" r:id="rId1"/>
    <sheet name="Source" sheetId="1" r:id="rId2"/>
    <sheet name="SourceObSm" sheetId="2" r:id="rId3"/>
    <sheet name="SmtRes" sheetId="3" r:id="rId4"/>
    <sheet name="EtalonRes" sheetId="4" r:id="rId5"/>
  </sheets>
  <definedNames>
    <definedName name="_xlnm.Print_Titles" localSheetId="0">'Смета 12 гр. ТЕР МО'!$40:$40</definedName>
    <definedName name="_xlnm.Print_Area" localSheetId="0">'Смета 12 гр. ТЕР МО'!$A$1:$L$116</definedName>
  </definedNames>
  <calcPr calcId="125725"/>
</workbook>
</file>

<file path=xl/calcChain.xml><?xml version="1.0" encoding="utf-8"?>
<calcChain xmlns="http://schemas.openxmlformats.org/spreadsheetml/2006/main">
  <c r="AF102" i="5"/>
  <c r="I114"/>
  <c r="I111"/>
  <c r="I108"/>
  <c r="D114"/>
  <c r="D111"/>
  <c r="D108"/>
  <c r="C105"/>
  <c r="C104"/>
  <c r="A102"/>
  <c r="A98"/>
  <c r="L94"/>
  <c r="J94"/>
  <c r="G94"/>
  <c r="A94"/>
  <c r="A92"/>
  <c r="A88"/>
  <c r="L86"/>
  <c r="Q86" s="1"/>
  <c r="Z86"/>
  <c r="Y86"/>
  <c r="W86"/>
  <c r="K85"/>
  <c r="J86" s="1"/>
  <c r="P86" s="1"/>
  <c r="J85"/>
  <c r="H85"/>
  <c r="X86" s="1"/>
  <c r="G85"/>
  <c r="F85"/>
  <c r="V85"/>
  <c r="T85"/>
  <c r="U85"/>
  <c r="S85"/>
  <c r="E85"/>
  <c r="D85"/>
  <c r="I85"/>
  <c r="B85"/>
  <c r="A85"/>
  <c r="L84"/>
  <c r="Q84" s="1"/>
  <c r="Z84"/>
  <c r="Y84"/>
  <c r="W84"/>
  <c r="C83"/>
  <c r="K82"/>
  <c r="J84" s="1"/>
  <c r="P84" s="1"/>
  <c r="J82"/>
  <c r="H82"/>
  <c r="X84" s="1"/>
  <c r="G82"/>
  <c r="F82"/>
  <c r="V82"/>
  <c r="T82"/>
  <c r="U82"/>
  <c r="S82"/>
  <c r="E82"/>
  <c r="D82"/>
  <c r="I82"/>
  <c r="B82"/>
  <c r="A82"/>
  <c r="L81"/>
  <c r="Q81" s="1"/>
  <c r="Z81"/>
  <c r="Y81"/>
  <c r="X81"/>
  <c r="C80"/>
  <c r="K79"/>
  <c r="J81" s="1"/>
  <c r="P81" s="1"/>
  <c r="J79"/>
  <c r="H79"/>
  <c r="G81" s="1"/>
  <c r="O81" s="1"/>
  <c r="G79"/>
  <c r="F79"/>
  <c r="V79"/>
  <c r="T79"/>
  <c r="U79"/>
  <c r="S79"/>
  <c r="E79"/>
  <c r="D79"/>
  <c r="I79"/>
  <c r="C79"/>
  <c r="B79"/>
  <c r="A79"/>
  <c r="L78"/>
  <c r="Q78" s="1"/>
  <c r="Z78"/>
  <c r="Y78"/>
  <c r="W78"/>
  <c r="L77"/>
  <c r="G77"/>
  <c r="E77"/>
  <c r="J76"/>
  <c r="E76"/>
  <c r="J75"/>
  <c r="E75"/>
  <c r="K74"/>
  <c r="J74"/>
  <c r="H74"/>
  <c r="G74"/>
  <c r="F74"/>
  <c r="K73"/>
  <c r="J73"/>
  <c r="R73"/>
  <c r="H73"/>
  <c r="G73"/>
  <c r="F73"/>
  <c r="K72"/>
  <c r="J72"/>
  <c r="H72"/>
  <c r="G72"/>
  <c r="F72"/>
  <c r="K71"/>
  <c r="J71"/>
  <c r="H71"/>
  <c r="R71" s="1"/>
  <c r="G71"/>
  <c r="F71"/>
  <c r="C70"/>
  <c r="V69"/>
  <c r="K76" s="1"/>
  <c r="T69"/>
  <c r="K75" s="1"/>
  <c r="U69"/>
  <c r="H76" s="1"/>
  <c r="S69"/>
  <c r="H75" s="1"/>
  <c r="F69"/>
  <c r="E69"/>
  <c r="D69"/>
  <c r="I69"/>
  <c r="C69"/>
  <c r="B69"/>
  <c r="A69"/>
  <c r="L68"/>
  <c r="Q68" s="1"/>
  <c r="J68"/>
  <c r="P68" s="1"/>
  <c r="Z68"/>
  <c r="Y68"/>
  <c r="W68"/>
  <c r="K67"/>
  <c r="J67"/>
  <c r="H67"/>
  <c r="G68" s="1"/>
  <c r="O68" s="1"/>
  <c r="G67"/>
  <c r="F67"/>
  <c r="V67"/>
  <c r="T67"/>
  <c r="U67"/>
  <c r="S67"/>
  <c r="E67"/>
  <c r="D67"/>
  <c r="I67"/>
  <c r="B67"/>
  <c r="A67"/>
  <c r="L66"/>
  <c r="Q66" s="1"/>
  <c r="J66"/>
  <c r="P66" s="1"/>
  <c r="Z66"/>
  <c r="Y66"/>
  <c r="W66"/>
  <c r="K65"/>
  <c r="J65"/>
  <c r="H65"/>
  <c r="G66" s="1"/>
  <c r="O66" s="1"/>
  <c r="G65"/>
  <c r="F65"/>
  <c r="V65"/>
  <c r="T65"/>
  <c r="U65"/>
  <c r="S65"/>
  <c r="E65"/>
  <c r="D65"/>
  <c r="I65"/>
  <c r="C65"/>
  <c r="B65"/>
  <c r="A65"/>
  <c r="L64"/>
  <c r="Q64" s="1"/>
  <c r="Z64"/>
  <c r="Y64"/>
  <c r="W64"/>
  <c r="K63"/>
  <c r="J64" s="1"/>
  <c r="P64" s="1"/>
  <c r="J63"/>
  <c r="H63"/>
  <c r="G64" s="1"/>
  <c r="O64" s="1"/>
  <c r="G63"/>
  <c r="F63"/>
  <c r="V63"/>
  <c r="T63"/>
  <c r="U63"/>
  <c r="S63"/>
  <c r="E63"/>
  <c r="D63"/>
  <c r="I63"/>
  <c r="C63"/>
  <c r="B63"/>
  <c r="A63"/>
  <c r="L62"/>
  <c r="Q62" s="1"/>
  <c r="Z62"/>
  <c r="Y62"/>
  <c r="W62"/>
  <c r="L61"/>
  <c r="G61"/>
  <c r="E61"/>
  <c r="J60"/>
  <c r="E60"/>
  <c r="J59"/>
  <c r="E59"/>
  <c r="K58"/>
  <c r="J58"/>
  <c r="H58"/>
  <c r="G58"/>
  <c r="F58"/>
  <c r="K57"/>
  <c r="J57"/>
  <c r="H57"/>
  <c r="G57"/>
  <c r="F57"/>
  <c r="K56"/>
  <c r="J56"/>
  <c r="R56"/>
  <c r="H56"/>
  <c r="G56"/>
  <c r="F56"/>
  <c r="V55"/>
  <c r="K60" s="1"/>
  <c r="T55"/>
  <c r="K59" s="1"/>
  <c r="U55"/>
  <c r="H60" s="1"/>
  <c r="S55"/>
  <c r="H59" s="1"/>
  <c r="G62" s="1"/>
  <c r="O62" s="1"/>
  <c r="F55"/>
  <c r="E55"/>
  <c r="D55"/>
  <c r="I55"/>
  <c r="C55"/>
  <c r="B55"/>
  <c r="A55"/>
  <c r="L54"/>
  <c r="Q54" s="1"/>
  <c r="Z54"/>
  <c r="Y54"/>
  <c r="W54"/>
  <c r="K53"/>
  <c r="J53"/>
  <c r="Z53"/>
  <c r="Y53"/>
  <c r="X53"/>
  <c r="W53"/>
  <c r="H53"/>
  <c r="F53"/>
  <c r="V53"/>
  <c r="T53"/>
  <c r="U53"/>
  <c r="S53"/>
  <c r="E53"/>
  <c r="D53"/>
  <c r="C53"/>
  <c r="B53"/>
  <c r="A53"/>
  <c r="K52"/>
  <c r="J52"/>
  <c r="Z52"/>
  <c r="Y52"/>
  <c r="G29" s="1"/>
  <c r="W52"/>
  <c r="H52"/>
  <c r="X52" s="1"/>
  <c r="F52"/>
  <c r="V52"/>
  <c r="T52"/>
  <c r="U52"/>
  <c r="S52"/>
  <c r="E52"/>
  <c r="D52"/>
  <c r="C52"/>
  <c r="B52"/>
  <c r="A52"/>
  <c r="L51"/>
  <c r="G51"/>
  <c r="E51"/>
  <c r="J50"/>
  <c r="E50"/>
  <c r="J49"/>
  <c r="E49"/>
  <c r="K48"/>
  <c r="J48"/>
  <c r="H48"/>
  <c r="G48"/>
  <c r="F48"/>
  <c r="K47"/>
  <c r="J47"/>
  <c r="H47"/>
  <c r="G47"/>
  <c r="F47"/>
  <c r="K46"/>
  <c r="J46"/>
  <c r="H46"/>
  <c r="G46"/>
  <c r="F46"/>
  <c r="V45"/>
  <c r="K50" s="1"/>
  <c r="T45"/>
  <c r="K49" s="1"/>
  <c r="U45"/>
  <c r="S45"/>
  <c r="F45"/>
  <c r="E45"/>
  <c r="D45"/>
  <c r="I45"/>
  <c r="C45"/>
  <c r="B45"/>
  <c r="A45"/>
  <c r="A44"/>
  <c r="A42"/>
  <c r="A22"/>
  <c r="B19"/>
  <c r="B15"/>
  <c r="H13"/>
  <c r="H6"/>
  <c r="B6"/>
  <c r="A1"/>
  <c r="A1" i="4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1" i="3"/>
  <c r="CX1"/>
  <c r="CY1"/>
  <c r="CZ1"/>
  <c r="DA1"/>
  <c r="DB1"/>
  <c r="DC1"/>
  <c r="A2"/>
  <c r="CX2"/>
  <c r="CY2"/>
  <c r="CZ2"/>
  <c r="DA2"/>
  <c r="DB2"/>
  <c r="DC2"/>
  <c r="A3"/>
  <c r="CX3"/>
  <c r="CY3"/>
  <c r="CZ3"/>
  <c r="DB3" s="1"/>
  <c r="DA3"/>
  <c r="DC3"/>
  <c r="A4"/>
  <c r="CX4"/>
  <c r="CY4"/>
  <c r="CZ4"/>
  <c r="DB4" s="1"/>
  <c r="DA4"/>
  <c r="DC4"/>
  <c r="A5"/>
  <c r="CX5"/>
  <c r="CY5"/>
  <c r="CZ5"/>
  <c r="DB5" s="1"/>
  <c r="DA5"/>
  <c r="DC5"/>
  <c r="A6"/>
  <c r="CX6"/>
  <c r="CY6"/>
  <c r="CZ6"/>
  <c r="DA6"/>
  <c r="DB6"/>
  <c r="DC6"/>
  <c r="A7"/>
  <c r="CX7"/>
  <c r="CY7"/>
  <c r="CZ7"/>
  <c r="DB7" s="1"/>
  <c r="DA7"/>
  <c r="DC7"/>
  <c r="A8"/>
  <c r="CX8"/>
  <c r="CY8"/>
  <c r="CZ8"/>
  <c r="DB8" s="1"/>
  <c r="DA8"/>
  <c r="DC8"/>
  <c r="A9"/>
  <c r="CX9"/>
  <c r="CY9"/>
  <c r="CZ9"/>
  <c r="DA9"/>
  <c r="DB9"/>
  <c r="DC9"/>
  <c r="A10"/>
  <c r="CX10"/>
  <c r="CY10"/>
  <c r="CZ10"/>
  <c r="DA10"/>
  <c r="DB10"/>
  <c r="DC10"/>
  <c r="A11"/>
  <c r="CX11"/>
  <c r="CY11"/>
  <c r="CZ11"/>
  <c r="DB11" s="1"/>
  <c r="DA11"/>
  <c r="DC11"/>
  <c r="A12"/>
  <c r="CX12"/>
  <c r="CY12"/>
  <c r="CZ12"/>
  <c r="DB12" s="1"/>
  <c r="DA12"/>
  <c r="DC12"/>
  <c r="A13"/>
  <c r="CX13"/>
  <c r="CY13"/>
  <c r="CZ13"/>
  <c r="DA13"/>
  <c r="DB13"/>
  <c r="DC13"/>
  <c r="A14"/>
  <c r="CX14"/>
  <c r="CY14"/>
  <c r="CZ14"/>
  <c r="DA14"/>
  <c r="DB14"/>
  <c r="DC14"/>
  <c r="A15"/>
  <c r="CY15"/>
  <c r="CZ15"/>
  <c r="DA15"/>
  <c r="DB15"/>
  <c r="DC15"/>
  <c r="A16"/>
  <c r="CY16"/>
  <c r="CZ16"/>
  <c r="DB16" s="1"/>
  <c r="DA16"/>
  <c r="DC16"/>
  <c r="A17"/>
  <c r="CY17"/>
  <c r="CZ17"/>
  <c r="DB17" s="1"/>
  <c r="DA17"/>
  <c r="DC17"/>
  <c r="A18"/>
  <c r="CY18"/>
  <c r="CZ18"/>
  <c r="DA18"/>
  <c r="DB18"/>
  <c r="DC18"/>
  <c r="A19"/>
  <c r="CY19"/>
  <c r="CZ19"/>
  <c r="DA19"/>
  <c r="DB19"/>
  <c r="DC19"/>
  <c r="A20"/>
  <c r="CY20"/>
  <c r="CZ20"/>
  <c r="DB20" s="1"/>
  <c r="DA20"/>
  <c r="DC20"/>
  <c r="A21"/>
  <c r="CY21"/>
  <c r="CZ21"/>
  <c r="DB21" s="1"/>
  <c r="DA21"/>
  <c r="DC21"/>
  <c r="A22"/>
  <c r="CY22"/>
  <c r="CZ22"/>
  <c r="DA22"/>
  <c r="DB22"/>
  <c r="DC22"/>
  <c r="A23"/>
  <c r="CY23"/>
  <c r="CZ23"/>
  <c r="DA23"/>
  <c r="DB23"/>
  <c r="DC23"/>
  <c r="A24"/>
  <c r="CY24"/>
  <c r="CZ24"/>
  <c r="DB24" s="1"/>
  <c r="DA24"/>
  <c r="DC24"/>
  <c r="A25"/>
  <c r="CY25"/>
  <c r="CZ25"/>
  <c r="DB25" s="1"/>
  <c r="DA25"/>
  <c r="DC25"/>
  <c r="A26"/>
  <c r="CY26"/>
  <c r="CZ26"/>
  <c r="DA26"/>
  <c r="DB26"/>
  <c r="DC26"/>
  <c r="D12" i="1"/>
  <c r="E18"/>
  <c r="Z18"/>
  <c r="AA18"/>
  <c r="AB18"/>
  <c r="AC18"/>
  <c r="AD18"/>
  <c r="AE18"/>
  <c r="AF18"/>
  <c r="AG18"/>
  <c r="AH18"/>
  <c r="AI18"/>
  <c r="AJ18"/>
  <c r="AK18"/>
  <c r="AL18"/>
  <c r="AM18"/>
  <c r="AN18"/>
  <c r="BE18"/>
  <c r="BF18"/>
  <c r="BG18"/>
  <c r="BH18"/>
  <c r="BI18"/>
  <c r="BJ18"/>
  <c r="BK18"/>
  <c r="BL18"/>
  <c r="BM18"/>
  <c r="BN18"/>
  <c r="BO18"/>
  <c r="BP18"/>
  <c r="BQ18"/>
  <c r="BR18"/>
  <c r="BS18"/>
  <c r="BT18"/>
  <c r="BU18"/>
  <c r="BV18"/>
  <c r="BW18"/>
  <c r="BX18"/>
  <c r="BY18"/>
  <c r="BZ18"/>
  <c r="CA18"/>
  <c r="CB18"/>
  <c r="CC18"/>
  <c r="CD18"/>
  <c r="CE18"/>
  <c r="CF18"/>
  <c r="CG18"/>
  <c r="CH18"/>
  <c r="CI18"/>
  <c r="CJ18"/>
  <c r="CK18"/>
  <c r="CL18"/>
  <c r="CM18"/>
  <c r="CN18"/>
  <c r="CO18"/>
  <c r="CP18"/>
  <c r="CQ18"/>
  <c r="CR18"/>
  <c r="CS18"/>
  <c r="CT18"/>
  <c r="CU18"/>
  <c r="CV18"/>
  <c r="CW18"/>
  <c r="CX18"/>
  <c r="CY18"/>
  <c r="CZ18"/>
  <c r="DA18"/>
  <c r="DB18"/>
  <c r="DC18"/>
  <c r="DD18"/>
  <c r="DE18"/>
  <c r="DF18"/>
  <c r="DG18"/>
  <c r="DH18"/>
  <c r="DI18"/>
  <c r="DJ18"/>
  <c r="DK18"/>
  <c r="DL18"/>
  <c r="DM18"/>
  <c r="DN18"/>
  <c r="DO18"/>
  <c r="DP18"/>
  <c r="DQ18"/>
  <c r="DR18"/>
  <c r="DS18"/>
  <c r="DT18"/>
  <c r="DU18"/>
  <c r="DV18"/>
  <c r="DW18"/>
  <c r="DX18"/>
  <c r="DY18"/>
  <c r="DZ18"/>
  <c r="EA18"/>
  <c r="EB18"/>
  <c r="EC18"/>
  <c r="ED18"/>
  <c r="EE18"/>
  <c r="EF18"/>
  <c r="EG18"/>
  <c r="EH18"/>
  <c r="EI18"/>
  <c r="EJ18"/>
  <c r="EK18"/>
  <c r="EL18"/>
  <c r="EM18"/>
  <c r="EN18"/>
  <c r="EO18"/>
  <c r="EP18"/>
  <c r="EQ18"/>
  <c r="ER18"/>
  <c r="ES18"/>
  <c r="ET18"/>
  <c r="EU18"/>
  <c r="EV18"/>
  <c r="EW18"/>
  <c r="EX18"/>
  <c r="EY18"/>
  <c r="EZ18"/>
  <c r="FA18"/>
  <c r="FB18"/>
  <c r="FC18"/>
  <c r="FD18"/>
  <c r="FE18"/>
  <c r="FF18"/>
  <c r="FG18"/>
  <c r="FH18"/>
  <c r="FI18"/>
  <c r="FJ18"/>
  <c r="FK18"/>
  <c r="FL18"/>
  <c r="FM18"/>
  <c r="FN18"/>
  <c r="FO18"/>
  <c r="FP18"/>
  <c r="FQ18"/>
  <c r="FR18"/>
  <c r="FS18"/>
  <c r="FT18"/>
  <c r="FU18"/>
  <c r="FV18"/>
  <c r="FW18"/>
  <c r="FX18"/>
  <c r="FY18"/>
  <c r="FZ18"/>
  <c r="GA18"/>
  <c r="GB18"/>
  <c r="GC18"/>
  <c r="GD18"/>
  <c r="GE18"/>
  <c r="GF18"/>
  <c r="GG18"/>
  <c r="GH18"/>
  <c r="GI18"/>
  <c r="GJ18"/>
  <c r="GK18"/>
  <c r="GL18"/>
  <c r="GM18"/>
  <c r="GN18"/>
  <c r="GO18"/>
  <c r="GP18"/>
  <c r="GQ18"/>
  <c r="GR18"/>
  <c r="GS18"/>
  <c r="GT18"/>
  <c r="GU18"/>
  <c r="GV18"/>
  <c r="GW18"/>
  <c r="GX18"/>
  <c r="D20"/>
  <c r="E22"/>
  <c r="Z22"/>
  <c r="AA22"/>
  <c r="AB22"/>
  <c r="AC22"/>
  <c r="AD22"/>
  <c r="AE22"/>
  <c r="AF22"/>
  <c r="AG22"/>
  <c r="AH22"/>
  <c r="AI22"/>
  <c r="AJ22"/>
  <c r="AK22"/>
  <c r="AL22"/>
  <c r="AM22"/>
  <c r="AN22"/>
  <c r="BE22"/>
  <c r="BF22"/>
  <c r="BG22"/>
  <c r="BH22"/>
  <c r="BI22"/>
  <c r="BJ22"/>
  <c r="BK22"/>
  <c r="BL22"/>
  <c r="BM22"/>
  <c r="BN22"/>
  <c r="BO22"/>
  <c r="BP22"/>
  <c r="BQ22"/>
  <c r="BR22"/>
  <c r="BS22"/>
  <c r="BT22"/>
  <c r="BU22"/>
  <c r="BV22"/>
  <c r="BW22"/>
  <c r="BX22"/>
  <c r="BY22"/>
  <c r="BZ22"/>
  <c r="CA22"/>
  <c r="CB22"/>
  <c r="CC22"/>
  <c r="CD22"/>
  <c r="CE22"/>
  <c r="CF22"/>
  <c r="CG22"/>
  <c r="CH22"/>
  <c r="CI22"/>
  <c r="CJ22"/>
  <c r="CK22"/>
  <c r="CL22"/>
  <c r="CM22"/>
  <c r="CN22"/>
  <c r="CO22"/>
  <c r="CP22"/>
  <c r="CQ22"/>
  <c r="CR22"/>
  <c r="CS22"/>
  <c r="CT22"/>
  <c r="CU22"/>
  <c r="CV22"/>
  <c r="CW22"/>
  <c r="CX22"/>
  <c r="CY22"/>
  <c r="CZ22"/>
  <c r="DA22"/>
  <c r="DB22"/>
  <c r="DC22"/>
  <c r="DD22"/>
  <c r="DE22"/>
  <c r="DF22"/>
  <c r="DG22"/>
  <c r="DH22"/>
  <c r="DI22"/>
  <c r="DJ22"/>
  <c r="DK22"/>
  <c r="DL22"/>
  <c r="DM22"/>
  <c r="DN22"/>
  <c r="DO22"/>
  <c r="DP22"/>
  <c r="DQ22"/>
  <c r="DR22"/>
  <c r="DS22"/>
  <c r="DT22"/>
  <c r="DU22"/>
  <c r="DV22"/>
  <c r="DW22"/>
  <c r="DX22"/>
  <c r="DY22"/>
  <c r="DZ22"/>
  <c r="EA22"/>
  <c r="EB22"/>
  <c r="EC22"/>
  <c r="ED22"/>
  <c r="EE22"/>
  <c r="EF22"/>
  <c r="EG22"/>
  <c r="EH22"/>
  <c r="EI22"/>
  <c r="EJ22"/>
  <c r="EK22"/>
  <c r="EL22"/>
  <c r="EM22"/>
  <c r="EN22"/>
  <c r="EO22"/>
  <c r="EP22"/>
  <c r="EQ22"/>
  <c r="ER22"/>
  <c r="ES22"/>
  <c r="ET22"/>
  <c r="EU22"/>
  <c r="EV22"/>
  <c r="EW22"/>
  <c r="EX22"/>
  <c r="EY22"/>
  <c r="EZ22"/>
  <c r="FA22"/>
  <c r="FB22"/>
  <c r="FC22"/>
  <c r="FD22"/>
  <c r="FE22"/>
  <c r="FF22"/>
  <c r="FG22"/>
  <c r="FH22"/>
  <c r="FI22"/>
  <c r="FJ22"/>
  <c r="FK22"/>
  <c r="FL22"/>
  <c r="FM22"/>
  <c r="FN22"/>
  <c r="FO22"/>
  <c r="FP22"/>
  <c r="FQ22"/>
  <c r="FR22"/>
  <c r="FS22"/>
  <c r="FT22"/>
  <c r="FU22"/>
  <c r="FV22"/>
  <c r="FW22"/>
  <c r="FX22"/>
  <c r="FY22"/>
  <c r="FZ22"/>
  <c r="GA22"/>
  <c r="GB22"/>
  <c r="GC22"/>
  <c r="GD22"/>
  <c r="GE22"/>
  <c r="GF22"/>
  <c r="GG22"/>
  <c r="GH22"/>
  <c r="GI22"/>
  <c r="GJ22"/>
  <c r="GK22"/>
  <c r="GL22"/>
  <c r="GM22"/>
  <c r="GN22"/>
  <c r="GO22"/>
  <c r="GP22"/>
  <c r="GQ22"/>
  <c r="GR22"/>
  <c r="GS22"/>
  <c r="GT22"/>
  <c r="GU22"/>
  <c r="GV22"/>
  <c r="GW22"/>
  <c r="GX22"/>
  <c r="D24"/>
  <c r="E26"/>
  <c r="Z26"/>
  <c r="AA26"/>
  <c r="AM26"/>
  <c r="AN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Z26"/>
  <c r="EA26"/>
  <c r="EB26"/>
  <c r="EC26"/>
  <c r="ED26"/>
  <c r="EE26"/>
  <c r="EF26"/>
  <c r="EG26"/>
  <c r="EH26"/>
  <c r="EI26"/>
  <c r="EJ26"/>
  <c r="EK26"/>
  <c r="EL26"/>
  <c r="EM26"/>
  <c r="EN26"/>
  <c r="EO26"/>
  <c r="EP26"/>
  <c r="EQ26"/>
  <c r="ER26"/>
  <c r="ES26"/>
  <c r="ET26"/>
  <c r="EU26"/>
  <c r="EV26"/>
  <c r="EW26"/>
  <c r="EX26"/>
  <c r="EY26"/>
  <c r="EZ26"/>
  <c r="FA26"/>
  <c r="FB26"/>
  <c r="FC26"/>
  <c r="FD26"/>
  <c r="FE26"/>
  <c r="FF26"/>
  <c r="FG26"/>
  <c r="FH26"/>
  <c r="FI26"/>
  <c r="FJ26"/>
  <c r="FK26"/>
  <c r="FL26"/>
  <c r="FM26"/>
  <c r="FN26"/>
  <c r="FO26"/>
  <c r="FP26"/>
  <c r="FQ26"/>
  <c r="FR26"/>
  <c r="FS26"/>
  <c r="FT26"/>
  <c r="FU26"/>
  <c r="FV26"/>
  <c r="FW26"/>
  <c r="FX26"/>
  <c r="FY26"/>
  <c r="FZ26"/>
  <c r="GA26"/>
  <c r="GB26"/>
  <c r="GC26"/>
  <c r="GD26"/>
  <c r="GE26"/>
  <c r="GF26"/>
  <c r="GG26"/>
  <c r="GH26"/>
  <c r="GI26"/>
  <c r="GJ26"/>
  <c r="GK26"/>
  <c r="GL26"/>
  <c r="GM26"/>
  <c r="GN26"/>
  <c r="GO26"/>
  <c r="GP26"/>
  <c r="GQ26"/>
  <c r="GR26"/>
  <c r="GS26"/>
  <c r="GT26"/>
  <c r="GU26"/>
  <c r="GV26"/>
  <c r="GW26"/>
  <c r="GX26"/>
  <c r="C28"/>
  <c r="D28"/>
  <c r="AC28"/>
  <c r="AE28"/>
  <c r="AD28" s="1"/>
  <c r="AF28"/>
  <c r="CT28" s="1"/>
  <c r="S28" s="1"/>
  <c r="AG28"/>
  <c r="AH28"/>
  <c r="AI28"/>
  <c r="AJ28"/>
  <c r="CX28" s="1"/>
  <c r="W28" s="1"/>
  <c r="CQ28"/>
  <c r="P28" s="1"/>
  <c r="CS28"/>
  <c r="R28" s="1"/>
  <c r="CU28"/>
  <c r="T28" s="1"/>
  <c r="CV28"/>
  <c r="U28" s="1"/>
  <c r="CW28"/>
  <c r="V28" s="1"/>
  <c r="FR28"/>
  <c r="GL28"/>
  <c r="GN28"/>
  <c r="GP28"/>
  <c r="GV28"/>
  <c r="HC28"/>
  <c r="GX28" s="1"/>
  <c r="I29"/>
  <c r="AC29"/>
  <c r="AE29"/>
  <c r="AD29" s="1"/>
  <c r="AF29"/>
  <c r="CT29" s="1"/>
  <c r="S29" s="1"/>
  <c r="AG29"/>
  <c r="AH29"/>
  <c r="AI29"/>
  <c r="CW29" s="1"/>
  <c r="V29" s="1"/>
  <c r="AJ29"/>
  <c r="CX29" s="1"/>
  <c r="W29" s="1"/>
  <c r="CQ29"/>
  <c r="P29" s="1"/>
  <c r="CU29"/>
  <c r="T29" s="1"/>
  <c r="CV29"/>
  <c r="U29" s="1"/>
  <c r="FR29"/>
  <c r="GL29"/>
  <c r="GN29"/>
  <c r="GP29"/>
  <c r="GV29"/>
  <c r="GX29"/>
  <c r="HC29"/>
  <c r="I30"/>
  <c r="AC30"/>
  <c r="AB30" s="1"/>
  <c r="AD30"/>
  <c r="CR30" s="1"/>
  <c r="Q30" s="1"/>
  <c r="AE30"/>
  <c r="CS30" s="1"/>
  <c r="R30" s="1"/>
  <c r="AF30"/>
  <c r="AG30"/>
  <c r="AH30"/>
  <c r="CV30" s="1"/>
  <c r="U30" s="1"/>
  <c r="AI30"/>
  <c r="CW30" s="1"/>
  <c r="V30" s="1"/>
  <c r="AJ30"/>
  <c r="CQ30"/>
  <c r="P30" s="1"/>
  <c r="CP30" s="1"/>
  <c r="O30" s="1"/>
  <c r="CT30"/>
  <c r="S30" s="1"/>
  <c r="CU30"/>
  <c r="T30" s="1"/>
  <c r="CX30"/>
  <c r="W30" s="1"/>
  <c r="FR30"/>
  <c r="GL30"/>
  <c r="GN30"/>
  <c r="GP30"/>
  <c r="GV30"/>
  <c r="HC30" s="1"/>
  <c r="GX30" s="1"/>
  <c r="C31"/>
  <c r="D31"/>
  <c r="AC31"/>
  <c r="CQ31" s="1"/>
  <c r="P31" s="1"/>
  <c r="AE31"/>
  <c r="AD31" s="1"/>
  <c r="AF31"/>
  <c r="CT31" s="1"/>
  <c r="S31" s="1"/>
  <c r="AG31"/>
  <c r="CU31" s="1"/>
  <c r="T31" s="1"/>
  <c r="AH31"/>
  <c r="AI31"/>
  <c r="AJ31"/>
  <c r="CX31" s="1"/>
  <c r="W31" s="1"/>
  <c r="CS31"/>
  <c r="R31" s="1"/>
  <c r="CV31"/>
  <c r="U31" s="1"/>
  <c r="CW31"/>
  <c r="V31" s="1"/>
  <c r="FR31"/>
  <c r="GL31"/>
  <c r="GN31"/>
  <c r="GP31"/>
  <c r="GV31"/>
  <c r="HC31"/>
  <c r="GX31" s="1"/>
  <c r="AC32"/>
  <c r="CQ32" s="1"/>
  <c r="P32" s="1"/>
  <c r="AE32"/>
  <c r="AD32" s="1"/>
  <c r="AF32"/>
  <c r="CT32" s="1"/>
  <c r="S32" s="1"/>
  <c r="AG32"/>
  <c r="CU32" s="1"/>
  <c r="T32" s="1"/>
  <c r="AH32"/>
  <c r="AI32"/>
  <c r="AJ32"/>
  <c r="CX32" s="1"/>
  <c r="W32" s="1"/>
  <c r="CS32"/>
  <c r="R32" s="1"/>
  <c r="CV32"/>
  <c r="U32" s="1"/>
  <c r="CW32"/>
  <c r="V32" s="1"/>
  <c r="FR32"/>
  <c r="GL32"/>
  <c r="GN32"/>
  <c r="GP32"/>
  <c r="GV32"/>
  <c r="HC32"/>
  <c r="GX32" s="1"/>
  <c r="AC33"/>
  <c r="CQ33" s="1"/>
  <c r="P33" s="1"/>
  <c r="AE33"/>
  <c r="AD33" s="1"/>
  <c r="AF33"/>
  <c r="CT33" s="1"/>
  <c r="S33" s="1"/>
  <c r="AG33"/>
  <c r="CU33" s="1"/>
  <c r="T33" s="1"/>
  <c r="AH33"/>
  <c r="AI33"/>
  <c r="AJ33"/>
  <c r="CX33" s="1"/>
  <c r="W33" s="1"/>
  <c r="CS33"/>
  <c r="R33" s="1"/>
  <c r="CV33"/>
  <c r="U33" s="1"/>
  <c r="CW33"/>
  <c r="V33" s="1"/>
  <c r="FR33"/>
  <c r="GL33"/>
  <c r="GN33"/>
  <c r="GP33"/>
  <c r="GV33"/>
  <c r="HC33"/>
  <c r="GX33" s="1"/>
  <c r="AC34"/>
  <c r="CQ34" s="1"/>
  <c r="P34" s="1"/>
  <c r="AE34"/>
  <c r="AD34" s="1"/>
  <c r="AF34"/>
  <c r="CT34" s="1"/>
  <c r="S34" s="1"/>
  <c r="AG34"/>
  <c r="CU34" s="1"/>
  <c r="T34" s="1"/>
  <c r="AH34"/>
  <c r="AI34"/>
  <c r="AJ34"/>
  <c r="CX34" s="1"/>
  <c r="W34" s="1"/>
  <c r="CS34"/>
  <c r="R34" s="1"/>
  <c r="CV34"/>
  <c r="U34" s="1"/>
  <c r="CW34"/>
  <c r="V34" s="1"/>
  <c r="FR34"/>
  <c r="GL34"/>
  <c r="GN34"/>
  <c r="GP34"/>
  <c r="GV34"/>
  <c r="HC34"/>
  <c r="GX34" s="1"/>
  <c r="C35"/>
  <c r="D35"/>
  <c r="I35"/>
  <c r="CX15" i="3" s="1"/>
  <c r="AC35" i="1"/>
  <c r="AB35" s="1"/>
  <c r="AD35"/>
  <c r="CR35" s="1"/>
  <c r="Q35" s="1"/>
  <c r="AE35"/>
  <c r="AF35"/>
  <c r="AG35"/>
  <c r="CU35" s="1"/>
  <c r="T35" s="1"/>
  <c r="AH35"/>
  <c r="CV35" s="1"/>
  <c r="U35" s="1"/>
  <c r="AI35"/>
  <c r="AJ35"/>
  <c r="CS35"/>
  <c r="R35" s="1"/>
  <c r="CT35"/>
  <c r="S35" s="1"/>
  <c r="CW35"/>
  <c r="V35" s="1"/>
  <c r="CX35"/>
  <c r="W35" s="1"/>
  <c r="FR35"/>
  <c r="GL35"/>
  <c r="GN35"/>
  <c r="GP35"/>
  <c r="GV35"/>
  <c r="HC35" s="1"/>
  <c r="GX35" s="1"/>
  <c r="I36"/>
  <c r="AC36"/>
  <c r="CQ36" s="1"/>
  <c r="P36" s="1"/>
  <c r="AE36"/>
  <c r="AD36" s="1"/>
  <c r="AF36"/>
  <c r="CT36" s="1"/>
  <c r="S36" s="1"/>
  <c r="AG36"/>
  <c r="CU36" s="1"/>
  <c r="T36" s="1"/>
  <c r="AH36"/>
  <c r="AI36"/>
  <c r="AJ36"/>
  <c r="CX36" s="1"/>
  <c r="W36" s="1"/>
  <c r="CS36"/>
  <c r="R36" s="1"/>
  <c r="CV36"/>
  <c r="U36" s="1"/>
  <c r="CW36"/>
  <c r="V36" s="1"/>
  <c r="FR36"/>
  <c r="GL36"/>
  <c r="GO36"/>
  <c r="GP36"/>
  <c r="GV36"/>
  <c r="HC36"/>
  <c r="GX36" s="1"/>
  <c r="I37"/>
  <c r="AC37"/>
  <c r="AE37"/>
  <c r="AD37" s="1"/>
  <c r="AF37"/>
  <c r="CT37" s="1"/>
  <c r="S37" s="1"/>
  <c r="AG37"/>
  <c r="AH37"/>
  <c r="AI37"/>
  <c r="CW37" s="1"/>
  <c r="V37" s="1"/>
  <c r="AJ37"/>
  <c r="CX37" s="1"/>
  <c r="W37" s="1"/>
  <c r="CQ37"/>
  <c r="P37" s="1"/>
  <c r="CU37"/>
  <c r="T37" s="1"/>
  <c r="CV37"/>
  <c r="U37" s="1"/>
  <c r="FR37"/>
  <c r="GL37"/>
  <c r="GN37"/>
  <c r="GP37"/>
  <c r="GV37"/>
  <c r="GX37"/>
  <c r="HC37"/>
  <c r="AC38"/>
  <c r="AE38"/>
  <c r="AD38" s="1"/>
  <c r="AF38"/>
  <c r="CT38" s="1"/>
  <c r="S38" s="1"/>
  <c r="AG38"/>
  <c r="AH38"/>
  <c r="AI38"/>
  <c r="CW38" s="1"/>
  <c r="V38" s="1"/>
  <c r="AJ38"/>
  <c r="CX38" s="1"/>
  <c r="W38" s="1"/>
  <c r="CQ38"/>
  <c r="P38" s="1"/>
  <c r="CU38"/>
  <c r="T38" s="1"/>
  <c r="CV38"/>
  <c r="U38" s="1"/>
  <c r="FR38"/>
  <c r="GL38"/>
  <c r="GN38"/>
  <c r="GP38"/>
  <c r="GV38"/>
  <c r="GX38"/>
  <c r="HC38"/>
  <c r="B40"/>
  <c r="B26" s="1"/>
  <c r="C40"/>
  <c r="C26" s="1"/>
  <c r="D40"/>
  <c r="D26" s="1"/>
  <c r="F40"/>
  <c r="F26" s="1"/>
  <c r="G40"/>
  <c r="G26" s="1"/>
  <c r="BX40"/>
  <c r="AO40" s="1"/>
  <c r="BY40"/>
  <c r="AP40" s="1"/>
  <c r="BZ40"/>
  <c r="AQ40" s="1"/>
  <c r="CD40"/>
  <c r="AU40" s="1"/>
  <c r="CG40"/>
  <c r="AX40" s="1"/>
  <c r="CK40"/>
  <c r="BB40" s="1"/>
  <c r="CL40"/>
  <c r="BC40" s="1"/>
  <c r="CM40"/>
  <c r="CM26" s="1"/>
  <c r="D70"/>
  <c r="E72"/>
  <c r="Z72"/>
  <c r="AA72"/>
  <c r="AB72"/>
  <c r="AC72"/>
  <c r="AD72"/>
  <c r="AE72"/>
  <c r="AF72"/>
  <c r="AG72"/>
  <c r="AH72"/>
  <c r="AI72"/>
  <c r="AJ72"/>
  <c r="AK72"/>
  <c r="AL72"/>
  <c r="AM72"/>
  <c r="AN72"/>
  <c r="BE72"/>
  <c r="BF72"/>
  <c r="BG72"/>
  <c r="BH72"/>
  <c r="BI72"/>
  <c r="BJ72"/>
  <c r="BK72"/>
  <c r="BL72"/>
  <c r="BM72"/>
  <c r="BN72"/>
  <c r="BO72"/>
  <c r="BP72"/>
  <c r="BQ72"/>
  <c r="BR72"/>
  <c r="BS72"/>
  <c r="BT72"/>
  <c r="BU72"/>
  <c r="BV72"/>
  <c r="BW72"/>
  <c r="BX72"/>
  <c r="BY72"/>
  <c r="BZ72"/>
  <c r="CA72"/>
  <c r="CB72"/>
  <c r="CC72"/>
  <c r="CD72"/>
  <c r="CE72"/>
  <c r="CF72"/>
  <c r="CG72"/>
  <c r="CH72"/>
  <c r="CI72"/>
  <c r="CJ72"/>
  <c r="CK72"/>
  <c r="CL72"/>
  <c r="CM72"/>
  <c r="CN72"/>
  <c r="CO72"/>
  <c r="CP72"/>
  <c r="CQ72"/>
  <c r="CR72"/>
  <c r="CS72"/>
  <c r="CT72"/>
  <c r="CU72"/>
  <c r="CV72"/>
  <c r="CW72"/>
  <c r="CX72"/>
  <c r="CY72"/>
  <c r="CZ72"/>
  <c r="DA72"/>
  <c r="DB72"/>
  <c r="DC72"/>
  <c r="DD72"/>
  <c r="DE72"/>
  <c r="DF72"/>
  <c r="DG72"/>
  <c r="DH72"/>
  <c r="DI72"/>
  <c r="DJ72"/>
  <c r="DK72"/>
  <c r="DL72"/>
  <c r="DM72"/>
  <c r="DN72"/>
  <c r="DO72"/>
  <c r="DP72"/>
  <c r="DQ72"/>
  <c r="DR72"/>
  <c r="DS72"/>
  <c r="DT72"/>
  <c r="DU72"/>
  <c r="DV72"/>
  <c r="DW72"/>
  <c r="DX72"/>
  <c r="DY72"/>
  <c r="DZ72"/>
  <c r="EA72"/>
  <c r="EB72"/>
  <c r="EC72"/>
  <c r="ED72"/>
  <c r="EE72"/>
  <c r="EF72"/>
  <c r="EG72"/>
  <c r="EH72"/>
  <c r="EI72"/>
  <c r="EJ72"/>
  <c r="EK72"/>
  <c r="EL72"/>
  <c r="EM72"/>
  <c r="EN72"/>
  <c r="EO72"/>
  <c r="EP72"/>
  <c r="EQ72"/>
  <c r="ER72"/>
  <c r="ES72"/>
  <c r="ET72"/>
  <c r="EU72"/>
  <c r="EV72"/>
  <c r="EW72"/>
  <c r="EX72"/>
  <c r="EY72"/>
  <c r="EZ72"/>
  <c r="FA72"/>
  <c r="FB72"/>
  <c r="FC72"/>
  <c r="FD72"/>
  <c r="FE72"/>
  <c r="FF72"/>
  <c r="FG72"/>
  <c r="FH72"/>
  <c r="FI72"/>
  <c r="FJ72"/>
  <c r="FK72"/>
  <c r="FL72"/>
  <c r="FM72"/>
  <c r="FN72"/>
  <c r="FO72"/>
  <c r="FP72"/>
  <c r="FQ72"/>
  <c r="FR72"/>
  <c r="FS72"/>
  <c r="FT72"/>
  <c r="FU72"/>
  <c r="FV72"/>
  <c r="FW72"/>
  <c r="FX72"/>
  <c r="FY72"/>
  <c r="FZ72"/>
  <c r="GA72"/>
  <c r="GB72"/>
  <c r="GC72"/>
  <c r="GD72"/>
  <c r="GE72"/>
  <c r="GF72"/>
  <c r="GG72"/>
  <c r="GH72"/>
  <c r="GI72"/>
  <c r="GJ72"/>
  <c r="GK72"/>
  <c r="GL72"/>
  <c r="GM72"/>
  <c r="GN72"/>
  <c r="GO72"/>
  <c r="GP72"/>
  <c r="GQ72"/>
  <c r="GR72"/>
  <c r="GS72"/>
  <c r="GT72"/>
  <c r="GU72"/>
  <c r="GV72"/>
  <c r="GW72"/>
  <c r="GX72"/>
  <c r="B74"/>
  <c r="B72" s="1"/>
  <c r="C74"/>
  <c r="C72" s="1"/>
  <c r="D74"/>
  <c r="D72" s="1"/>
  <c r="F74"/>
  <c r="F72" s="1"/>
  <c r="G74"/>
  <c r="G72" s="1"/>
  <c r="O74"/>
  <c r="O72" s="1"/>
  <c r="P74"/>
  <c r="P72" s="1"/>
  <c r="Q74"/>
  <c r="Q72" s="1"/>
  <c r="R74"/>
  <c r="R72" s="1"/>
  <c r="S74"/>
  <c r="S72" s="1"/>
  <c r="T74"/>
  <c r="T72" s="1"/>
  <c r="U74"/>
  <c r="U72" s="1"/>
  <c r="V74"/>
  <c r="V72" s="1"/>
  <c r="W74"/>
  <c r="W72" s="1"/>
  <c r="X74"/>
  <c r="X72" s="1"/>
  <c r="Y74"/>
  <c r="Y72" s="1"/>
  <c r="AO74"/>
  <c r="AO72" s="1"/>
  <c r="AP74"/>
  <c r="AP72" s="1"/>
  <c r="AQ74"/>
  <c r="AQ72" s="1"/>
  <c r="AR74"/>
  <c r="AR72" s="1"/>
  <c r="AS74"/>
  <c r="AS72" s="1"/>
  <c r="AT74"/>
  <c r="AT72" s="1"/>
  <c r="AU74"/>
  <c r="AU72" s="1"/>
  <c r="AV74"/>
  <c r="AV72" s="1"/>
  <c r="AW74"/>
  <c r="AW72" s="1"/>
  <c r="AX74"/>
  <c r="AX72" s="1"/>
  <c r="AY74"/>
  <c r="AY72" s="1"/>
  <c r="AZ74"/>
  <c r="AZ72" s="1"/>
  <c r="BA74"/>
  <c r="BA72" s="1"/>
  <c r="BB74"/>
  <c r="BB72" s="1"/>
  <c r="BC74"/>
  <c r="BC72" s="1"/>
  <c r="BD74"/>
  <c r="BD72" s="1"/>
  <c r="F76"/>
  <c r="F79"/>
  <c r="F80"/>
  <c r="F81"/>
  <c r="F82"/>
  <c r="F83"/>
  <c r="F84"/>
  <c r="F86"/>
  <c r="F87"/>
  <c r="F88"/>
  <c r="F89"/>
  <c r="F90"/>
  <c r="F91"/>
  <c r="F92"/>
  <c r="F94"/>
  <c r="F95"/>
  <c r="F96"/>
  <c r="F98"/>
  <c r="F99"/>
  <c r="F100"/>
  <c r="F102"/>
  <c r="B104"/>
  <c r="B22" s="1"/>
  <c r="C104"/>
  <c r="C22" s="1"/>
  <c r="D104"/>
  <c r="D22" s="1"/>
  <c r="F104"/>
  <c r="F22" s="1"/>
  <c r="G104"/>
  <c r="G22" s="1"/>
  <c r="B134"/>
  <c r="B18" s="1"/>
  <c r="C134"/>
  <c r="C18" s="1"/>
  <c r="D134"/>
  <c r="D18" s="1"/>
  <c r="F134"/>
  <c r="F18" s="1"/>
  <c r="G134"/>
  <c r="G18" s="1"/>
  <c r="H50" i="5" l="1"/>
  <c r="G86"/>
  <c r="O86" s="1"/>
  <c r="G30"/>
  <c r="H49"/>
  <c r="G54" s="1"/>
  <c r="O54" s="1"/>
  <c r="J78"/>
  <c r="P78" s="1"/>
  <c r="J54"/>
  <c r="P54" s="1"/>
  <c r="X62"/>
  <c r="G27"/>
  <c r="J62"/>
  <c r="P62" s="1"/>
  <c r="L88"/>
  <c r="L102"/>
  <c r="L98"/>
  <c r="G78"/>
  <c r="O78" s="1"/>
  <c r="X66"/>
  <c r="X68"/>
  <c r="W81"/>
  <c r="G84"/>
  <c r="O84" s="1"/>
  <c r="R46"/>
  <c r="G32" s="1"/>
  <c r="X64"/>
  <c r="X78"/>
  <c r="BC26" i="1"/>
  <c r="F56"/>
  <c r="BC104"/>
  <c r="AQ26"/>
  <c r="F50"/>
  <c r="AQ104"/>
  <c r="AB37"/>
  <c r="CR37"/>
  <c r="Q37" s="1"/>
  <c r="CZ36"/>
  <c r="Y36" s="1"/>
  <c r="CY36"/>
  <c r="X36" s="1"/>
  <c r="AI40"/>
  <c r="AU26"/>
  <c r="F59"/>
  <c r="AU104"/>
  <c r="AB38"/>
  <c r="CR38"/>
  <c r="Q38" s="1"/>
  <c r="CZ35"/>
  <c r="Y35" s="1"/>
  <c r="CY35"/>
  <c r="X35" s="1"/>
  <c r="AB29"/>
  <c r="CR29"/>
  <c r="Q29" s="1"/>
  <c r="CP34"/>
  <c r="O34" s="1"/>
  <c r="CP33"/>
  <c r="O33" s="1"/>
  <c r="AX104"/>
  <c r="AX26"/>
  <c r="F47"/>
  <c r="F44"/>
  <c r="AO104"/>
  <c r="AO26"/>
  <c r="CR34"/>
  <c r="Q34" s="1"/>
  <c r="AB34"/>
  <c r="CR33"/>
  <c r="Q33" s="1"/>
  <c r="AB33"/>
  <c r="CR32"/>
  <c r="Q32" s="1"/>
  <c r="CP32" s="1"/>
  <c r="O32" s="1"/>
  <c r="AB32"/>
  <c r="CR31"/>
  <c r="Q31" s="1"/>
  <c r="CP31" s="1"/>
  <c r="O31" s="1"/>
  <c r="AB31"/>
  <c r="CR28"/>
  <c r="Q28" s="1"/>
  <c r="AB28"/>
  <c r="CP37"/>
  <c r="O37" s="1"/>
  <c r="CJ40"/>
  <c r="AG40"/>
  <c r="BB104"/>
  <c r="BB26"/>
  <c r="F53"/>
  <c r="AP104"/>
  <c r="AP26"/>
  <c r="F49"/>
  <c r="CR36"/>
  <c r="Q36" s="1"/>
  <c r="CP36" s="1"/>
  <c r="O36" s="1"/>
  <c r="AB36"/>
  <c r="CZ34"/>
  <c r="Y34" s="1"/>
  <c r="CY34"/>
  <c r="X34" s="1"/>
  <c r="CZ33"/>
  <c r="Y33" s="1"/>
  <c r="CY33"/>
  <c r="X33" s="1"/>
  <c r="CZ32"/>
  <c r="Y32" s="1"/>
  <c r="CY32"/>
  <c r="X32" s="1"/>
  <c r="CZ31"/>
  <c r="Y31" s="1"/>
  <c r="CY31"/>
  <c r="X31" s="1"/>
  <c r="CZ30"/>
  <c r="Y30" s="1"/>
  <c r="CY30"/>
  <c r="X30" s="1"/>
  <c r="GM30" s="1"/>
  <c r="CZ28"/>
  <c r="Y28" s="1"/>
  <c r="CY28"/>
  <c r="X28" s="1"/>
  <c r="AF40"/>
  <c r="CP38"/>
  <c r="O38" s="1"/>
  <c r="CP29"/>
  <c r="O29" s="1"/>
  <c r="AH40"/>
  <c r="AJ40"/>
  <c r="F101"/>
  <c r="F97"/>
  <c r="F93"/>
  <c r="F85"/>
  <c r="F77"/>
  <c r="CI40"/>
  <c r="BD40"/>
  <c r="BX26"/>
  <c r="CX26" i="3"/>
  <c r="CX22"/>
  <c r="CX18"/>
  <c r="F78" i="1"/>
  <c r="CS38"/>
  <c r="R38" s="1"/>
  <c r="CY38" s="1"/>
  <c r="X38" s="1"/>
  <c r="CS37"/>
  <c r="R37" s="1"/>
  <c r="CZ37" s="1"/>
  <c r="Y37" s="1"/>
  <c r="CQ35"/>
  <c r="P35" s="1"/>
  <c r="CP35" s="1"/>
  <c r="O35" s="1"/>
  <c r="CS29"/>
  <c r="R29" s="1"/>
  <c r="CY29" s="1"/>
  <c r="X29" s="1"/>
  <c r="CK26"/>
  <c r="CG26"/>
  <c r="BY26"/>
  <c r="CX25" i="3"/>
  <c r="CX21"/>
  <c r="CX17"/>
  <c r="CL26" i="1"/>
  <c r="CD26"/>
  <c r="BZ26"/>
  <c r="CX24" i="3"/>
  <c r="CX20"/>
  <c r="CX16"/>
  <c r="CX23"/>
  <c r="CX19"/>
  <c r="X54" i="5" l="1"/>
  <c r="G28" s="1"/>
  <c r="J102"/>
  <c r="J98"/>
  <c r="J88"/>
  <c r="G102"/>
  <c r="G98"/>
  <c r="G26"/>
  <c r="G88"/>
  <c r="GM32" i="1"/>
  <c r="GO32"/>
  <c r="GM31"/>
  <c r="GO31"/>
  <c r="GN36"/>
  <c r="CB40" s="1"/>
  <c r="GM36"/>
  <c r="GM34"/>
  <c r="GO34"/>
  <c r="AI26"/>
  <c r="V40"/>
  <c r="CZ29"/>
  <c r="Y29" s="1"/>
  <c r="GO29" s="1"/>
  <c r="CZ38"/>
  <c r="Y38" s="1"/>
  <c r="GO38" s="1"/>
  <c r="AE40"/>
  <c r="CI26"/>
  <c r="AZ40"/>
  <c r="BA40"/>
  <c r="CJ26"/>
  <c r="AO22"/>
  <c r="AO134"/>
  <c r="F108"/>
  <c r="AX22"/>
  <c r="F111"/>
  <c r="AX134"/>
  <c r="GM33"/>
  <c r="GO33"/>
  <c r="AQ134"/>
  <c r="F114"/>
  <c r="AQ22"/>
  <c r="AL40"/>
  <c r="AD40"/>
  <c r="GO30"/>
  <c r="GO35"/>
  <c r="GM35"/>
  <c r="BD104"/>
  <c r="BD26"/>
  <c r="F65"/>
  <c r="AH26"/>
  <c r="U40"/>
  <c r="AP22"/>
  <c r="AP134"/>
  <c r="F113"/>
  <c r="G16" i="2" s="1"/>
  <c r="G18" s="1"/>
  <c r="AG26" i="1"/>
  <c r="T40"/>
  <c r="BC134"/>
  <c r="BC22"/>
  <c r="F120"/>
  <c r="AK40"/>
  <c r="CY37"/>
  <c r="X37" s="1"/>
  <c r="AC40"/>
  <c r="W40"/>
  <c r="AJ26"/>
  <c r="S40"/>
  <c r="AF26"/>
  <c r="BB22"/>
  <c r="BB134"/>
  <c r="F117"/>
  <c r="GM37"/>
  <c r="GO37"/>
  <c r="F123"/>
  <c r="AU134"/>
  <c r="AU22"/>
  <c r="CP28"/>
  <c r="O28" s="1"/>
  <c r="CH40" l="1"/>
  <c r="AC26"/>
  <c r="CF40"/>
  <c r="P40"/>
  <c r="CE40"/>
  <c r="AS40"/>
  <c r="CB26"/>
  <c r="W26"/>
  <c r="F64"/>
  <c r="W104"/>
  <c r="U26"/>
  <c r="F62"/>
  <c r="U104"/>
  <c r="BD22"/>
  <c r="F129"/>
  <c r="BD134"/>
  <c r="AD26"/>
  <c r="Q40"/>
  <c r="AQ18"/>
  <c r="F144"/>
  <c r="GM29"/>
  <c r="AL26"/>
  <c r="Y40"/>
  <c r="F51"/>
  <c r="AZ104"/>
  <c r="AZ26"/>
  <c r="BB18"/>
  <c r="F147"/>
  <c r="AE26"/>
  <c r="R40"/>
  <c r="GM38"/>
  <c r="GM28"/>
  <c r="CA40" s="1"/>
  <c r="AB40"/>
  <c r="GO28"/>
  <c r="CC40" s="1"/>
  <c r="AK26"/>
  <c r="X40"/>
  <c r="T26"/>
  <c r="F61"/>
  <c r="T104"/>
  <c r="F141"/>
  <c r="AX18"/>
  <c r="AO18"/>
  <c r="F138"/>
  <c r="F153"/>
  <c r="AU18"/>
  <c r="S26"/>
  <c r="S104"/>
  <c r="F55"/>
  <c r="F150"/>
  <c r="BC18"/>
  <c r="AP18"/>
  <c r="F143"/>
  <c r="I29" i="5" s="1"/>
  <c r="F60" i="1"/>
  <c r="BA104"/>
  <c r="BA26"/>
  <c r="V26"/>
  <c r="F63"/>
  <c r="V104"/>
  <c r="F115" l="1"/>
  <c r="AZ22"/>
  <c r="AZ134"/>
  <c r="U22"/>
  <c r="F126"/>
  <c r="U134"/>
  <c r="O40"/>
  <c r="AB26"/>
  <c r="R26"/>
  <c r="R104"/>
  <c r="F54"/>
  <c r="F52"/>
  <c r="Q26"/>
  <c r="Q104"/>
  <c r="W134"/>
  <c r="W22"/>
  <c r="F128"/>
  <c r="AS104"/>
  <c r="AS26"/>
  <c r="F57"/>
  <c r="CA26"/>
  <c r="AR40"/>
  <c r="CE26"/>
  <c r="AV40"/>
  <c r="AY40"/>
  <c r="CH26"/>
  <c r="V22"/>
  <c r="F127"/>
  <c r="V134"/>
  <c r="BA22"/>
  <c r="BA134"/>
  <c r="F124"/>
  <c r="H16" i="2" s="1"/>
  <c r="H18" s="1"/>
  <c r="F67" i="1"/>
  <c r="Y26"/>
  <c r="Y104"/>
  <c r="AW40"/>
  <c r="CF26"/>
  <c r="F66"/>
  <c r="X26"/>
  <c r="X104"/>
  <c r="AT40"/>
  <c r="CC26"/>
  <c r="F119"/>
  <c r="J16" i="2" s="1"/>
  <c r="J18" s="1"/>
  <c r="S134" i="1"/>
  <c r="S22"/>
  <c r="T22"/>
  <c r="F125"/>
  <c r="T134"/>
  <c r="BD18"/>
  <c r="F159"/>
  <c r="F43"/>
  <c r="P26"/>
  <c r="P104"/>
  <c r="AT104" l="1"/>
  <c r="AT26"/>
  <c r="F58"/>
  <c r="F68"/>
  <c r="AR104"/>
  <c r="AR26"/>
  <c r="AS22"/>
  <c r="F121"/>
  <c r="E16" i="2" s="1"/>
  <c r="AS134" i="1"/>
  <c r="Q22"/>
  <c r="F116"/>
  <c r="Q134"/>
  <c r="R22"/>
  <c r="F118"/>
  <c r="R134"/>
  <c r="U18"/>
  <c r="F156"/>
  <c r="I31" i="5" s="1"/>
  <c r="G31" s="1"/>
  <c r="F157" i="1"/>
  <c r="V18"/>
  <c r="F131"/>
  <c r="Y22"/>
  <c r="Y134"/>
  <c r="BA18"/>
  <c r="F154"/>
  <c r="I30" i="5" s="1"/>
  <c r="F158" i="1"/>
  <c r="W18"/>
  <c r="O26"/>
  <c r="O104"/>
  <c r="F42"/>
  <c r="AZ18"/>
  <c r="F145"/>
  <c r="F107"/>
  <c r="P134"/>
  <c r="P22"/>
  <c r="AY26"/>
  <c r="F48"/>
  <c r="AY104"/>
  <c r="T18"/>
  <c r="F155"/>
  <c r="F149"/>
  <c r="S18"/>
  <c r="X134"/>
  <c r="F130"/>
  <c r="X22"/>
  <c r="AW104"/>
  <c r="AW26"/>
  <c r="F46"/>
  <c r="AV104"/>
  <c r="AV26"/>
  <c r="F45"/>
  <c r="I32" i="5" l="1"/>
  <c r="AW22" i="1"/>
  <c r="F110"/>
  <c r="AW134"/>
  <c r="AR22"/>
  <c r="F132"/>
  <c r="AR134"/>
  <c r="X18"/>
  <c r="F160"/>
  <c r="Y18"/>
  <c r="F161"/>
  <c r="AY22"/>
  <c r="F112"/>
  <c r="AY134"/>
  <c r="P18"/>
  <c r="F137"/>
  <c r="AS18"/>
  <c r="F151"/>
  <c r="I27" i="5" s="1"/>
  <c r="AT22" i="1"/>
  <c r="F122"/>
  <c r="F16" i="2" s="1"/>
  <c r="F18" s="1"/>
  <c r="AT134" i="1"/>
  <c r="F148"/>
  <c r="R18"/>
  <c r="AV22"/>
  <c r="F109"/>
  <c r="AV134"/>
  <c r="F106"/>
  <c r="O134"/>
  <c r="O22"/>
  <c r="Q18"/>
  <c r="F146"/>
  <c r="E18" i="2"/>
  <c r="I16" l="1"/>
  <c r="I18" s="1"/>
  <c r="F142" i="1"/>
  <c r="AY18"/>
  <c r="AR18"/>
  <c r="F162"/>
  <c r="AV18"/>
  <c r="F139"/>
  <c r="AW18"/>
  <c r="F140"/>
  <c r="O18"/>
  <c r="F136"/>
  <c r="F152"/>
  <c r="I28" i="5" s="1"/>
  <c r="AT18" i="1"/>
  <c r="F164" l="1"/>
  <c r="F163"/>
  <c r="J104" i="5" s="1"/>
  <c r="J105" l="1"/>
  <c r="I26"/>
</calcChain>
</file>

<file path=xl/sharedStrings.xml><?xml version="1.0" encoding="utf-8"?>
<sst xmlns="http://schemas.openxmlformats.org/spreadsheetml/2006/main" count="1593" uniqueCount="321">
  <si>
    <t>Smeta.RU  (495) 974-1589</t>
  </si>
  <si>
    <t>_PS_</t>
  </si>
  <si>
    <t>Smeta.RU</t>
  </si>
  <si>
    <t/>
  </si>
  <si>
    <t>Новый объект</t>
  </si>
  <si>
    <t>видеонаблюдение внутренние Ильинский Погост 2020</t>
  </si>
  <si>
    <t>Сметные нормы списания</t>
  </si>
  <si>
    <t>Коды ценников</t>
  </si>
  <si>
    <t>ТР для Версии 10: Центральные регионы (с уч. п-ма 2536-ИП/12/ГС от 27.11.12, 01/57049-ЮЛ от 27.04.2018) от 30.08.2018 г</t>
  </si>
  <si>
    <t>ТСНБ-2001 Московской области (редакция 2014 г версия 15.0)</t>
  </si>
  <si>
    <t>Поправки  для НБ 2014 года от 28.11.2019</t>
  </si>
  <si>
    <t>Новая локальная смета</t>
  </si>
  <si>
    <t>Новый раздел</t>
  </si>
  <si>
    <t>монтажные работы</t>
  </si>
  <si>
    <t>1</t>
  </si>
  <si>
    <t>м10-10-001-1</t>
  </si>
  <si>
    <t>Камеры видеонаблюдения фиксированные</t>
  </si>
  <si>
    <t>1  ШТ.</t>
  </si>
  <si>
    <t>ТЕРм Московской обл., м10-10-001-1, приказ Минстроя России №675/пр от 21.09.2015 г.</t>
  </si>
  <si>
    <t>Монтажные работы</t>
  </si>
  <si>
    <t>Связь: системы обеспечения безопасности объектов ( отдел 10 )</t>
  </si>
  <si>
    <t>мФЕР-10</t>
  </si>
  <si>
    <t>1,1</t>
  </si>
  <si>
    <t>509-8263</t>
  </si>
  <si>
    <t>Видеокамера DinionXF 0495/51 LTC дневного/ночного наблюдения с ПЗС формата 1/3"</t>
  </si>
  <si>
    <t>шт.</t>
  </si>
  <si>
    <t>ТССЦ Московской обл., 509-8263, приказ Минстроя России №675/пр от 21.09.2015 г.</t>
  </si>
  <si>
    <t>занесена вручную</t>
  </si>
  <si>
    <t>1,2</t>
  </si>
  <si>
    <t>цена постовщика</t>
  </si>
  <si>
    <t>Видеокамера купольная цветная CVT-HDD2820A SE</t>
  </si>
  <si>
    <t>1  шт.</t>
  </si>
  <si>
    <t>1привод</t>
  </si>
  <si>
    <t>6</t>
  </si>
  <si>
    <t>м10-08-001-13</t>
  </si>
  <si>
    <t>Устройства промежуточные на количество лучей 1</t>
  </si>
  <si>
    <t>ТЕРм Московской обл., м10-08-001-13, приказ Минстроя России №675/пр от 21.09.2015 г.</t>
  </si>
  <si>
    <t>Связь: пожарно-охранная сигнализация и пром. телевиз. установки  ( отделы 8 и 9 ) (при устройстве средств посадки самолетов : НР=95%, СП=55% - {АВИА}=1)</t>
  </si>
  <si>
    <t>8</t>
  </si>
  <si>
    <t>509-7161</t>
  </si>
  <si>
    <t>Источник резервного питания, марка "РИП 12" исп. 06</t>
  </si>
  <si>
    <t>ФССЦ-2001, 509-7161, приказ Минстроя России №899/пр от 11.12.2015 г.</t>
  </si>
  <si>
    <t>Материалы монтажные</t>
  </si>
  <si>
    <t>Материалы и конструкции ( монтажные )  по ценникам и каталогам</t>
  </si>
  <si>
    <t>ФССЦм</t>
  </si>
  <si>
    <t>9</t>
  </si>
  <si>
    <t>509-1810</t>
  </si>
  <si>
    <t>Батарея аккумуляторная АКБ-7 12В/7 А/ч</t>
  </si>
  <si>
    <t>ТССЦ Московской обл., 509-1810, приказ Минстроя России №675/пр от 21.09.2015 г.</t>
  </si>
  <si>
    <t>10</t>
  </si>
  <si>
    <t>500-9016-656</t>
  </si>
  <si>
    <t>Разъемы фирмы "WISI", тип DV 82, iec-разъем, мама</t>
  </si>
  <si>
    <t>Московская область Каталог текущих цен на материалы (ГАУ Мособлгосэкспертиза), 500-9016-656</t>
  </si>
  <si>
    <t>207,35</t>
  </si>
  <si>
    <t>12</t>
  </si>
  <si>
    <t>м08-02-413-1</t>
  </si>
  <si>
    <t>Провод, количество проводов в резинобитумной трубке до 2, сечение провода до 6 мм2</t>
  </si>
  <si>
    <t>100 М ТРУБОК</t>
  </si>
  <si>
    <t>ТЕРм Московской обл., м08-02-413-1, приказ Минстроя России №675/пр от 21.09.2015 г.</t>
  </si>
  <si>
    <t>Электромонтажные работы ,  отдел 01-03 : ( на АЭС  НР = 110% ) - (работы по упр. авиа.- движением:  СП=55% (  {АВИА}=1; обычные работы : СП=65 - {AВИА}=0), при работе на АЭС СП= 68% )</t>
  </si>
  <si>
    <t>мФЕР-08</t>
  </si>
  <si>
    <t>13</t>
  </si>
  <si>
    <t>103-2413</t>
  </si>
  <si>
    <t>Трубы гибкие гофрированные легкие из самозатухающего ПВХ (IP55) серии FL, с зондом, диаметром 20 мм</t>
  </si>
  <si>
    <t>10 м</t>
  </si>
  <si>
    <t>ТССЦ Московской обл., 103-2413, приказ Минстроя России №675/пр от 21.09.2015 г.</t>
  </si>
  <si>
    <t>Материалы строительные</t>
  </si>
  <si>
    <t>Материалы и конструкции ( строительные ) по ценникам и каталогом</t>
  </si>
  <si>
    <t>ФССЦст</t>
  </si>
  <si>
    <t>14</t>
  </si>
  <si>
    <t>530-9017-00102</t>
  </si>
  <si>
    <t>Держатель с защелкой, ПВХ, 20 мм</t>
  </si>
  <si>
    <t>100 шт.</t>
  </si>
  <si>
    <t>Московская область Каталог текущих цен на материалы (ГАУ Мособлгосэкспертиза), 530-9017-00102</t>
  </si>
  <si>
    <t>228,74</t>
  </si>
  <si>
    <t>15</t>
  </si>
  <si>
    <t>500-9075-1250</t>
  </si>
  <si>
    <t>Кабель видеонаблюдения ККСП-3,7-2Х0,75, (6,0х12,3) мм</t>
  </si>
  <si>
    <t>м</t>
  </si>
  <si>
    <t>Московская область Каталог текущих цен на материалы (ГАУ Мособлгосэкспертиза), 500-9075-1250</t>
  </si>
  <si>
    <t>36,34</t>
  </si>
  <si>
    <t>ПЗ</t>
  </si>
  <si>
    <t>Прямые затраты</t>
  </si>
  <si>
    <t>СтМатОб</t>
  </si>
  <si>
    <t>Стоимость материальных ресурсов (всего)</t>
  </si>
  <si>
    <t>СтМатОбЗак</t>
  </si>
  <si>
    <t>Стоимость материалов и оборудования заказчика</t>
  </si>
  <si>
    <t>СтМатОбПод</t>
  </si>
  <si>
    <t>Стоимость материалов и оборудования подрядчика</t>
  </si>
  <si>
    <t>СтМат</t>
  </si>
  <si>
    <t>Стоимость материалов (всего)</t>
  </si>
  <si>
    <t>СтМатЗак</t>
  </si>
  <si>
    <t>Стоимость материалов заказчика</t>
  </si>
  <si>
    <t>СтМатПод</t>
  </si>
  <si>
    <t>Стоимость материалов подрядчика</t>
  </si>
  <si>
    <t>Оборуд</t>
  </si>
  <si>
    <t>Стоимость оборудования (всего)</t>
  </si>
  <si>
    <t>ОборудЗак</t>
  </si>
  <si>
    <t>Стоимость оборудования заказчика</t>
  </si>
  <si>
    <t>ОборудПод</t>
  </si>
  <si>
    <t>Стоимость оборудования подрядчика</t>
  </si>
  <si>
    <t>ЭММ</t>
  </si>
  <si>
    <t>Эксплуатация машин</t>
  </si>
  <si>
    <t>ЭММсНРиСП</t>
  </si>
  <si>
    <t>Эксплуатация машин по ТСН-2001.16</t>
  </si>
  <si>
    <t>ЗПМ</t>
  </si>
  <si>
    <t>ЗП машинистов</t>
  </si>
  <si>
    <t>ОЗП</t>
  </si>
  <si>
    <t>Основная ЗП рабочих</t>
  </si>
  <si>
    <t>ОЗПсНРиСП</t>
  </si>
  <si>
    <t>Основная ЗП рабочих по ТСН-2001.16</t>
  </si>
  <si>
    <t>Строит</t>
  </si>
  <si>
    <t>Строительные работы с НР и СП</t>
  </si>
  <si>
    <t>Монтаж</t>
  </si>
  <si>
    <t>Монтажные работы с НР и СП</t>
  </si>
  <si>
    <t>Прочие</t>
  </si>
  <si>
    <t>Прочие работы с НР и СП</t>
  </si>
  <si>
    <t>ПрочиеЗатр</t>
  </si>
  <si>
    <t>Прочие затраты по ТСН-2001.16</t>
  </si>
  <si>
    <t>ВозврМат</t>
  </si>
  <si>
    <t>Возврат материалов</t>
  </si>
  <si>
    <t>ТрудСтр</t>
  </si>
  <si>
    <t>Трудозатраты строителей</t>
  </si>
  <si>
    <t>ТрудМаш</t>
  </si>
  <si>
    <t>Трудозатраты машинистов</t>
  </si>
  <si>
    <t>ТранспМат</t>
  </si>
  <si>
    <t>Транспорт материалов</t>
  </si>
  <si>
    <t>Перевозка</t>
  </si>
  <si>
    <t>Перевозка грузов</t>
  </si>
  <si>
    <t>НР</t>
  </si>
  <si>
    <t>Накладные расходы</t>
  </si>
  <si>
    <t>СмПриб</t>
  </si>
  <si>
    <t>Сметная прибыль</t>
  </si>
  <si>
    <t>Всего</t>
  </si>
  <si>
    <t>Всего с НР и СП</t>
  </si>
  <si>
    <t>пуско-наладочные работы</t>
  </si>
  <si>
    <t>Ндс</t>
  </si>
  <si>
    <t>НДС 20%</t>
  </si>
  <si>
    <t>всего с Ндс</t>
  </si>
  <si>
    <t>всего с НДС</t>
  </si>
  <si>
    <t>СТР_РЕК</t>
  </si>
  <si>
    <t>СТРОИТЕЛЬСТВО и РЕКОНСТРУКЦИЯ  зданий и сооружений всех назначений</t>
  </si>
  <si>
    <t>РЕМ_ЖИЛ</t>
  </si>
  <si>
    <t>КАП. РЕМ. ЖИЛЫХ И ОБЩЕСТВЕННЫХ ЗДАНИЙ</t>
  </si>
  <si>
    <t>РЕМ_ПР</t>
  </si>
  <si>
    <t>КАП. РЕМ. ПРОИЗВОДСТВЕННЫХ ЗД, и СООРУЖЕНИЙ,  НАРУЖНЫХ ИНЖЕНЕРНЫХ СЕТЕЙ, УЛИЦ И ДОРОГ МЕСТНОГО ЗНАЧЕНИЯ, МОСТОВ И ПУТЕПРОВОДОВ</t>
  </si>
  <si>
    <t>УПР</t>
  </si>
  <si>
    <t>{вкл} - УПРОЩЕННОЕ НАЛОГООБЛОЖЕНИЕ</t>
  </si>
  <si>
    <t>Для всех  расценок. (  при применении упрощенной системы налогообложения)  · {УПР} - ( вкл.)    -  при упрощенной системе   ;  к = 0,9 к СП ( к= 0,7 к НР отменен с 1.01.11)  · {УПР} - ( выкл.) -  при  обычной системе налогообложения</t>
  </si>
  <si>
    <t>ХОЗ</t>
  </si>
  <si>
    <t>{вкл} - ХОЗЯЙСТВЕННЫЙ СПОСОБ</t>
  </si>
  <si>
    <t>Для всех  расценок. (  при хозяйственном способе производства работ):  · {ХОЗ} - ( вкл.)    -  при  хоз. способе (к=0,6 к НР )  · {ХОЗ} - ( выкл.) -  при обычном способе производства работ</t>
  </si>
  <si>
    <t>СЛЖ</t>
  </si>
  <si>
    <t>{вкл} -  При  РЕКОНСТРУКЦИИ сложных объектов, РЕКОНСТРУКЦИИ и КАП. РЕМОНТЕ объектов с дейст. яд. реакторами</t>
  </si>
  <si>
    <t>Для сборников ФЕР ( при производстве работ на технически сложных объектах ):  ·  { СЛЖ } - (вкл.)    - работа на сложных объектах  (к=1,2 к НР)           ·  { СЛЖ } - (выкл.) - работа на обычных объектах</t>
  </si>
  <si>
    <t>ТЕК_М/Т/Я</t>
  </si>
  <si>
    <t>При работе в тек. уровне цен с 27.04.2018 г. (письмо № 01/57049-ЮЛ от 27.04.2018 Минюст РФ), коэффициенты к НР =0,85 и к СП-0,8 не назначаются. До 27.04.2018 г. только для мостов, тоннелей, метро, АЭС, объектов с ядерным топливом (см. прим.)</t>
  </si>
  <si>
    <t>ОПТ/В</t>
  </si>
  <si>
    <t>{вкл}    - Прокладка  МЕЖДУГОРОДНИХ  ВОЛОКОННО-ОПТИЧЕСКИХ ЛИНИЙ (для ФЕРм10, отд. 6 разд.3)  {выкл} - Прокладка  ГОРОДСКИХ               ВОЛОКОННО-ОПТИТЕСКИХ ЛИНИЙ  (для ФЕРм10, отд. 6 разд.3)</t>
  </si>
  <si>
    <t>Для сборников ФЕРм-10  ( волоконно-оптические линии связи ): ·  {М_ГОР_опт} -  ( вкл.)  - междугородные сети связи ( НР=120% , СП=70% )           ·  {М_ГОР_опт} - ( выкл.) - городские сети связи  ( НР=100%; СП=65%)</t>
  </si>
  <si>
    <t>ЗАКР</t>
  </si>
  <si>
    <t>{вкл}   -  Обслуживающие и сопутстующие работы в тоннелях при  производве работ ЗАКРЫТЫМ СПОСОБОМ   {выкл} - Обслуживающие и сопутстующие работы в тоннелях при  производве работ  ОТКРЫТЫМ                       (ФЕР-29, разд.04 )</t>
  </si>
  <si>
    <t>Для сборника ФЕР -29 ( сопутствующие работы в тоннелях и метро. ): ·  {ЗАКР} - (вкл.)     -  при выполнении работ в тоннелях  и метро закрытым способом  (НР=145% , СП=75%); ·                {ЗАКР} - (выкл.) -   при выполнении работ в тоннелях и метро  отк</t>
  </si>
  <si>
    <t>АВИ</t>
  </si>
  <si>
    <t>(вкл)   -  При работах по ДИСПЕТЧЕРЕЗАЦИИ управления движением АВИАТРАНСПОРТОМ {вкл}  (монтажные работы )</t>
  </si>
  <si>
    <t>Для сборников ФЕРм 08;10;11 :    · {мАВИА} -  (вкл.)     -  производство монтажных  работы по диспетчеризации управления  движением авиатранспортном (НР=95%, СП=55%) ;    ·            {мАВИА} -  (выкл. ) -  при производстве работ на прочих объектах , кром</t>
  </si>
  <si>
    <t>АЭС</t>
  </si>
  <si>
    <t>(вкл)  -  Производство эл./монт. работ на АЭС ( ФЕРм -08 , отдел 01-03 ),  и контроль свар. швов  на АЭС {вкл}  (ФЕРм-39, отд. 02 и 03 )  (вык) -  Произовдство эл./монт. работ  и и контроль свар. швов на ОБЫЧНЫХ СООРУЖ,</t>
  </si>
  <si>
    <t>Для сборника ФЕРм -39  и ФЕРМ-08  ( при работах по контролю сварных соединений) :    {мАЭС} - ( вкл.)  -     при выполнении работ по на АЭС  (HР=101%; СП= 68%;             {мАЭС} - (выкл.) -  при выполнении работ  на обычных объектах</t>
  </si>
  <si>
    <t>Инд_исп.Сводный</t>
  </si>
  <si>
    <t>Используется Индекс "по сводному"</t>
  </si>
  <si>
    <t>К_НР_РЕМ</t>
  </si>
  <si>
    <t>при ремонте жилых и общественных зданий если  ( если {РЕМ_ЖИЛ}= [вкл.]</t>
  </si>
  <si>
    <t>Для сборников  ФЕР и  ФЕРмр :  · Значение {_МДСрем_НР}= 0,90 -  при ремонте зданий жилого и гражданского назначений ( 0,90 к НР) ;  · Значение {_МДСрем_НР}= 1,00  - при строительстве  и реконструкции  объектов всех назначений</t>
  </si>
  <si>
    <t>К_СП_РЕМ</t>
  </si>
  <si>
    <t>к нормам СП при капитальном ремонте зданий и сооружений всех назначений ( если или {РЕМ_ЖИЛ}=[вкл] , или (РЕМ_ПР}=[вкл] )</t>
  </si>
  <si>
    <t>Для сборников  ФЕР и  ФЕРмр :   · Значение {_МДСрем_СП} = 0.85  -  при ремонте зданий всех назначений ( 0,85 к СП);   · Значение {_МДСрем_СП} = 1,00 -  при строительстве  и реконструкции  объектов всех назначений</t>
  </si>
  <si>
    <t>К_НР_05</t>
  </si>
  <si>
    <t>К нормам НР  с 1.01.2005 по 1.01.2011</t>
  </si>
  <si>
    <t>Для норм НР с 1.01.2011 года:  · {_ТЕК_НР} = 0.85  -  Коэффициент   учитывающий изменение нормы страховых взносов с  1.01.1 - (при расчете в текущем уровне цен  индексами по статьям затрат )  · {_ТЕК_НР} = 1,00  -  при расчет в текущем уровне цен и при уп</t>
  </si>
  <si>
    <t>К_НР_11</t>
  </si>
  <si>
    <t>Коэфф.  к НР для текущего уровня цен с 01.01.2011  при обычном и упрощенном налогообложении  при постатейной индексации</t>
  </si>
  <si>
    <t>К_СП_11</t>
  </si>
  <si>
    <t>Коэф. к  СП в текущем уровне цен  с 01.01.2011</t>
  </si>
  <si>
    <t>Для норм СП с 1.01.2011 года:  · {_ТЕК_СП} = 0.80  -  Коэффициент   учитывающий изменение нормы страховых взносов с  1.01.11 - (при расчете в текущем уровне цен  индексами по статьям затрат )  · {_ТЕК_СП} = 1,00  -  без учета</t>
  </si>
  <si>
    <t>К_НР_12</t>
  </si>
  <si>
    <t>Корректировка НР с 03.12.12 до 27.04.18 если (ТЕК_М/Т/Я) = {выкл.}</t>
  </si>
  <si>
    <t>К_СП_12</t>
  </si>
  <si>
    <t>Корректировка СП с 03.12.12 до 27.04.18 в текущем уровне цен по письму  2536-ИП/12/ГС от 27.11.12  ( если (ТЕК_М/Т/Я) = {выкл.} )</t>
  </si>
  <si>
    <t>К_НР_УПР</t>
  </si>
  <si>
    <t>Коэф. к  НР при упрощенном налогообложении    ( если {УПР} = [вкл] )</t>
  </si>
  <si>
    <t>К_СП_УПР</t>
  </si>
  <si>
    <t>Коэф. к СП при упрощенном налогообложении    ( если {УПР} = [вкл] )</t>
  </si>
  <si>
    <t>К_НР_ХОЗ</t>
  </si>
  <si>
    <t>Коэф. к НР при хозяйственном способе производства работ   ( если {ХОЗ}= {вкл} )</t>
  </si>
  <si>
    <t>К_НР_СЛЖ</t>
  </si>
  <si>
    <t>Коэф.  при реконструкции сложных объектов (мосты, метро, путепроводы)  и  кап. ремонте АЭС, объектов с яд. реакторами   ( если {СЛЖ} = [вкл] )</t>
  </si>
  <si>
    <t>Р_ОКР</t>
  </si>
  <si>
    <t>Разрядность округления результата расчета НР и СП  ( с 01.01.2011 - до целых )</t>
  </si>
  <si>
    <t>К_НР_УПР_ПУ</t>
  </si>
  <si>
    <t>Коэф. к НР при упрощенном налогообложении ( если {УПР} = [вкл] ) для расценок на изготовление материалов, полуфабрикатов, а также металлических и трубопроводных заготовок, изготовляемых в построечных условиях</t>
  </si>
  <si>
    <t>Уровень цен</t>
  </si>
  <si>
    <t>Сборник индексов</t>
  </si>
  <si>
    <t>ТСНБ-2001 МО (редакция 2014 г)</t>
  </si>
  <si>
    <t>Вид цен</t>
  </si>
  <si>
    <t>Московская область Каталог текущих цен на материалы, декабрь 2019 г</t>
  </si>
  <si>
    <t>_OBSM_</t>
  </si>
  <si>
    <t>1-2049-90</t>
  </si>
  <si>
    <t>Рабочий монтажник среднего разряда 4,9</t>
  </si>
  <si>
    <t>чел.-ч</t>
  </si>
  <si>
    <t>134041</t>
  </si>
  <si>
    <t>ТСЭМ Московской обл., 134041, приказ Минстроя России №675/пр от 21.09.2015 г.</t>
  </si>
  <si>
    <t>Шуруповерт</t>
  </si>
  <si>
    <t>маш.-ч</t>
  </si>
  <si>
    <t>331454</t>
  </si>
  <si>
    <t>ТСЭМ Московской обл., 331454, приказ Минстроя России №675/пр от 21.09.2015 г.</t>
  </si>
  <si>
    <t>Перфоратор электрический мощностью 1,5 кВт, энергией удара до 18 Дж</t>
  </si>
  <si>
    <t>101-2202</t>
  </si>
  <si>
    <t>ТССЦ Московской обл., 101-2202, приказ Минстроя России №675/пр от 21.09.2015 г.</t>
  </si>
  <si>
    <t>Дюбели распорные полиэтиленовые 6х40 мм</t>
  </si>
  <si>
    <t>10 шт.</t>
  </si>
  <si>
    <t>999-9950</t>
  </si>
  <si>
    <t>ТССЦ Московской обл., 999-9950, приказ Минстроя России №675/пр от 21.09.2015 г.</t>
  </si>
  <si>
    <t>Вспомогательные ненормируемые материалы (2% от ОЗП)</t>
  </si>
  <si>
    <t>РУБ</t>
  </si>
  <si>
    <t>1-2044-90</t>
  </si>
  <si>
    <t>Рабочий монтажник среднего разряда 4,4</t>
  </si>
  <si>
    <t>330206</t>
  </si>
  <si>
    <t>ТСЭМ Московской обл., 330206, приказ Минстроя России №675/пр от 21.09.2015 г.</t>
  </si>
  <si>
    <t>Дрели электрические</t>
  </si>
  <si>
    <t>101-1963</t>
  </si>
  <si>
    <t>ТССЦ Московской обл., 101-1963, приказ Минстроя России №675/пр от 21.09.2015 г.</t>
  </si>
  <si>
    <t>Канифоль сосновая</t>
  </si>
  <si>
    <t>кг</t>
  </si>
  <si>
    <t>101-2206</t>
  </si>
  <si>
    <t>ТССЦ Московской обл., 101-2206, приказ Минстроя России №675/пр от 21.09.2015 г.</t>
  </si>
  <si>
    <t>Дюбели пластмассовые с шурупами 12х70 мм</t>
  </si>
  <si>
    <t>405-0219</t>
  </si>
  <si>
    <t>ТССЦ Московской обл., 405-0219, приказ Минстроя России №675/пр от 21.09.2015 г.</t>
  </si>
  <si>
    <t>Гипсовые вяжущие, марка Г3</t>
  </si>
  <si>
    <t>т</t>
  </si>
  <si>
    <t>506-1361</t>
  </si>
  <si>
    <t>ТССЦ Московской обл., 506-1361, приказ Минстроя России №675/пр от 21.09.2015 г.</t>
  </si>
  <si>
    <t>Припои оловянно-свинцовые бессурьмянистые марки ПОС40</t>
  </si>
  <si>
    <t>1-2038-90</t>
  </si>
  <si>
    <t>Рабочий монтажник среднего разряда 3,8</t>
  </si>
  <si>
    <t>2</t>
  </si>
  <si>
    <t>Затраты труда машинистов</t>
  </si>
  <si>
    <t>чел.час</t>
  </si>
  <si>
    <t>021102</t>
  </si>
  <si>
    <t>ТСЭМ Московской обл., 021102, приказ Минстроя России №675/пр от 21.09.2015 г.</t>
  </si>
  <si>
    <t>Краны на автомобильном ходу при работе на монтаже технологического оборудования 10 т</t>
  </si>
  <si>
    <t>400001</t>
  </si>
  <si>
    <t>ТСЭМ Московской обл., 400001, приказ Минстроя России №675/пр от 21.09.2015 г.</t>
  </si>
  <si>
    <t>Автомобили бортовые, грузоподъемность до 5 т</t>
  </si>
  <si>
    <t>101-0319</t>
  </si>
  <si>
    <t>ТССЦ Московской обл., 101-0319, приказ Минстроя России №675/пр от 21.09.2015 г.</t>
  </si>
  <si>
    <t>Картон строительный прокладочный марки Б</t>
  </si>
  <si>
    <t>101-0612</t>
  </si>
  <si>
    <t>ТССЦ Московской обл., 101-0612, приказ Минстроя России №675/пр от 21.09.2015 г.</t>
  </si>
  <si>
    <t>Мастика клеящая морозостойкая битумно-масляная МБ-50</t>
  </si>
  <si>
    <t>101-1764</t>
  </si>
  <si>
    <t>ТССЦ Московской обл., 101-1764, приказ Минстроя России №675/пр от 21.09.2015 г.</t>
  </si>
  <si>
    <t>Тальк молотый, сорт I</t>
  </si>
  <si>
    <t>101-2143</t>
  </si>
  <si>
    <t>ТССЦ Московской обл., 101-2143, приказ Минстроя России №675/пр от 21.09.2015 г.</t>
  </si>
  <si>
    <t>Краска</t>
  </si>
  <si>
    <t>101-2499</t>
  </si>
  <si>
    <t>ТССЦ Московской обл., 101-2499, приказ Минстроя России №675/пр от 21.09.2015 г.</t>
  </si>
  <si>
    <t>Лента изоляционная прорезиненная односторонняя ширина 20 мм, толщина 0,25-0,35 мм</t>
  </si>
  <si>
    <t>101-3914</t>
  </si>
  <si>
    <t>ТССЦ Московской обл., 101-3914, приказ Минстроя России №675/пр от 21.09.2015 г.</t>
  </si>
  <si>
    <t>Дюбели распорные полипропиленовые</t>
  </si>
  <si>
    <t>"СОГЛАСОВАНО"</t>
  </si>
  <si>
    <t>"УТВЕРЖДАЮ"</t>
  </si>
  <si>
    <t>"_____"________________ 2021 г.</t>
  </si>
  <si>
    <t>(наименование стройки)</t>
  </si>
  <si>
    <t xml:space="preserve">Номер заказа   </t>
  </si>
  <si>
    <t>(наименование работ и затрат, наименование объекта)</t>
  </si>
  <si>
    <t>базовая цена</t>
  </si>
  <si>
    <t>текущая цена</t>
  </si>
  <si>
    <t>Сметная стоимость</t>
  </si>
  <si>
    <t>тыс. руб.</t>
  </si>
  <si>
    <t xml:space="preserve">     Строительные работы</t>
  </si>
  <si>
    <t xml:space="preserve">     Монтажные работы</t>
  </si>
  <si>
    <t xml:space="preserve">     Оборудование</t>
  </si>
  <si>
    <t xml:space="preserve">     Прочие работы</t>
  </si>
  <si>
    <t>Нормативная трудоемкость</t>
  </si>
  <si>
    <t>чел. -ч.</t>
  </si>
  <si>
    <t>Средства на оплату труда</t>
  </si>
  <si>
    <t>Строительный объем:</t>
  </si>
  <si>
    <t>Стоимость ед.стр.объема:</t>
  </si>
  <si>
    <t>№ п/п</t>
  </si>
  <si>
    <t>Шифр расценки и коды ресурсов</t>
  </si>
  <si>
    <t>Наименование работ и затрат</t>
  </si>
  <si>
    <t>Ед. изм.</t>
  </si>
  <si>
    <t>Кол-во единиц</t>
  </si>
  <si>
    <t>Цена на ед. изм.</t>
  </si>
  <si>
    <t>Попра-вочные коэфф.</t>
  </si>
  <si>
    <t>Стоимость в ценах 2001г.</t>
  </si>
  <si>
    <t>Пункт коэфф. пересчета</t>
  </si>
  <si>
    <t>Коэфф. пересчета</t>
  </si>
  <si>
    <t>Стоимость в текущих ценах</t>
  </si>
  <si>
    <t>ЗТР всего чел.-час</t>
  </si>
  <si>
    <t>Составлена в ценах ТСНБ-2001 МО (редакция 2014 г) февраль 2020 года и Московская область Каталог текущих цен на материалы, декабрь 2019 г</t>
  </si>
  <si>
    <t>Зарплата</t>
  </si>
  <si>
    <t>Материальные ресурсы</t>
  </si>
  <si>
    <t>НР от ФОТ</t>
  </si>
  <si>
    <t>%</t>
  </si>
  <si>
    <t>СП от ФОТ</t>
  </si>
  <si>
    <t>Затраты труда</t>
  </si>
  <si>
    <t>чел-ч</t>
  </si>
  <si>
    <r>
      <t>Разъемы фирмы "WISI", тип DV 82, iec-разъем, мама</t>
    </r>
    <r>
      <rPr>
        <i/>
        <sz val="10"/>
        <rFont val="Arial"/>
        <family val="2"/>
        <charset val="204"/>
      </rPr>
      <t xml:space="preserve">
207,35 = 207,35</t>
    </r>
  </si>
  <si>
    <t>в т.ч. зарплата машинистов</t>
  </si>
  <si>
    <r>
      <t>Держатель с защелкой, ПВХ, 20 мм</t>
    </r>
    <r>
      <rPr>
        <i/>
        <sz val="10"/>
        <rFont val="Arial"/>
        <family val="2"/>
        <charset val="204"/>
      </rPr>
      <t xml:space="preserve">
228,74 = 228,74</t>
    </r>
  </si>
  <si>
    <r>
      <t>Кабель видеонаблюдения ККСП-3,7-2Х0,75, (6,0х12,3) мм</t>
    </r>
    <r>
      <rPr>
        <i/>
        <sz val="10"/>
        <rFont val="Arial"/>
        <family val="2"/>
        <charset val="204"/>
      </rPr>
      <t xml:space="preserve">
36,34 = 36,34</t>
    </r>
  </si>
  <si>
    <t xml:space="preserve">   </t>
  </si>
  <si>
    <t xml:space="preserve">Объемы согласовал  </t>
  </si>
  <si>
    <t>[должность,подпись(инициалы,фамилия)]</t>
  </si>
  <si>
    <t xml:space="preserve">Составил  </t>
  </si>
  <si>
    <t xml:space="preserve">Проверил  </t>
  </si>
</sst>
</file>

<file path=xl/styles.xml><?xml version="1.0" encoding="utf-8"?>
<styleSheet xmlns="http://schemas.openxmlformats.org/spreadsheetml/2006/main">
  <numFmts count="3">
    <numFmt numFmtId="164" formatCode="#,##0.00;[Red]\-\ #,##0.00"/>
    <numFmt numFmtId="165" formatCode="#,##0.00####;[Red]\-\ #,##0.00####"/>
    <numFmt numFmtId="166" formatCode="#,##0.0;[Red]\-\ #,##0.0"/>
  </numFmts>
  <fonts count="20">
    <font>
      <sz val="10"/>
      <name val="Arial"/>
      <charset val="204"/>
    </font>
    <font>
      <b/>
      <sz val="10"/>
      <color indexed="12"/>
      <name val="Arial"/>
      <charset val="204"/>
    </font>
    <font>
      <b/>
      <sz val="10"/>
      <color indexed="16"/>
      <name val="Arial"/>
      <charset val="204"/>
    </font>
    <font>
      <b/>
      <sz val="10"/>
      <color indexed="20"/>
      <name val="Arial"/>
      <charset val="204"/>
    </font>
    <font>
      <b/>
      <sz val="10"/>
      <color indexed="17"/>
      <name val="Arial"/>
      <charset val="204"/>
    </font>
    <font>
      <sz val="10"/>
      <color indexed="17"/>
      <name val="Arial"/>
      <charset val="204"/>
    </font>
    <font>
      <sz val="10"/>
      <color indexed="12"/>
      <name val="Arial"/>
      <charset val="204"/>
    </font>
    <font>
      <sz val="10"/>
      <color indexed="14"/>
      <name val="Arial"/>
      <charset val="204"/>
    </font>
    <font>
      <b/>
      <sz val="10"/>
      <color indexed="14"/>
      <name val="Arial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i/>
      <sz val="11"/>
      <name val="Arial"/>
      <family val="2"/>
      <charset val="204"/>
    </font>
    <font>
      <i/>
      <sz val="10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1" fillId="0" borderId="0" xfId="0" applyFont="1" applyAlignment="1">
      <alignment horizontal="right"/>
    </xf>
    <xf numFmtId="0" fontId="11" fillId="0" borderId="0" xfId="0" applyFont="1"/>
    <xf numFmtId="0" fontId="12" fillId="0" borderId="0" xfId="0" applyFont="1" applyAlignment="1"/>
    <xf numFmtId="0" fontId="11" fillId="0" borderId="0" xfId="0" applyFont="1" applyAlignment="1"/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Alignment="1">
      <alignment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14" fillId="0" borderId="0" xfId="0" applyFont="1" applyAlignment="1">
      <alignment horizontal="right"/>
    </xf>
    <xf numFmtId="0" fontId="11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6" fillId="0" borderId="0" xfId="0" applyFont="1" applyAlignment="1">
      <alignment horizontal="left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164" fontId="0" fillId="0" borderId="0" xfId="0" applyNumberFormat="1"/>
    <xf numFmtId="0" fontId="11" fillId="0" borderId="2" xfId="0" applyFont="1" applyBorder="1"/>
    <xf numFmtId="0" fontId="9" fillId="0" borderId="0" xfId="0" applyFont="1" applyAlignment="1">
      <alignment vertical="top" wrapText="1"/>
    </xf>
    <xf numFmtId="0" fontId="0" fillId="0" borderId="2" xfId="0" applyBorder="1"/>
    <xf numFmtId="0" fontId="9" fillId="0" borderId="2" xfId="0" applyFont="1" applyBorder="1" applyAlignment="1">
      <alignment vertical="top" wrapText="1"/>
    </xf>
    <xf numFmtId="0" fontId="11" fillId="0" borderId="0" xfId="0" applyFont="1" applyAlignment="1">
      <alignment vertical="center"/>
    </xf>
    <xf numFmtId="0" fontId="14" fillId="0" borderId="0" xfId="0" applyFont="1"/>
    <xf numFmtId="0" fontId="11" fillId="0" borderId="0" xfId="0" applyFont="1" applyAlignment="1">
      <alignment horizontal="left" wrapText="1"/>
    </xf>
    <xf numFmtId="0" fontId="17" fillId="0" borderId="0" xfId="0" applyFont="1" applyAlignment="1">
      <alignment horizontal="right" wrapText="1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 wrapText="1"/>
    </xf>
    <xf numFmtId="164" fontId="11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164" fontId="10" fillId="0" borderId="0" xfId="0" applyNumberFormat="1" applyFont="1" applyAlignment="1">
      <alignment horizontal="right"/>
    </xf>
    <xf numFmtId="0" fontId="11" fillId="0" borderId="0" xfId="0" quotePrefix="1" applyFont="1" applyAlignment="1">
      <alignment horizontal="right" wrapText="1"/>
    </xf>
    <xf numFmtId="0" fontId="17" fillId="0" borderId="2" xfId="0" applyFont="1" applyBorder="1" applyAlignment="1">
      <alignment horizontal="right" wrapText="1"/>
    </xf>
    <xf numFmtId="0" fontId="11" fillId="0" borderId="2" xfId="0" applyFont="1" applyBorder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1" fillId="0" borderId="2" xfId="0" quotePrefix="1" applyFont="1" applyBorder="1" applyAlignment="1">
      <alignment horizontal="right" wrapText="1"/>
    </xf>
    <xf numFmtId="164" fontId="11" fillId="0" borderId="2" xfId="0" applyNumberFormat="1" applyFont="1" applyBorder="1" applyAlignment="1">
      <alignment horizontal="right"/>
    </xf>
    <xf numFmtId="0" fontId="11" fillId="0" borderId="2" xfId="0" applyFont="1" applyBorder="1" applyAlignment="1">
      <alignment horizontal="right" wrapText="1"/>
    </xf>
    <xf numFmtId="0" fontId="10" fillId="0" borderId="2" xfId="0" applyFont="1" applyBorder="1" applyAlignment="1">
      <alignment horizontal="right"/>
    </xf>
    <xf numFmtId="164" fontId="19" fillId="0" borderId="0" xfId="0" applyNumberFormat="1" applyFont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7" fillId="0" borderId="0" xfId="0" applyNumberFormat="1" applyFont="1" applyAlignment="1">
      <alignment horizontal="right"/>
    </xf>
    <xf numFmtId="0" fontId="11" fillId="0" borderId="0" xfId="0" applyFont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11" fillId="0" borderId="2" xfId="0" applyFont="1" applyBorder="1" applyAlignment="1">
      <alignment horizontal="left" vertical="top" wrapText="1"/>
    </xf>
    <xf numFmtId="165" fontId="9" fillId="0" borderId="0" xfId="0" applyNumberFormat="1" applyFont="1" applyAlignment="1">
      <alignment horizontal="left"/>
    </xf>
    <xf numFmtId="0" fontId="14" fillId="0" borderId="0" xfId="0" applyFont="1" applyAlignment="1">
      <alignment horizontal="left" wrapText="1"/>
    </xf>
    <xf numFmtId="164" fontId="14" fillId="0" borderId="1" xfId="0" applyNumberFormat="1" applyFont="1" applyBorder="1" applyAlignment="1">
      <alignment horizontal="right"/>
    </xf>
    <xf numFmtId="0" fontId="12" fillId="0" borderId="0" xfId="0" applyFont="1" applyAlignment="1">
      <alignment horizontal="center" wrapText="1"/>
    </xf>
    <xf numFmtId="164" fontId="14" fillId="0" borderId="0" xfId="0" applyNumberFormat="1" applyFont="1" applyAlignment="1">
      <alignment horizontal="right"/>
    </xf>
    <xf numFmtId="0" fontId="14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vertical="top"/>
    </xf>
    <xf numFmtId="0" fontId="11" fillId="0" borderId="2" xfId="0" applyFont="1" applyBorder="1" applyAlignment="1">
      <alignment horizontal="left"/>
    </xf>
    <xf numFmtId="0" fontId="11" fillId="0" borderId="0" xfId="0" applyFont="1" applyAlignment="1">
      <alignment horizontal="left" wrapText="1"/>
    </xf>
    <xf numFmtId="166" fontId="11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164" fontId="11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10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Border="1" applyAlignment="1">
      <alignment horizontal="left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15"/>
  <sheetViews>
    <sheetView tabSelected="1" zoomScaleNormal="100" workbookViewId="0">
      <selection activeCell="A31" sqref="A31"/>
    </sheetView>
  </sheetViews>
  <sheetFormatPr defaultRowHeight="12.75"/>
  <cols>
    <col min="1" max="1" width="5.7109375" customWidth="1"/>
    <col min="2" max="2" width="11.7109375" customWidth="1"/>
    <col min="3" max="3" width="40.7109375" customWidth="1"/>
    <col min="4" max="5" width="10.7109375" customWidth="1"/>
    <col min="6" max="8" width="12.7109375" customWidth="1"/>
    <col min="9" max="9" width="17.7109375" customWidth="1"/>
    <col min="10" max="10" width="8.7109375" customWidth="1"/>
    <col min="11" max="11" width="12.7109375" customWidth="1"/>
    <col min="12" max="12" width="9.7109375" customWidth="1"/>
    <col min="15" max="31" width="0" hidden="1" customWidth="1"/>
    <col min="32" max="32" width="91.7109375" hidden="1" customWidth="1"/>
    <col min="33" max="36" width="0" hidden="1" customWidth="1"/>
  </cols>
  <sheetData>
    <row r="1" spans="1:12">
      <c r="A1" s="9" t="str">
        <f>Source!B1</f>
        <v>Smeta.RU  (495) 974-1589</v>
      </c>
    </row>
    <row r="2" spans="1:12" ht="14.25">
      <c r="A2" s="10"/>
      <c r="B2" s="10"/>
      <c r="C2" s="10"/>
      <c r="D2" s="10"/>
      <c r="E2" s="10"/>
      <c r="F2" s="10"/>
      <c r="G2" s="10"/>
      <c r="H2" s="10"/>
      <c r="I2" s="10"/>
      <c r="J2" s="10"/>
      <c r="K2" s="11"/>
      <c r="L2" s="11"/>
    </row>
    <row r="3" spans="1:12" ht="16.5">
      <c r="A3" s="12"/>
      <c r="B3" s="82" t="s">
        <v>273</v>
      </c>
      <c r="C3" s="82"/>
      <c r="D3" s="82"/>
      <c r="E3" s="82"/>
      <c r="F3" s="11"/>
      <c r="G3" s="11"/>
      <c r="H3" s="82" t="s">
        <v>274</v>
      </c>
      <c r="I3" s="82"/>
      <c r="J3" s="82"/>
      <c r="K3" s="82"/>
      <c r="L3" s="82"/>
    </row>
    <row r="4" spans="1:12" ht="14.25">
      <c r="A4" s="11"/>
      <c r="B4" s="83"/>
      <c r="C4" s="83"/>
      <c r="D4" s="83"/>
      <c r="E4" s="83"/>
      <c r="F4" s="11"/>
      <c r="G4" s="11"/>
      <c r="H4" s="83"/>
      <c r="I4" s="83"/>
      <c r="J4" s="83"/>
      <c r="K4" s="83"/>
      <c r="L4" s="83"/>
    </row>
    <row r="5" spans="1:12" ht="14.25">
      <c r="A5" s="13"/>
      <c r="B5" s="13"/>
      <c r="C5" s="14"/>
      <c r="D5" s="14"/>
      <c r="E5" s="14"/>
      <c r="F5" s="11"/>
      <c r="G5" s="11"/>
      <c r="H5" s="15"/>
      <c r="I5" s="14"/>
      <c r="J5" s="14"/>
      <c r="K5" s="14"/>
      <c r="L5" s="15"/>
    </row>
    <row r="6" spans="1:12" ht="14.25">
      <c r="A6" s="15"/>
      <c r="B6" s="83" t="str">
        <f>CONCATENATE("______________________ ", IF(Source!AL12&lt;&gt;"", Source!AL12, ""))</f>
        <v xml:space="preserve">______________________ </v>
      </c>
      <c r="C6" s="83"/>
      <c r="D6" s="83"/>
      <c r="E6" s="83"/>
      <c r="F6" s="11"/>
      <c r="G6" s="11"/>
      <c r="H6" s="83" t="str">
        <f>CONCATENATE("______________________ ", IF(Source!AH12&lt;&gt;"", Source!AH12, ""))</f>
        <v xml:space="preserve">______________________ </v>
      </c>
      <c r="I6" s="83"/>
      <c r="J6" s="83"/>
      <c r="K6" s="83"/>
      <c r="L6" s="83"/>
    </row>
    <row r="7" spans="1:12" ht="14.25">
      <c r="A7" s="16"/>
      <c r="B7" s="79" t="s">
        <v>275</v>
      </c>
      <c r="C7" s="79"/>
      <c r="D7" s="79"/>
      <c r="E7" s="79"/>
      <c r="F7" s="11"/>
      <c r="G7" s="11"/>
      <c r="H7" s="79" t="s">
        <v>275</v>
      </c>
      <c r="I7" s="79"/>
      <c r="J7" s="79"/>
      <c r="K7" s="79"/>
      <c r="L7" s="79"/>
    </row>
    <row r="10" spans="1:12" ht="15.75">
      <c r="A10" s="16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16"/>
    </row>
    <row r="11" spans="1:12" ht="14.25">
      <c r="A11" s="17"/>
      <c r="B11" s="80" t="s">
        <v>276</v>
      </c>
      <c r="C11" s="80"/>
      <c r="D11" s="80"/>
      <c r="E11" s="80"/>
      <c r="F11" s="80"/>
      <c r="G11" s="80"/>
      <c r="H11" s="80"/>
      <c r="I11" s="80"/>
      <c r="J11" s="80"/>
      <c r="K11" s="80"/>
      <c r="L11" s="16"/>
    </row>
    <row r="12" spans="1:12" ht="14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</row>
    <row r="13" spans="1:12" ht="14.25">
      <c r="A13" s="11"/>
      <c r="B13" s="11"/>
      <c r="C13" s="11"/>
      <c r="D13" s="11"/>
      <c r="E13" s="11"/>
      <c r="F13" s="81" t="s">
        <v>277</v>
      </c>
      <c r="G13" s="81"/>
      <c r="H13" s="68" t="str">
        <f>IF(Source!F12&lt;&gt;"Новый объект", Source!F12, "")</f>
        <v/>
      </c>
      <c r="I13" s="68"/>
      <c r="J13" s="68"/>
      <c r="K13" s="68"/>
      <c r="L13" s="18"/>
    </row>
    <row r="14" spans="1:12" ht="14.25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</row>
    <row r="15" spans="1:12" ht="15.75">
      <c r="A15" s="19"/>
      <c r="B15" s="74" t="str">
        <f>CONCATENATE( "ЛОКАЛЬНАЯ СМЕТА № ",IF(Source!F12&lt;&gt;"Новый объект", Source!F12, ""))</f>
        <v xml:space="preserve">ЛОКАЛЬНАЯ СМЕТА № </v>
      </c>
      <c r="C15" s="74"/>
      <c r="D15" s="74"/>
      <c r="E15" s="74"/>
      <c r="F15" s="74"/>
      <c r="G15" s="74"/>
      <c r="H15" s="74"/>
      <c r="I15" s="74"/>
      <c r="J15" s="74"/>
      <c r="K15" s="74"/>
      <c r="L15" s="19"/>
    </row>
    <row r="16" spans="1:12" ht="15.7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19"/>
    </row>
    <row r="17" spans="1:12" ht="18" hidden="1">
      <c r="A17" s="19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19"/>
    </row>
    <row r="18" spans="1:12" ht="14.25" hidden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1:12" ht="18">
      <c r="A19" s="11"/>
      <c r="B19" s="76" t="str">
        <f>IF(Source!G12&lt;&gt;"Новый объект", Source!G12, "")</f>
        <v>видеонаблюдение внутренние Ильинский Погост 2020</v>
      </c>
      <c r="C19" s="76"/>
      <c r="D19" s="76"/>
      <c r="E19" s="76"/>
      <c r="F19" s="76"/>
      <c r="G19" s="76"/>
      <c r="H19" s="76"/>
      <c r="I19" s="76"/>
      <c r="J19" s="76"/>
      <c r="K19" s="76"/>
      <c r="L19" s="21"/>
    </row>
    <row r="20" spans="1:12" ht="14.25">
      <c r="A20" s="11"/>
      <c r="B20" s="77" t="s">
        <v>278</v>
      </c>
      <c r="C20" s="77"/>
      <c r="D20" s="77"/>
      <c r="E20" s="77"/>
      <c r="F20" s="77"/>
      <c r="G20" s="77"/>
      <c r="H20" s="77"/>
      <c r="I20" s="77"/>
      <c r="J20" s="77"/>
      <c r="K20" s="77"/>
      <c r="L20" s="16"/>
    </row>
    <row r="21" spans="1:12" ht="14.25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 ht="14.25">
      <c r="A22" s="68" t="str">
        <f>CONCATENATE("Основание: ", Source!J12)</f>
        <v xml:space="preserve">Основание: 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</row>
    <row r="23" spans="1:12" ht="14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</row>
    <row r="24" spans="1:12" ht="14.25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</row>
    <row r="25" spans="1:12" ht="14.25">
      <c r="A25" s="11"/>
      <c r="B25" s="11"/>
      <c r="C25" s="11"/>
      <c r="D25" s="11"/>
      <c r="E25" s="22"/>
      <c r="F25" s="22"/>
      <c r="G25" s="78" t="s">
        <v>279</v>
      </c>
      <c r="H25" s="78"/>
      <c r="I25" s="78" t="s">
        <v>280</v>
      </c>
      <c r="J25" s="78"/>
      <c r="K25" s="11"/>
      <c r="L25" s="11"/>
    </row>
    <row r="26" spans="1:12" ht="15">
      <c r="A26" s="11"/>
      <c r="B26" s="11"/>
      <c r="C26" s="70" t="s">
        <v>281</v>
      </c>
      <c r="D26" s="70"/>
      <c r="E26" s="70"/>
      <c r="F26" s="70"/>
      <c r="G26" s="71">
        <f>SUM(O1:O103)/1000</f>
        <v>59.481839999999998</v>
      </c>
      <c r="H26" s="71"/>
      <c r="I26" s="71">
        <f>(Source!F164/1000)</f>
        <v>171.05029999999999</v>
      </c>
      <c r="J26" s="71"/>
      <c r="K26" s="72" t="s">
        <v>282</v>
      </c>
      <c r="L26" s="72"/>
    </row>
    <row r="27" spans="1:12" ht="14.25">
      <c r="A27" s="11"/>
      <c r="B27" s="11"/>
      <c r="C27" s="73" t="s">
        <v>283</v>
      </c>
      <c r="D27" s="73"/>
      <c r="E27" s="73"/>
      <c r="F27" s="73"/>
      <c r="G27" s="71">
        <f>SUM(W1:W103)/1000</f>
        <v>0.8852000000000001</v>
      </c>
      <c r="H27" s="71"/>
      <c r="I27" s="71">
        <f>(Source!F151)/1000</f>
        <v>3.2132800000000001</v>
      </c>
      <c r="J27" s="71"/>
      <c r="K27" s="72" t="s">
        <v>282</v>
      </c>
      <c r="L27" s="72"/>
    </row>
    <row r="28" spans="1:12" ht="14.25">
      <c r="A28" s="11"/>
      <c r="B28" s="11"/>
      <c r="C28" s="73" t="s">
        <v>284</v>
      </c>
      <c r="D28" s="73"/>
      <c r="E28" s="73"/>
      <c r="F28" s="73"/>
      <c r="G28" s="71">
        <f>SUM(X1:X103)/1000</f>
        <v>58.596640000000001</v>
      </c>
      <c r="H28" s="71"/>
      <c r="I28" s="71">
        <f>(Source!F152)/1000</f>
        <v>139.32866000000001</v>
      </c>
      <c r="J28" s="71"/>
      <c r="K28" s="72" t="s">
        <v>282</v>
      </c>
      <c r="L28" s="72"/>
    </row>
    <row r="29" spans="1:12" ht="14.25">
      <c r="A29" s="11"/>
      <c r="B29" s="11"/>
      <c r="C29" s="73" t="s">
        <v>285</v>
      </c>
      <c r="D29" s="73"/>
      <c r="E29" s="73"/>
      <c r="F29" s="73"/>
      <c r="G29" s="71">
        <f>SUM(Y1:Y103)/1000</f>
        <v>0</v>
      </c>
      <c r="H29" s="71"/>
      <c r="I29" s="71">
        <f>(Source!F143)/1000</f>
        <v>0</v>
      </c>
      <c r="J29" s="71"/>
      <c r="K29" s="72" t="s">
        <v>282</v>
      </c>
      <c r="L29" s="72"/>
    </row>
    <row r="30" spans="1:12" ht="14.25">
      <c r="A30" s="11"/>
      <c r="B30" s="11"/>
      <c r="C30" s="73" t="s">
        <v>286</v>
      </c>
      <c r="D30" s="73"/>
      <c r="E30" s="73"/>
      <c r="F30" s="73"/>
      <c r="G30" s="71">
        <f>SUM(Z1:Z103)/1000</f>
        <v>0</v>
      </c>
      <c r="H30" s="71"/>
      <c r="I30" s="71">
        <f>(Source!F153+Source!F154)/1000</f>
        <v>0</v>
      </c>
      <c r="J30" s="71"/>
      <c r="K30" s="72" t="s">
        <v>282</v>
      </c>
      <c r="L30" s="72"/>
    </row>
    <row r="31" spans="1:12" ht="15">
      <c r="A31" s="11"/>
      <c r="B31" s="11"/>
      <c r="C31" s="70" t="s">
        <v>287</v>
      </c>
      <c r="D31" s="70"/>
      <c r="E31" s="70"/>
      <c r="F31" s="70"/>
      <c r="G31" s="71">
        <f>I31</f>
        <v>101.27000000000001</v>
      </c>
      <c r="H31" s="71"/>
      <c r="I31" s="71">
        <f>(Source!F156+Source!F157)</f>
        <v>101.27000000000001</v>
      </c>
      <c r="J31" s="71"/>
      <c r="K31" s="72" t="s">
        <v>288</v>
      </c>
      <c r="L31" s="72"/>
    </row>
    <row r="32" spans="1:12" ht="15">
      <c r="A32" s="11"/>
      <c r="B32" s="11"/>
      <c r="C32" s="70" t="s">
        <v>289</v>
      </c>
      <c r="D32" s="70"/>
      <c r="E32" s="70"/>
      <c r="F32" s="70"/>
      <c r="G32" s="71">
        <f>SUM(R1:R103)/1000</f>
        <v>1.0093000000000001</v>
      </c>
      <c r="H32" s="71"/>
      <c r="I32" s="71">
        <f>(Source!F149+ Source!F148)/1000</f>
        <v>30.57169</v>
      </c>
      <c r="J32" s="71"/>
      <c r="K32" s="72" t="s">
        <v>282</v>
      </c>
      <c r="L32" s="72"/>
    </row>
    <row r="33" spans="1:22" ht="14.25" hidden="1">
      <c r="A33" s="11"/>
      <c r="B33" s="11"/>
      <c r="C33" s="73" t="s">
        <v>120</v>
      </c>
      <c r="D33" s="73"/>
      <c r="E33" s="73"/>
      <c r="F33" s="73"/>
      <c r="G33" s="71"/>
      <c r="H33" s="71"/>
      <c r="I33" s="71"/>
      <c r="J33" s="71"/>
      <c r="K33" s="23" t="s">
        <v>282</v>
      </c>
      <c r="L33" s="11"/>
    </row>
    <row r="34" spans="1:22" ht="15">
      <c r="A34" s="11"/>
      <c r="B34" s="11"/>
      <c r="C34" s="24"/>
      <c r="D34" s="24"/>
      <c r="E34" s="24"/>
      <c r="F34" s="15"/>
      <c r="G34" s="25"/>
      <c r="H34" s="25"/>
      <c r="I34" s="25"/>
      <c r="J34" s="25"/>
      <c r="K34" s="25"/>
      <c r="L34" s="25"/>
    </row>
    <row r="35" spans="1:22" ht="15" hidden="1">
      <c r="A35" s="15" t="s">
        <v>290</v>
      </c>
      <c r="B35" s="11"/>
      <c r="C35" s="11"/>
      <c r="D35" s="13"/>
      <c r="E35" s="11"/>
      <c r="F35" s="11"/>
      <c r="G35" s="26"/>
      <c r="H35" s="26"/>
      <c r="I35" s="27"/>
      <c r="J35" s="26"/>
      <c r="K35" s="26"/>
      <c r="L35" s="26"/>
    </row>
    <row r="36" spans="1:22" ht="15" hidden="1">
      <c r="A36" s="15" t="s">
        <v>291</v>
      </c>
      <c r="B36" s="11"/>
      <c r="C36" s="11"/>
      <c r="D36" s="13"/>
      <c r="E36" s="11"/>
      <c r="F36" s="11"/>
      <c r="G36" s="26"/>
      <c r="H36" s="26"/>
      <c r="I36" s="27"/>
      <c r="J36" s="26"/>
      <c r="K36" s="26"/>
      <c r="L36" s="26"/>
    </row>
    <row r="37" spans="1:22" ht="15" hidden="1">
      <c r="A37" s="11"/>
      <c r="B37" s="11"/>
      <c r="C37" s="10"/>
      <c r="D37" s="10"/>
      <c r="E37" s="10"/>
      <c r="F37" s="10"/>
      <c r="G37" s="26"/>
      <c r="H37" s="26"/>
      <c r="I37" s="27"/>
      <c r="J37" s="26"/>
      <c r="K37" s="26"/>
      <c r="L37" s="26"/>
    </row>
    <row r="38" spans="1:22" ht="14.25">
      <c r="A38" s="67" t="s">
        <v>304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</row>
    <row r="39" spans="1:22" ht="57">
      <c r="A39" s="28" t="s">
        <v>292</v>
      </c>
      <c r="B39" s="28" t="s">
        <v>293</v>
      </c>
      <c r="C39" s="28" t="s">
        <v>294</v>
      </c>
      <c r="D39" s="28" t="s">
        <v>295</v>
      </c>
      <c r="E39" s="28" t="s">
        <v>296</v>
      </c>
      <c r="F39" s="28" t="s">
        <v>297</v>
      </c>
      <c r="G39" s="28" t="s">
        <v>298</v>
      </c>
      <c r="H39" s="28" t="s">
        <v>299</v>
      </c>
      <c r="I39" s="28" t="s">
        <v>300</v>
      </c>
      <c r="J39" s="28" t="s">
        <v>301</v>
      </c>
      <c r="K39" s="28" t="s">
        <v>302</v>
      </c>
      <c r="L39" s="28" t="s">
        <v>303</v>
      </c>
    </row>
    <row r="40" spans="1:22" ht="14.25">
      <c r="A40" s="29">
        <v>1</v>
      </c>
      <c r="B40" s="29">
        <v>2</v>
      </c>
      <c r="C40" s="29">
        <v>3</v>
      </c>
      <c r="D40" s="29">
        <v>4</v>
      </c>
      <c r="E40" s="29">
        <v>5</v>
      </c>
      <c r="F40" s="29">
        <v>6</v>
      </c>
      <c r="G40" s="29">
        <v>7</v>
      </c>
      <c r="H40" s="29">
        <v>8</v>
      </c>
      <c r="I40" s="29">
        <v>9</v>
      </c>
      <c r="J40" s="29">
        <v>10</v>
      </c>
      <c r="K40" s="29">
        <v>11</v>
      </c>
      <c r="L40" s="30">
        <v>12</v>
      </c>
    </row>
    <row r="42" spans="1:22" ht="16.5">
      <c r="A42" s="63" t="str">
        <f>CONCATENATE("Локальная смета: ",IF(Source!G20&lt;&gt;"Новая локальная смета", Source!G20, ""))</f>
        <v xml:space="preserve">Локальная смета: </v>
      </c>
      <c r="B42" s="63"/>
      <c r="C42" s="63"/>
      <c r="D42" s="63"/>
      <c r="E42" s="63"/>
      <c r="F42" s="63"/>
      <c r="G42" s="63"/>
      <c r="H42" s="63"/>
      <c r="I42" s="63"/>
      <c r="J42" s="63"/>
      <c r="K42" s="63"/>
      <c r="L42" s="63"/>
    </row>
    <row r="44" spans="1:22" ht="16.5">
      <c r="A44" s="63" t="str">
        <f>CONCATENATE("Раздел: ",IF(Source!G24&lt;&gt;"Новый раздел", Source!G24, ""))</f>
        <v>Раздел: монтажные работы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</row>
    <row r="45" spans="1:22" ht="28.5">
      <c r="A45" s="23" t="str">
        <f>Source!E28</f>
        <v>1</v>
      </c>
      <c r="B45" s="57" t="str">
        <f>Source!F28</f>
        <v>м10-10-001-1</v>
      </c>
      <c r="C45" s="57" t="str">
        <f>Source!G28</f>
        <v>Камеры видеонаблюдения фиксированные</v>
      </c>
      <c r="D45" s="39" t="str">
        <f>Source!H28</f>
        <v>1  ШТ.</v>
      </c>
      <c r="E45" s="10">
        <f>Source!I28</f>
        <v>13</v>
      </c>
      <c r="F45" s="40">
        <f>Source!AL28+Source!AM28+Source!AO28</f>
        <v>33.730000000000004</v>
      </c>
      <c r="G45" s="41"/>
      <c r="H45" s="42"/>
      <c r="I45" s="41" t="str">
        <f>Source!BO28</f>
        <v>м10-10-001-1</v>
      </c>
      <c r="J45" s="41"/>
      <c r="K45" s="42"/>
      <c r="L45" s="43"/>
      <c r="S45">
        <f>ROUND((Source!FX28/100)*((ROUND(Source!AF28*Source!I28, 2)+ROUND(Source!AE28*Source!I28, 2))), 2)</f>
        <v>303.77999999999997</v>
      </c>
      <c r="T45">
        <f>Source!X28</f>
        <v>9201.6200000000008</v>
      </c>
      <c r="U45">
        <f>ROUND((Source!FY28/100)*((ROUND(Source!AF28*Source!I28, 2)+ROUND(Source!AE28*Source!I28, 2))), 2)</f>
        <v>227.84</v>
      </c>
      <c r="V45">
        <f>Source!Y28</f>
        <v>6901.21</v>
      </c>
    </row>
    <row r="46" spans="1:22" ht="14.25">
      <c r="A46" s="23"/>
      <c r="B46" s="57"/>
      <c r="C46" s="57" t="s">
        <v>305</v>
      </c>
      <c r="D46" s="39"/>
      <c r="E46" s="10"/>
      <c r="F46" s="40">
        <f>Source!AO28</f>
        <v>29.21</v>
      </c>
      <c r="G46" s="41" t="str">
        <f>Source!DG28</f>
        <v/>
      </c>
      <c r="H46" s="42">
        <f>ROUND(Source!AF28*Source!I28, 2)</f>
        <v>379.73</v>
      </c>
      <c r="I46" s="41"/>
      <c r="J46" s="41">
        <f>IF(Source!BA28&lt;&gt; 0, Source!BA28, 1)</f>
        <v>30.29</v>
      </c>
      <c r="K46" s="42">
        <f>Source!S28</f>
        <v>11502.02</v>
      </c>
      <c r="L46" s="43"/>
      <c r="R46">
        <f>H46</f>
        <v>379.73</v>
      </c>
    </row>
    <row r="47" spans="1:22" ht="14.25">
      <c r="A47" s="23"/>
      <c r="B47" s="57"/>
      <c r="C47" s="57" t="s">
        <v>102</v>
      </c>
      <c r="D47" s="39"/>
      <c r="E47" s="10"/>
      <c r="F47" s="40">
        <f>Source!AM28</f>
        <v>3.58</v>
      </c>
      <c r="G47" s="41" t="str">
        <f>Source!DE28</f>
        <v/>
      </c>
      <c r="H47" s="42">
        <f>ROUND(Source!AD28*Source!I28, 2)</f>
        <v>46.54</v>
      </c>
      <c r="I47" s="41"/>
      <c r="J47" s="41">
        <f>IF(Source!BB28&lt;&gt; 0, Source!BB28, 1)</f>
        <v>1.8</v>
      </c>
      <c r="K47" s="42">
        <f>Source!Q28</f>
        <v>83.77</v>
      </c>
      <c r="L47" s="43"/>
    </row>
    <row r="48" spans="1:22" ht="14.25">
      <c r="A48" s="23"/>
      <c r="B48" s="57"/>
      <c r="C48" s="57" t="s">
        <v>306</v>
      </c>
      <c r="D48" s="39"/>
      <c r="E48" s="10"/>
      <c r="F48" s="40">
        <f>Source!AL28</f>
        <v>0.94</v>
      </c>
      <c r="G48" s="41" t="str">
        <f>Source!DD28</f>
        <v/>
      </c>
      <c r="H48" s="42">
        <f>ROUND(Source!AC28*Source!I28, 2)</f>
        <v>12.22</v>
      </c>
      <c r="I48" s="41"/>
      <c r="J48" s="41">
        <f>IF(Source!BC28&lt;&gt; 0, Source!BC28, 1)</f>
        <v>19.21</v>
      </c>
      <c r="K48" s="42">
        <f>Source!P28</f>
        <v>234.75</v>
      </c>
      <c r="L48" s="43"/>
    </row>
    <row r="49" spans="1:26" ht="14.25">
      <c r="A49" s="23"/>
      <c r="B49" s="57"/>
      <c r="C49" s="57" t="s">
        <v>307</v>
      </c>
      <c r="D49" s="39" t="s">
        <v>308</v>
      </c>
      <c r="E49" s="10">
        <f>Source!BZ28</f>
        <v>80</v>
      </c>
      <c r="F49" s="60"/>
      <c r="G49" s="41"/>
      <c r="H49" s="42">
        <f>SUM(S45:S53)</f>
        <v>303.77999999999997</v>
      </c>
      <c r="I49" s="44"/>
      <c r="J49" s="38">
        <f>Source!AT28</f>
        <v>80</v>
      </c>
      <c r="K49" s="42">
        <f>SUM(T45:T53)</f>
        <v>9201.6200000000008</v>
      </c>
      <c r="L49" s="43"/>
    </row>
    <row r="50" spans="1:26" ht="14.25">
      <c r="A50" s="23"/>
      <c r="B50" s="57"/>
      <c r="C50" s="57" t="s">
        <v>309</v>
      </c>
      <c r="D50" s="39" t="s">
        <v>308</v>
      </c>
      <c r="E50" s="10">
        <f>Source!CA28</f>
        <v>60</v>
      </c>
      <c r="F50" s="60"/>
      <c r="G50" s="41"/>
      <c r="H50" s="42">
        <f>SUM(U45:U53)</f>
        <v>227.84</v>
      </c>
      <c r="I50" s="44"/>
      <c r="J50" s="38">
        <f>Source!AU28</f>
        <v>60</v>
      </c>
      <c r="K50" s="42">
        <f>SUM(V45:V53)</f>
        <v>6901.21</v>
      </c>
      <c r="L50" s="43"/>
    </row>
    <row r="51" spans="1:26" ht="14.25">
      <c r="A51" s="23"/>
      <c r="B51" s="57"/>
      <c r="C51" s="57" t="s">
        <v>310</v>
      </c>
      <c r="D51" s="39" t="s">
        <v>311</v>
      </c>
      <c r="E51" s="10">
        <f>Source!AQ28</f>
        <v>2.67</v>
      </c>
      <c r="F51" s="40"/>
      <c r="G51" s="41" t="str">
        <f>Source!DI28</f>
        <v/>
      </c>
      <c r="H51" s="42"/>
      <c r="I51" s="41"/>
      <c r="J51" s="41"/>
      <c r="K51" s="42"/>
      <c r="L51" s="45">
        <f>Source!U28</f>
        <v>34.71</v>
      </c>
    </row>
    <row r="52" spans="1:26" ht="42.75">
      <c r="A52" s="23" t="str">
        <f>Source!E29</f>
        <v>1,1</v>
      </c>
      <c r="B52" s="57" t="str">
        <f>Source!F29</f>
        <v>509-8263</v>
      </c>
      <c r="C52" s="57" t="str">
        <f>Source!G29</f>
        <v>Видеокамера DinionXF 0495/51 LTC дневного/ночного наблюдения с ПЗС формата 1/3"</v>
      </c>
      <c r="D52" s="39" t="str">
        <f>Source!H29</f>
        <v>шт.</v>
      </c>
      <c r="E52" s="10">
        <f>Source!I29</f>
        <v>13</v>
      </c>
      <c r="F52" s="40">
        <f>Source!AL29+Source!AM29+Source!AO29</f>
        <v>0</v>
      </c>
      <c r="G52" s="46" t="s">
        <v>3</v>
      </c>
      <c r="H52" s="42">
        <f>ROUND(Source!AC29*Source!I29, 2)+ROUND(Source!AD29*Source!I29, 2)+ROUND(Source!AF29*Source!I29, 2)</f>
        <v>0</v>
      </c>
      <c r="I52" s="41"/>
      <c r="J52" s="41">
        <f>IF(Source!BC29&lt;&gt; 0, Source!BC29, 1)</f>
        <v>1</v>
      </c>
      <c r="K52" s="42">
        <f>Source!O29</f>
        <v>0</v>
      </c>
      <c r="L52" s="43"/>
      <c r="S52">
        <f>ROUND((Source!FX29/100)*((ROUND(Source!AF29*Source!I29, 2)+ROUND(Source!AE29*Source!I29, 2))), 2)</f>
        <v>0</v>
      </c>
      <c r="T52">
        <f>Source!X29</f>
        <v>0</v>
      </c>
      <c r="U52">
        <f>ROUND((Source!FY29/100)*((ROUND(Source!AF29*Source!I29, 2)+ROUND(Source!AE29*Source!I29, 2))), 2)</f>
        <v>0</v>
      </c>
      <c r="V52">
        <f>Source!Y29</f>
        <v>0</v>
      </c>
      <c r="W52">
        <f>IF(Source!BI29&lt;=1,H52, 0)</f>
        <v>0</v>
      </c>
      <c r="X52">
        <f>IF(Source!BI29=2,H52, 0)</f>
        <v>0</v>
      </c>
      <c r="Y52">
        <f>IF(Source!BI29=3,H52, 0)</f>
        <v>0</v>
      </c>
      <c r="Z52">
        <f>IF(Source!BI29=4,H52, 0)</f>
        <v>0</v>
      </c>
    </row>
    <row r="53" spans="1:26" ht="42.75">
      <c r="A53" s="58" t="str">
        <f>Source!E30</f>
        <v>1,2</v>
      </c>
      <c r="B53" s="59" t="str">
        <f>Source!F30</f>
        <v>цена постовщика</v>
      </c>
      <c r="C53" s="59" t="str">
        <f>Source!G30</f>
        <v>Видеокамера купольная цветная CVT-HDD2820A SE</v>
      </c>
      <c r="D53" s="47" t="str">
        <f>Source!H30</f>
        <v>1  шт.</v>
      </c>
      <c r="E53" s="48">
        <f>Source!I30</f>
        <v>13</v>
      </c>
      <c r="F53" s="49">
        <f>Source!AL30+Source!AM30+Source!AO30</f>
        <v>2320</v>
      </c>
      <c r="G53" s="50" t="s">
        <v>3</v>
      </c>
      <c r="H53" s="51">
        <f>ROUND(Source!AC30*Source!I30, 2)+ROUND(Source!AD30*Source!I30, 2)+ROUND(Source!AF30*Source!I30, 2)</f>
        <v>30160</v>
      </c>
      <c r="I53" s="52"/>
      <c r="J53" s="52">
        <f>IF(Source!BC30&lt;&gt; 0, Source!BC30, 1)</f>
        <v>1</v>
      </c>
      <c r="K53" s="51">
        <f>Source!O30</f>
        <v>30160</v>
      </c>
      <c r="L53" s="53"/>
      <c r="S53">
        <f>ROUND((Source!FX30/100)*((ROUND(Source!AF30*Source!I30, 2)+ROUND(Source!AE30*Source!I30, 2))), 2)</f>
        <v>0</v>
      </c>
      <c r="T53">
        <f>Source!X30</f>
        <v>0</v>
      </c>
      <c r="U53">
        <f>ROUND((Source!FY30/100)*((ROUND(Source!AF30*Source!I30, 2)+ROUND(Source!AE30*Source!I30, 2))), 2)</f>
        <v>0</v>
      </c>
      <c r="V53">
        <f>Source!Y30</f>
        <v>0</v>
      </c>
      <c r="W53">
        <f>IF(Source!BI30&lt;=1,H53, 0)</f>
        <v>0</v>
      </c>
      <c r="X53">
        <f>IF(Source!BI30=2,H53, 0)</f>
        <v>30160</v>
      </c>
      <c r="Y53">
        <f>IF(Source!BI30=3,H53, 0)</f>
        <v>0</v>
      </c>
      <c r="Z53">
        <f>IF(Source!BI30=4,H53, 0)</f>
        <v>0</v>
      </c>
    </row>
    <row r="54" spans="1:26" ht="15">
      <c r="G54" s="62">
        <f>H46+H47+H48+H49+H50+SUM(H52:H53)</f>
        <v>31130.11</v>
      </c>
      <c r="H54" s="62"/>
      <c r="J54" s="62">
        <f>K46+K47+K48+K49+K50+SUM(K52:K53)</f>
        <v>58083.37</v>
      </c>
      <c r="K54" s="62"/>
      <c r="L54" s="54">
        <f>Source!U28</f>
        <v>34.71</v>
      </c>
      <c r="O54" s="31">
        <f>G54</f>
        <v>31130.11</v>
      </c>
      <c r="P54" s="31">
        <f>J54</f>
        <v>58083.37</v>
      </c>
      <c r="Q54" s="31">
        <f>L54</f>
        <v>34.71</v>
      </c>
      <c r="W54">
        <f>IF(Source!BI28&lt;=1,H46+H47+H48+H49+H50, 0)</f>
        <v>0</v>
      </c>
      <c r="X54">
        <f>IF(Source!BI28=2,H46+H47+H48+H49+H50, 0)</f>
        <v>970.11</v>
      </c>
      <c r="Y54">
        <f>IF(Source!BI28=3,H46+H47+H48+H49+H50, 0)</f>
        <v>0</v>
      </c>
      <c r="Z54">
        <f>IF(Source!BI28=4,H46+H47+H48+H49+H50, 0)</f>
        <v>0</v>
      </c>
    </row>
    <row r="55" spans="1:26" ht="28.5">
      <c r="A55" s="23" t="str">
        <f>Source!E31</f>
        <v>6</v>
      </c>
      <c r="B55" s="57" t="str">
        <f>Source!F31</f>
        <v>м10-08-001-13</v>
      </c>
      <c r="C55" s="57" t="str">
        <f>Source!G31</f>
        <v>Устройства промежуточные на количество лучей 1</v>
      </c>
      <c r="D55" s="39" t="str">
        <f>Source!H31</f>
        <v>1  ШТ.</v>
      </c>
      <c r="E55" s="10">
        <f>Source!I31</f>
        <v>1</v>
      </c>
      <c r="F55" s="40">
        <f>Source!AL31+Source!AM31+Source!AO31</f>
        <v>15.79</v>
      </c>
      <c r="G55" s="41"/>
      <c r="H55" s="42"/>
      <c r="I55" s="41" t="str">
        <f>Source!BO31</f>
        <v>м10-08-001-13</v>
      </c>
      <c r="J55" s="41"/>
      <c r="K55" s="42"/>
      <c r="L55" s="43"/>
      <c r="S55">
        <f>ROUND((Source!FX31/100)*((ROUND(Source!AF31*Source!I31, 2)+ROUND(Source!AE31*Source!I31, 2))), 2)</f>
        <v>9.8000000000000007</v>
      </c>
      <c r="T55">
        <f>Source!X31</f>
        <v>296.83999999999997</v>
      </c>
      <c r="U55">
        <f>ROUND((Source!FY31/100)*((ROUND(Source!AF31*Source!I31, 2)+ROUND(Source!AE31*Source!I31, 2))), 2)</f>
        <v>7.35</v>
      </c>
      <c r="V55">
        <f>Source!Y31</f>
        <v>222.63</v>
      </c>
    </row>
    <row r="56" spans="1:26" ht="14.25">
      <c r="A56" s="23"/>
      <c r="B56" s="57"/>
      <c r="C56" s="57" t="s">
        <v>305</v>
      </c>
      <c r="D56" s="39"/>
      <c r="E56" s="10"/>
      <c r="F56" s="40">
        <f>Source!AO31</f>
        <v>12.25</v>
      </c>
      <c r="G56" s="41" t="str">
        <f>Source!DG31</f>
        <v/>
      </c>
      <c r="H56" s="42">
        <f>ROUND(Source!AF31*Source!I31, 2)</f>
        <v>12.25</v>
      </c>
      <c r="I56" s="41"/>
      <c r="J56" s="41">
        <f>IF(Source!BA31&lt;&gt; 0, Source!BA31, 1)</f>
        <v>30.29</v>
      </c>
      <c r="K56" s="42">
        <f>Source!S31</f>
        <v>371.05</v>
      </c>
      <c r="L56" s="43"/>
      <c r="R56">
        <f>H56</f>
        <v>12.25</v>
      </c>
    </row>
    <row r="57" spans="1:26" ht="14.25">
      <c r="A57" s="23"/>
      <c r="B57" s="57"/>
      <c r="C57" s="57" t="s">
        <v>102</v>
      </c>
      <c r="D57" s="39"/>
      <c r="E57" s="10"/>
      <c r="F57" s="40">
        <f>Source!AM31</f>
        <v>0.25</v>
      </c>
      <c r="G57" s="41" t="str">
        <f>Source!DE31</f>
        <v/>
      </c>
      <c r="H57" s="42">
        <f>ROUND(Source!AD31*Source!I31, 2)</f>
        <v>0.25</v>
      </c>
      <c r="I57" s="41"/>
      <c r="J57" s="41">
        <f>IF(Source!BB31&lt;&gt; 0, Source!BB31, 1)</f>
        <v>3.76</v>
      </c>
      <c r="K57" s="42">
        <f>Source!Q31</f>
        <v>0.94</v>
      </c>
      <c r="L57" s="43"/>
    </row>
    <row r="58" spans="1:26" ht="14.25">
      <c r="A58" s="23"/>
      <c r="B58" s="57"/>
      <c r="C58" s="57" t="s">
        <v>306</v>
      </c>
      <c r="D58" s="39"/>
      <c r="E58" s="10"/>
      <c r="F58" s="40">
        <f>Source!AL31</f>
        <v>3.29</v>
      </c>
      <c r="G58" s="41" t="str">
        <f>Source!DD31</f>
        <v/>
      </c>
      <c r="H58" s="42">
        <f>ROUND(Source!AC31*Source!I31, 2)</f>
        <v>3.29</v>
      </c>
      <c r="I58" s="41"/>
      <c r="J58" s="41">
        <f>IF(Source!BC31&lt;&gt; 0, Source!BC31, 1)</f>
        <v>6.48</v>
      </c>
      <c r="K58" s="42">
        <f>Source!P31</f>
        <v>21.32</v>
      </c>
      <c r="L58" s="43"/>
    </row>
    <row r="59" spans="1:26" ht="14.25">
      <c r="A59" s="23"/>
      <c r="B59" s="57"/>
      <c r="C59" s="57" t="s">
        <v>307</v>
      </c>
      <c r="D59" s="39" t="s">
        <v>308</v>
      </c>
      <c r="E59" s="10">
        <f>Source!BZ31</f>
        <v>80</v>
      </c>
      <c r="F59" s="60"/>
      <c r="G59" s="41"/>
      <c r="H59" s="42">
        <f>SUM(S55:S61)</f>
        <v>9.8000000000000007</v>
      </c>
      <c r="I59" s="44"/>
      <c r="J59" s="38">
        <f>Source!AT31</f>
        <v>80</v>
      </c>
      <c r="K59" s="42">
        <f>SUM(T55:T61)</f>
        <v>296.83999999999997</v>
      </c>
      <c r="L59" s="43"/>
    </row>
    <row r="60" spans="1:26" ht="14.25">
      <c r="A60" s="23"/>
      <c r="B60" s="57"/>
      <c r="C60" s="57" t="s">
        <v>309</v>
      </c>
      <c r="D60" s="39" t="s">
        <v>308</v>
      </c>
      <c r="E60" s="10">
        <f>Source!CA31</f>
        <v>60</v>
      </c>
      <c r="F60" s="60"/>
      <c r="G60" s="41"/>
      <c r="H60" s="42">
        <f>SUM(U55:U61)</f>
        <v>7.35</v>
      </c>
      <c r="I60" s="44"/>
      <c r="J60" s="38">
        <f>Source!AU31</f>
        <v>60</v>
      </c>
      <c r="K60" s="42">
        <f>SUM(V55:V61)</f>
        <v>222.63</v>
      </c>
      <c r="L60" s="43"/>
    </row>
    <row r="61" spans="1:26" ht="14.25">
      <c r="A61" s="58"/>
      <c r="B61" s="59"/>
      <c r="C61" s="59" t="s">
        <v>310</v>
      </c>
      <c r="D61" s="47" t="s">
        <v>311</v>
      </c>
      <c r="E61" s="48">
        <f>Source!AQ31</f>
        <v>1.2</v>
      </c>
      <c r="F61" s="49"/>
      <c r="G61" s="52" t="str">
        <f>Source!DI31</f>
        <v/>
      </c>
      <c r="H61" s="51"/>
      <c r="I61" s="52"/>
      <c r="J61" s="52"/>
      <c r="K61" s="51"/>
      <c r="L61" s="55">
        <f>Source!U31</f>
        <v>1.2</v>
      </c>
    </row>
    <row r="62" spans="1:26" ht="15">
      <c r="G62" s="62">
        <f>H56+H57+H58+H59+H60</f>
        <v>32.94</v>
      </c>
      <c r="H62" s="62"/>
      <c r="J62" s="62">
        <f>K56+K57+K58+K59+K60</f>
        <v>912.78</v>
      </c>
      <c r="K62" s="62"/>
      <c r="L62" s="54">
        <f>Source!U31</f>
        <v>1.2</v>
      </c>
      <c r="O62" s="31">
        <f>G62</f>
        <v>32.94</v>
      </c>
      <c r="P62" s="31">
        <f>J62</f>
        <v>912.78</v>
      </c>
      <c r="Q62" s="31">
        <f>L62</f>
        <v>1.2</v>
      </c>
      <c r="W62">
        <f>IF(Source!BI31&lt;=1,H56+H57+H58+H59+H60, 0)</f>
        <v>0</v>
      </c>
      <c r="X62">
        <f>IF(Source!BI31=2,H56+H57+H58+H59+H60, 0)</f>
        <v>32.94</v>
      </c>
      <c r="Y62">
        <f>IF(Source!BI31=3,H56+H57+H58+H59+H60, 0)</f>
        <v>0</v>
      </c>
      <c r="Z62">
        <f>IF(Source!BI31=4,H56+H57+H58+H59+H60, 0)</f>
        <v>0</v>
      </c>
    </row>
    <row r="63" spans="1:26" ht="28.5">
      <c r="A63" s="58" t="str">
        <f>Source!E32</f>
        <v>8</v>
      </c>
      <c r="B63" s="59" t="str">
        <f>Source!F32</f>
        <v>509-7161</v>
      </c>
      <c r="C63" s="59" t="str">
        <f>Source!G32</f>
        <v>Источник резервного питания, марка "РИП 12" исп. 06</v>
      </c>
      <c r="D63" s="47" t="str">
        <f>Source!H32</f>
        <v>шт.</v>
      </c>
      <c r="E63" s="48">
        <f>Source!I32</f>
        <v>1</v>
      </c>
      <c r="F63" s="49">
        <f>Source!AL32</f>
        <v>2422.7600000000002</v>
      </c>
      <c r="G63" s="52" t="str">
        <f>Source!DD32</f>
        <v/>
      </c>
      <c r="H63" s="51">
        <f>ROUND(Source!AC32*Source!I32, 2)</f>
        <v>2422.7600000000002</v>
      </c>
      <c r="I63" s="52" t="str">
        <f>Source!BO32</f>
        <v>509-7161</v>
      </c>
      <c r="J63" s="52">
        <f>IF(Source!BC32&lt;&gt; 0, Source!BC32, 1)</f>
        <v>2.2799999999999998</v>
      </c>
      <c r="K63" s="51">
        <f>Source!P32</f>
        <v>5523.89</v>
      </c>
      <c r="L63" s="53"/>
      <c r="S63">
        <f>ROUND((Source!FX32/100)*((ROUND(Source!AF32*Source!I32, 2)+ROUND(Source!AE32*Source!I32, 2))), 2)</f>
        <v>0</v>
      </c>
      <c r="T63">
        <f>Source!X32</f>
        <v>0</v>
      </c>
      <c r="U63">
        <f>ROUND((Source!FY32/100)*((ROUND(Source!AF32*Source!I32, 2)+ROUND(Source!AE32*Source!I32, 2))), 2)</f>
        <v>0</v>
      </c>
      <c r="V63">
        <f>Source!Y32</f>
        <v>0</v>
      </c>
    </row>
    <row r="64" spans="1:26" ht="15">
      <c r="G64" s="62">
        <f>H63</f>
        <v>2422.7600000000002</v>
      </c>
      <c r="H64" s="62"/>
      <c r="J64" s="62">
        <f>K63</f>
        <v>5523.89</v>
      </c>
      <c r="K64" s="62"/>
      <c r="L64" s="54">
        <f>Source!U32</f>
        <v>0</v>
      </c>
      <c r="O64" s="31">
        <f>G64</f>
        <v>2422.7600000000002</v>
      </c>
      <c r="P64" s="31">
        <f>J64</f>
        <v>5523.89</v>
      </c>
      <c r="Q64" s="31">
        <f>L64</f>
        <v>0</v>
      </c>
      <c r="W64">
        <f>IF(Source!BI32&lt;=1,H63, 0)</f>
        <v>0</v>
      </c>
      <c r="X64">
        <f>IF(Source!BI32=2,H63, 0)</f>
        <v>2422.7600000000002</v>
      </c>
      <c r="Y64">
        <f>IF(Source!BI32=3,H63, 0)</f>
        <v>0</v>
      </c>
      <c r="Z64">
        <f>IF(Source!BI32=4,H63, 0)</f>
        <v>0</v>
      </c>
    </row>
    <row r="65" spans="1:26" ht="28.5">
      <c r="A65" s="58" t="str">
        <f>Source!E33</f>
        <v>9</v>
      </c>
      <c r="B65" s="59" t="str">
        <f>Source!F33</f>
        <v>509-1810</v>
      </c>
      <c r="C65" s="59" t="str">
        <f>Source!G33</f>
        <v>Батарея аккумуляторная АКБ-7 12В/7 А/ч</v>
      </c>
      <c r="D65" s="47" t="str">
        <f>Source!H33</f>
        <v>шт.</v>
      </c>
      <c r="E65" s="48">
        <f>Source!I33</f>
        <v>2</v>
      </c>
      <c r="F65" s="49">
        <f>Source!AL33</f>
        <v>78.97</v>
      </c>
      <c r="G65" s="52" t="str">
        <f>Source!DD33</f>
        <v/>
      </c>
      <c r="H65" s="51">
        <f>ROUND(Source!AC33*Source!I33, 2)</f>
        <v>157.94</v>
      </c>
      <c r="I65" s="52" t="str">
        <f>Source!BO33</f>
        <v>509-1810</v>
      </c>
      <c r="J65" s="52">
        <f>IF(Source!BC33&lt;&gt; 0, Source!BC33, 1)</f>
        <v>5.73</v>
      </c>
      <c r="K65" s="51">
        <f>Source!P33</f>
        <v>905</v>
      </c>
      <c r="L65" s="53"/>
      <c r="S65">
        <f>ROUND((Source!FX33/100)*((ROUND(Source!AF33*Source!I33, 2)+ROUND(Source!AE33*Source!I33, 2))), 2)</f>
        <v>0</v>
      </c>
      <c r="T65">
        <f>Source!X33</f>
        <v>0</v>
      </c>
      <c r="U65">
        <f>ROUND((Source!FY33/100)*((ROUND(Source!AF33*Source!I33, 2)+ROUND(Source!AE33*Source!I33, 2))), 2)</f>
        <v>0</v>
      </c>
      <c r="V65">
        <f>Source!Y33</f>
        <v>0</v>
      </c>
    </row>
    <row r="66" spans="1:26" ht="15">
      <c r="G66" s="62">
        <f>H65</f>
        <v>157.94</v>
      </c>
      <c r="H66" s="62"/>
      <c r="J66" s="62">
        <f>K65</f>
        <v>905</v>
      </c>
      <c r="K66" s="62"/>
      <c r="L66" s="54">
        <f>Source!U33</f>
        <v>0</v>
      </c>
      <c r="O66" s="31">
        <f>G66</f>
        <v>157.94</v>
      </c>
      <c r="P66" s="31">
        <f>J66</f>
        <v>905</v>
      </c>
      <c r="Q66" s="31">
        <f>L66</f>
        <v>0</v>
      </c>
      <c r="W66">
        <f>IF(Source!BI33&lt;=1,H65, 0)</f>
        <v>0</v>
      </c>
      <c r="X66">
        <f>IF(Source!BI33=2,H65, 0)</f>
        <v>157.94</v>
      </c>
      <c r="Y66">
        <f>IF(Source!BI33=3,H65, 0)</f>
        <v>0</v>
      </c>
      <c r="Z66">
        <f>IF(Source!BI33=4,H65, 0)</f>
        <v>0</v>
      </c>
    </row>
    <row r="67" spans="1:26" ht="41.25">
      <c r="A67" s="58" t="str">
        <f>Source!E34</f>
        <v>10</v>
      </c>
      <c r="B67" s="59" t="str">
        <f>Source!F34</f>
        <v>500-9016-656</v>
      </c>
      <c r="C67" s="59" t="s">
        <v>312</v>
      </c>
      <c r="D67" s="47" t="str">
        <f>Source!H34</f>
        <v>шт.</v>
      </c>
      <c r="E67" s="48">
        <f>Source!I34</f>
        <v>40</v>
      </c>
      <c r="F67" s="49">
        <f>Source!GE34</f>
        <v>207.35</v>
      </c>
      <c r="G67" s="52" t="str">
        <f>Source!DD34</f>
        <v/>
      </c>
      <c r="H67" s="51">
        <f>ROUND(ROUND((Source!GE34),6)*Source!I34, 2)</f>
        <v>8294</v>
      </c>
      <c r="I67" s="52" t="str">
        <f>Source!BO34</f>
        <v/>
      </c>
      <c r="J67" s="52">
        <f>IF(Source!BC34&lt;&gt; 0, Source!BC34, 1)</f>
        <v>1</v>
      </c>
      <c r="K67" s="51">
        <f>Source!P34</f>
        <v>8294</v>
      </c>
      <c r="L67" s="53"/>
      <c r="S67">
        <f>ROUND((Source!FX34/100)*((ROUND(Source!AF34*Source!I34, 2)+ROUND(Source!AE34*Source!I34, 2))), 2)</f>
        <v>0</v>
      </c>
      <c r="T67">
        <f>Source!X34</f>
        <v>0</v>
      </c>
      <c r="U67">
        <f>ROUND((Source!FY34/100)*((ROUND(Source!AF34*Source!I34, 2)+ROUND(Source!AE34*Source!I34, 2))), 2)</f>
        <v>0</v>
      </c>
      <c r="V67">
        <f>Source!Y34</f>
        <v>0</v>
      </c>
    </row>
    <row r="68" spans="1:26" ht="15">
      <c r="G68" s="62">
        <f>H67</f>
        <v>8294</v>
      </c>
      <c r="H68" s="62"/>
      <c r="J68" s="62">
        <f>K67</f>
        <v>8294</v>
      </c>
      <c r="K68" s="62"/>
      <c r="L68" s="54">
        <f>Source!U34</f>
        <v>0</v>
      </c>
      <c r="O68" s="31">
        <f>G68</f>
        <v>8294</v>
      </c>
      <c r="P68" s="31">
        <f>J68</f>
        <v>8294</v>
      </c>
      <c r="Q68" s="31">
        <f>L68</f>
        <v>0</v>
      </c>
      <c r="W68">
        <f>IF(Source!BI34&lt;=1,H67, 0)</f>
        <v>0</v>
      </c>
      <c r="X68">
        <f>IF(Source!BI34=2,H67, 0)</f>
        <v>8294</v>
      </c>
      <c r="Y68">
        <f>IF(Source!BI34=3,H67, 0)</f>
        <v>0</v>
      </c>
      <c r="Z68">
        <f>IF(Source!BI34=4,H67, 0)</f>
        <v>0</v>
      </c>
    </row>
    <row r="69" spans="1:26" ht="42.75">
      <c r="A69" s="23" t="str">
        <f>Source!E35</f>
        <v>12</v>
      </c>
      <c r="B69" s="57" t="str">
        <f>Source!F35</f>
        <v>м08-02-413-1</v>
      </c>
      <c r="C69" s="57" t="str">
        <f>Source!G35</f>
        <v>Провод, количество проводов в резинобитумной трубке до 2, сечение провода до 6 мм2</v>
      </c>
      <c r="D69" s="39" t="str">
        <f>Source!H35</f>
        <v>100 М ТРУБОК</v>
      </c>
      <c r="E69" s="10">
        <f>Source!I35</f>
        <v>4</v>
      </c>
      <c r="F69" s="40">
        <f>Source!AL35+Source!AM35+Source!AO35</f>
        <v>256.45000000000005</v>
      </c>
      <c r="G69" s="41"/>
      <c r="H69" s="42"/>
      <c r="I69" s="41" t="str">
        <f>Source!BO35</f>
        <v>м08-02-413-1</v>
      </c>
      <c r="J69" s="41"/>
      <c r="K69" s="42"/>
      <c r="L69" s="43"/>
      <c r="S69">
        <f>ROUND((Source!FX35/100)*((ROUND(Source!AF35*Source!I35, 2)+ROUND(Source!AE35*Source!I35, 2))), 2)</f>
        <v>586.45000000000005</v>
      </c>
      <c r="T69">
        <f>Source!X35</f>
        <v>17763.689999999999</v>
      </c>
      <c r="U69">
        <f>ROUND((Source!FY35/100)*((ROUND(Source!AF35*Source!I35, 2)+ROUND(Source!AE35*Source!I35, 2))), 2)</f>
        <v>401.26</v>
      </c>
      <c r="V69">
        <f>Source!Y35</f>
        <v>12154.1</v>
      </c>
    </row>
    <row r="70" spans="1:26">
      <c r="C70" s="33" t="str">
        <f>"Объем: "&amp;Source!I35&amp;"=400/"&amp;"100"</f>
        <v>Объем: 4=400/100</v>
      </c>
    </row>
    <row r="71" spans="1:26" ht="14.25">
      <c r="A71" s="23"/>
      <c r="B71" s="57"/>
      <c r="C71" s="57" t="s">
        <v>305</v>
      </c>
      <c r="D71" s="39"/>
      <c r="E71" s="10"/>
      <c r="F71" s="40">
        <f>Source!AO35</f>
        <v>151.9</v>
      </c>
      <c r="G71" s="41" t="str">
        <f>Source!DG35</f>
        <v/>
      </c>
      <c r="H71" s="42">
        <f>ROUND(Source!AF35*Source!I35, 2)</f>
        <v>607.6</v>
      </c>
      <c r="I71" s="41"/>
      <c r="J71" s="41">
        <f>IF(Source!BA35&lt;&gt; 0, Source!BA35, 1)</f>
        <v>30.29</v>
      </c>
      <c r="K71" s="42">
        <f>Source!S35</f>
        <v>18404.2</v>
      </c>
      <c r="L71" s="43"/>
      <c r="R71">
        <f>H71</f>
        <v>607.6</v>
      </c>
    </row>
    <row r="72" spans="1:26" ht="14.25">
      <c r="A72" s="23"/>
      <c r="B72" s="57"/>
      <c r="C72" s="57" t="s">
        <v>102</v>
      </c>
      <c r="D72" s="39"/>
      <c r="E72" s="10"/>
      <c r="F72" s="40">
        <f>Source!AM35</f>
        <v>39.93</v>
      </c>
      <c r="G72" s="41" t="str">
        <f>Source!DE35</f>
        <v/>
      </c>
      <c r="H72" s="42">
        <f>ROUND(Source!AD35*Source!I35, 2)</f>
        <v>159.72</v>
      </c>
      <c r="I72" s="41"/>
      <c r="J72" s="41">
        <f>IF(Source!BB35&lt;&gt; 0, Source!BB35, 1)</f>
        <v>8.77</v>
      </c>
      <c r="K72" s="42">
        <f>Source!Q35</f>
        <v>1400.74</v>
      </c>
      <c r="L72" s="43"/>
    </row>
    <row r="73" spans="1:26" ht="14.25">
      <c r="A73" s="23"/>
      <c r="B73" s="57"/>
      <c r="C73" s="57" t="s">
        <v>313</v>
      </c>
      <c r="D73" s="39"/>
      <c r="E73" s="10"/>
      <c r="F73" s="40">
        <f>Source!AN35</f>
        <v>2.4300000000000002</v>
      </c>
      <c r="G73" s="41" t="str">
        <f>Source!DF35</f>
        <v/>
      </c>
      <c r="H73" s="56">
        <f>ROUND(Source!AE35*Source!I35, 2)</f>
        <v>9.7200000000000006</v>
      </c>
      <c r="I73" s="41"/>
      <c r="J73" s="41">
        <f>IF(Source!BS35&lt;&gt; 0, Source!BS35, 1)</f>
        <v>30.29</v>
      </c>
      <c r="K73" s="56">
        <f>Source!R35</f>
        <v>294.42</v>
      </c>
      <c r="L73" s="43"/>
      <c r="R73">
        <f>H73</f>
        <v>9.7200000000000006</v>
      </c>
    </row>
    <row r="74" spans="1:26" ht="14.25">
      <c r="A74" s="23"/>
      <c r="B74" s="57"/>
      <c r="C74" s="57" t="s">
        <v>306</v>
      </c>
      <c r="D74" s="39"/>
      <c r="E74" s="10"/>
      <c r="F74" s="40">
        <f>Source!AL35</f>
        <v>64.62</v>
      </c>
      <c r="G74" s="41" t="str">
        <f>Source!DD35</f>
        <v/>
      </c>
      <c r="H74" s="42">
        <f>ROUND(Source!AC35*Source!I35, 2)</f>
        <v>258.48</v>
      </c>
      <c r="I74" s="41"/>
      <c r="J74" s="41">
        <f>IF(Source!BC35&lt;&gt; 0, Source!BC35, 1)</f>
        <v>5.19</v>
      </c>
      <c r="K74" s="42">
        <f>Source!P35</f>
        <v>1341.51</v>
      </c>
      <c r="L74" s="43"/>
    </row>
    <row r="75" spans="1:26" ht="14.25">
      <c r="A75" s="23"/>
      <c r="B75" s="57"/>
      <c r="C75" s="57" t="s">
        <v>307</v>
      </c>
      <c r="D75" s="39" t="s">
        <v>308</v>
      </c>
      <c r="E75" s="10">
        <f>Source!BZ35</f>
        <v>95</v>
      </c>
      <c r="F75" s="60"/>
      <c r="G75" s="41"/>
      <c r="H75" s="42">
        <f>SUM(S69:S77)</f>
        <v>586.45000000000005</v>
      </c>
      <c r="I75" s="44"/>
      <c r="J75" s="38">
        <f>Source!AT35</f>
        <v>95</v>
      </c>
      <c r="K75" s="42">
        <f>SUM(T69:T77)</f>
        <v>17763.689999999999</v>
      </c>
      <c r="L75" s="43"/>
    </row>
    <row r="76" spans="1:26" ht="14.25">
      <c r="A76" s="23"/>
      <c r="B76" s="57"/>
      <c r="C76" s="57" t="s">
        <v>309</v>
      </c>
      <c r="D76" s="39" t="s">
        <v>308</v>
      </c>
      <c r="E76" s="10">
        <f>Source!CA35</f>
        <v>65</v>
      </c>
      <c r="F76" s="60"/>
      <c r="G76" s="41"/>
      <c r="H76" s="42">
        <f>SUM(U69:U77)</f>
        <v>401.26</v>
      </c>
      <c r="I76" s="44"/>
      <c r="J76" s="38">
        <f>Source!AU35</f>
        <v>65</v>
      </c>
      <c r="K76" s="42">
        <f>SUM(V69:V77)</f>
        <v>12154.1</v>
      </c>
      <c r="L76" s="43"/>
    </row>
    <row r="77" spans="1:26" ht="14.25">
      <c r="A77" s="58"/>
      <c r="B77" s="59"/>
      <c r="C77" s="59" t="s">
        <v>310</v>
      </c>
      <c r="D77" s="47" t="s">
        <v>311</v>
      </c>
      <c r="E77" s="48">
        <f>Source!AQ35</f>
        <v>16.16</v>
      </c>
      <c r="F77" s="49"/>
      <c r="G77" s="52" t="str">
        <f>Source!DI35</f>
        <v/>
      </c>
      <c r="H77" s="51"/>
      <c r="I77" s="52"/>
      <c r="J77" s="52"/>
      <c r="K77" s="51"/>
      <c r="L77" s="55">
        <f>Source!U35</f>
        <v>64.64</v>
      </c>
    </row>
    <row r="78" spans="1:26" ht="15">
      <c r="G78" s="62">
        <f>H71+H72+H74+H75+H76</f>
        <v>2013.5100000000002</v>
      </c>
      <c r="H78" s="62"/>
      <c r="J78" s="62">
        <f>K71+K72+K74+K75+K76</f>
        <v>51064.24</v>
      </c>
      <c r="K78" s="62"/>
      <c r="L78" s="54">
        <f>Source!U35</f>
        <v>64.64</v>
      </c>
      <c r="O78" s="31">
        <f>G78</f>
        <v>2013.5100000000002</v>
      </c>
      <c r="P78" s="31">
        <f>J78</f>
        <v>51064.24</v>
      </c>
      <c r="Q78" s="31">
        <f>L78</f>
        <v>64.64</v>
      </c>
      <c r="W78">
        <f>IF(Source!BI35&lt;=1,H71+H72+H74+H75+H76, 0)</f>
        <v>0</v>
      </c>
      <c r="X78">
        <f>IF(Source!BI35=2,H71+H72+H74+H75+H76, 0)</f>
        <v>2013.5100000000002</v>
      </c>
      <c r="Y78">
        <f>IF(Source!BI35=3,H71+H72+H74+H75+H76, 0)</f>
        <v>0</v>
      </c>
      <c r="Z78">
        <f>IF(Source!BI35=4,H71+H72+H74+H75+H76, 0)</f>
        <v>0</v>
      </c>
    </row>
    <row r="79" spans="1:26" ht="42.75">
      <c r="A79" s="23" t="str">
        <f>Source!E36</f>
        <v>13</v>
      </c>
      <c r="B79" s="57" t="str">
        <f>Source!F36</f>
        <v>103-2413</v>
      </c>
      <c r="C79" s="57" t="str">
        <f>Source!G36</f>
        <v>Трубы гибкие гофрированные легкие из самозатухающего ПВХ (IP55) серии FL, с зондом, диаметром 20 мм</v>
      </c>
      <c r="D79" s="39" t="str">
        <f>Source!H36</f>
        <v>10 м</v>
      </c>
      <c r="E79" s="10">
        <f>Source!I36</f>
        <v>40</v>
      </c>
      <c r="F79" s="40">
        <f>Source!AL36</f>
        <v>22.13</v>
      </c>
      <c r="G79" s="41" t="str">
        <f>Source!DD36</f>
        <v/>
      </c>
      <c r="H79" s="42">
        <f>ROUND(Source!AC36*Source!I36, 2)</f>
        <v>885.2</v>
      </c>
      <c r="I79" s="41" t="str">
        <f>Source!BO36</f>
        <v>103-2413</v>
      </c>
      <c r="J79" s="41">
        <f>IF(Source!BC36&lt;&gt; 0, Source!BC36, 1)</f>
        <v>3.63</v>
      </c>
      <c r="K79" s="42">
        <f>Source!P36</f>
        <v>3213.28</v>
      </c>
      <c r="L79" s="43"/>
      <c r="S79">
        <f>ROUND((Source!FX36/100)*((ROUND(Source!AF36*Source!I36, 2)+ROUND(Source!AE36*Source!I36, 2))), 2)</f>
        <v>0</v>
      </c>
      <c r="T79">
        <f>Source!X36</f>
        <v>0</v>
      </c>
      <c r="U79">
        <f>ROUND((Source!FY36/100)*((ROUND(Source!AF36*Source!I36, 2)+ROUND(Source!AE36*Source!I36, 2))), 2)</f>
        <v>0</v>
      </c>
      <c r="V79">
        <f>Source!Y36</f>
        <v>0</v>
      </c>
    </row>
    <row r="80" spans="1:26">
      <c r="A80" s="34"/>
      <c r="B80" s="34"/>
      <c r="C80" s="35" t="str">
        <f>"Объем: "&amp;Source!I36&amp;"=400/"&amp;"10"</f>
        <v>Объем: 40=400/10</v>
      </c>
      <c r="D80" s="34"/>
      <c r="E80" s="34"/>
      <c r="F80" s="34"/>
      <c r="G80" s="34"/>
      <c r="H80" s="34"/>
      <c r="I80" s="34"/>
      <c r="J80" s="34"/>
      <c r="K80" s="34"/>
      <c r="L80" s="34"/>
    </row>
    <row r="81" spans="1:26" ht="15">
      <c r="G81" s="62">
        <f>H79</f>
        <v>885.2</v>
      </c>
      <c r="H81" s="62"/>
      <c r="J81" s="62">
        <f>K79</f>
        <v>3213.28</v>
      </c>
      <c r="K81" s="62"/>
      <c r="L81" s="54">
        <f>Source!U36</f>
        <v>0</v>
      </c>
      <c r="O81" s="31">
        <f>G81</f>
        <v>885.2</v>
      </c>
      <c r="P81" s="31">
        <f>J81</f>
        <v>3213.28</v>
      </c>
      <c r="Q81" s="31">
        <f>L81</f>
        <v>0</v>
      </c>
      <c r="W81">
        <f>IF(Source!BI36&lt;=1,H79, 0)</f>
        <v>885.2</v>
      </c>
      <c r="X81">
        <f>IF(Source!BI36=2,H79, 0)</f>
        <v>0</v>
      </c>
      <c r="Y81">
        <f>IF(Source!BI36=3,H79, 0)</f>
        <v>0</v>
      </c>
      <c r="Z81">
        <f>IF(Source!BI36=4,H79, 0)</f>
        <v>0</v>
      </c>
    </row>
    <row r="82" spans="1:26" ht="28.5">
      <c r="A82" s="23" t="str">
        <f>Source!E37</f>
        <v>14</v>
      </c>
      <c r="B82" s="57" t="str">
        <f>Source!F37</f>
        <v>530-9017-00102</v>
      </c>
      <c r="C82" s="57" t="s">
        <v>314</v>
      </c>
      <c r="D82" s="39" t="str">
        <f>Source!H37</f>
        <v>100 шт.</v>
      </c>
      <c r="E82" s="10">
        <f>Source!I37</f>
        <v>4.1000000000000002E-2</v>
      </c>
      <c r="F82" s="40">
        <f>Source!GE37</f>
        <v>228.74</v>
      </c>
      <c r="G82" s="41" t="str">
        <f>Source!DD37</f>
        <v/>
      </c>
      <c r="H82" s="42">
        <f>ROUND(ROUND((Source!GE37),6)*Source!I37, 2)</f>
        <v>9.3800000000000008</v>
      </c>
      <c r="I82" s="41" t="str">
        <f>Source!BO37</f>
        <v/>
      </c>
      <c r="J82" s="41">
        <f>IF(Source!BC37&lt;&gt; 0, Source!BC37, 1)</f>
        <v>1</v>
      </c>
      <c r="K82" s="42">
        <f>Source!P37</f>
        <v>9.3800000000000008</v>
      </c>
      <c r="L82" s="43"/>
      <c r="S82">
        <f>ROUND((Source!FX37/100)*((ROUND(Source!AF37*Source!I37, 2)+ROUND(Source!AE37*Source!I37, 2))), 2)</f>
        <v>0</v>
      </c>
      <c r="T82">
        <f>Source!X37</f>
        <v>0</v>
      </c>
      <c r="U82">
        <f>ROUND((Source!FY37/100)*((ROUND(Source!AF37*Source!I37, 2)+ROUND(Source!AE37*Source!I37, 2))), 2)</f>
        <v>0</v>
      </c>
      <c r="V82">
        <f>Source!Y37</f>
        <v>0</v>
      </c>
    </row>
    <row r="83" spans="1:26">
      <c r="A83" s="34"/>
      <c r="B83" s="34"/>
      <c r="C83" s="35" t="str">
        <f>"Объем: "&amp;Source!I37&amp;"=4,1/"&amp;"100"</f>
        <v>Объем: 0,041=4,1/100</v>
      </c>
      <c r="D83" s="34"/>
      <c r="E83" s="34"/>
      <c r="F83" s="34"/>
      <c r="G83" s="34"/>
      <c r="H83" s="34"/>
      <c r="I83" s="34"/>
      <c r="J83" s="34"/>
      <c r="K83" s="34"/>
      <c r="L83" s="34"/>
    </row>
    <row r="84" spans="1:26" ht="15">
      <c r="G84" s="62">
        <f>H82</f>
        <v>9.3800000000000008</v>
      </c>
      <c r="H84" s="62"/>
      <c r="J84" s="62">
        <f>K82</f>
        <v>9.3800000000000008</v>
      </c>
      <c r="K84" s="62"/>
      <c r="L84" s="54">
        <f>Source!U37</f>
        <v>0</v>
      </c>
      <c r="O84" s="31">
        <f>G84</f>
        <v>9.3800000000000008</v>
      </c>
      <c r="P84" s="31">
        <f>J84</f>
        <v>9.3800000000000008</v>
      </c>
      <c r="Q84" s="31">
        <f>L84</f>
        <v>0</v>
      </c>
      <c r="W84">
        <f>IF(Source!BI37&lt;=1,H82, 0)</f>
        <v>0</v>
      </c>
      <c r="X84">
        <f>IF(Source!BI37=2,H82, 0)</f>
        <v>9.3800000000000008</v>
      </c>
      <c r="Y84">
        <f>IF(Source!BI37=3,H82, 0)</f>
        <v>0</v>
      </c>
      <c r="Z84">
        <f>IF(Source!BI37=4,H82, 0)</f>
        <v>0</v>
      </c>
    </row>
    <row r="85" spans="1:26" ht="41.25">
      <c r="A85" s="58" t="str">
        <f>Source!E38</f>
        <v>15</v>
      </c>
      <c r="B85" s="59" t="str">
        <f>Source!F38</f>
        <v>500-9075-1250</v>
      </c>
      <c r="C85" s="59" t="s">
        <v>315</v>
      </c>
      <c r="D85" s="47" t="str">
        <f>Source!H38</f>
        <v>м</v>
      </c>
      <c r="E85" s="48">
        <f>Source!I38</f>
        <v>400</v>
      </c>
      <c r="F85" s="49">
        <f>Source!GE38</f>
        <v>36.340000000000003</v>
      </c>
      <c r="G85" s="52" t="str">
        <f>Source!DD38</f>
        <v/>
      </c>
      <c r="H85" s="51">
        <f>ROUND(ROUND((Source!GE38),6)*Source!I38, 2)</f>
        <v>14536</v>
      </c>
      <c r="I85" s="52" t="str">
        <f>Source!BO38</f>
        <v/>
      </c>
      <c r="J85" s="52">
        <f>IF(Source!BC38&lt;&gt; 0, Source!BC38, 1)</f>
        <v>1</v>
      </c>
      <c r="K85" s="51">
        <f>Source!P38</f>
        <v>14536</v>
      </c>
      <c r="L85" s="53"/>
      <c r="S85">
        <f>ROUND((Source!FX38/100)*((ROUND(Source!AF38*Source!I38, 2)+ROUND(Source!AE38*Source!I38, 2))), 2)</f>
        <v>0</v>
      </c>
      <c r="T85">
        <f>Source!X38</f>
        <v>0</v>
      </c>
      <c r="U85">
        <f>ROUND((Source!FY38/100)*((ROUND(Source!AF38*Source!I38, 2)+ROUND(Source!AE38*Source!I38, 2))), 2)</f>
        <v>0</v>
      </c>
      <c r="V85">
        <f>Source!Y38</f>
        <v>0</v>
      </c>
    </row>
    <row r="86" spans="1:26" ht="15">
      <c r="G86" s="62">
        <f>H85</f>
        <v>14536</v>
      </c>
      <c r="H86" s="62"/>
      <c r="J86" s="62">
        <f>K85</f>
        <v>14536</v>
      </c>
      <c r="K86" s="62"/>
      <c r="L86" s="54">
        <f>Source!U38</f>
        <v>0</v>
      </c>
      <c r="O86" s="31">
        <f>G86</f>
        <v>14536</v>
      </c>
      <c r="P86" s="31">
        <f>J86</f>
        <v>14536</v>
      </c>
      <c r="Q86" s="31">
        <f>L86</f>
        <v>0</v>
      </c>
      <c r="W86">
        <f>IF(Source!BI38&lt;=1,H85, 0)</f>
        <v>0</v>
      </c>
      <c r="X86">
        <f>IF(Source!BI38=2,H85, 0)</f>
        <v>14536</v>
      </c>
      <c r="Y86">
        <f>IF(Source!BI38=3,H85, 0)</f>
        <v>0</v>
      </c>
      <c r="Z86">
        <f>IF(Source!BI38=4,H85, 0)</f>
        <v>0</v>
      </c>
    </row>
    <row r="88" spans="1:26" ht="15">
      <c r="A88" s="65" t="str">
        <f>CONCATENATE("Итого по разделу: ",IF(Source!G40&lt;&gt;"Новый раздел", Source!G40, ""))</f>
        <v>Итого по разделу: монтажные работы</v>
      </c>
      <c r="B88" s="65"/>
      <c r="C88" s="65"/>
      <c r="D88" s="65"/>
      <c r="E88" s="65"/>
      <c r="F88" s="65"/>
      <c r="G88" s="64">
        <f>SUM(O44:O87)</f>
        <v>59481.84</v>
      </c>
      <c r="H88" s="64"/>
      <c r="I88" s="37"/>
      <c r="J88" s="64">
        <f>SUM(P44:P87)</f>
        <v>142541.94</v>
      </c>
      <c r="K88" s="64"/>
      <c r="L88" s="54">
        <f>SUM(Q44:Q87)</f>
        <v>100.55000000000001</v>
      </c>
    </row>
    <row r="92" spans="1:26" ht="16.5">
      <c r="A92" s="63" t="str">
        <f>CONCATENATE("Раздел: ",IF(Source!G70&lt;&gt;"Новый раздел", Source!G70, ""))</f>
        <v>Раздел: пуско-наладочные работы</v>
      </c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</row>
    <row r="94" spans="1:26" ht="15">
      <c r="A94" s="65" t="str">
        <f>CONCATENATE("Итого по разделу: ",IF(Source!G74&lt;&gt;"Новый раздел", Source!G74, ""))</f>
        <v>Итого по разделу: пуско-наладочные работы</v>
      </c>
      <c r="B94" s="65"/>
      <c r="C94" s="65"/>
      <c r="D94" s="65"/>
      <c r="E94" s="65"/>
      <c r="F94" s="65"/>
      <c r="G94" s="64">
        <f>SUM(O92:O93)</f>
        <v>0</v>
      </c>
      <c r="H94" s="64"/>
      <c r="I94" s="37"/>
      <c r="J94" s="64">
        <f>SUM(P92:P93)</f>
        <v>0</v>
      </c>
      <c r="K94" s="64"/>
      <c r="L94" s="54">
        <f>SUM(Q92:Q93)</f>
        <v>0</v>
      </c>
    </row>
    <row r="98" spans="1:32" ht="15">
      <c r="A98" s="65" t="str">
        <f>CONCATENATE("Итого по локальной смете: ",IF(Source!G104&lt;&gt;"Новая локальная смета", Source!G104, ""))</f>
        <v xml:space="preserve">Итого по локальной смете: </v>
      </c>
      <c r="B98" s="65"/>
      <c r="C98" s="65"/>
      <c r="D98" s="65"/>
      <c r="E98" s="65"/>
      <c r="F98" s="65"/>
      <c r="G98" s="64">
        <f>SUM(O42:O97)</f>
        <v>59481.84</v>
      </c>
      <c r="H98" s="64"/>
      <c r="I98" s="37"/>
      <c r="J98" s="64">
        <f>SUM(P42:P97)</f>
        <v>142541.94</v>
      </c>
      <c r="K98" s="64"/>
      <c r="L98" s="54">
        <f>SUM(Q42:Q97)</f>
        <v>100.55000000000001</v>
      </c>
    </row>
    <row r="102" spans="1:32" ht="15">
      <c r="A102" s="65" t="str">
        <f>CONCATENATE("Итого по смете: ",IF(Source!G134&lt;&gt;"Новый объект", Source!G134, ""))</f>
        <v>Итого по смете: видеонаблюдение внутренние Ильинский Погост 2020</v>
      </c>
      <c r="B102" s="65"/>
      <c r="C102" s="65"/>
      <c r="D102" s="65"/>
      <c r="E102" s="65"/>
      <c r="F102" s="65"/>
      <c r="G102" s="64">
        <f>SUM(O1:O101)</f>
        <v>59481.84</v>
      </c>
      <c r="H102" s="64"/>
      <c r="I102" s="37"/>
      <c r="J102" s="64">
        <f>SUM(P1:P101)</f>
        <v>142541.94</v>
      </c>
      <c r="K102" s="64"/>
      <c r="L102" s="54">
        <f>SUM(Q1:Q101)</f>
        <v>100.55000000000001</v>
      </c>
      <c r="AF102" s="61" t="str">
        <f>CONCATENATE("Итого по смете: ",IF(Source!G134&lt;&gt;"Новый объект", Source!G134, ""))</f>
        <v>Итого по смете: видеонаблюдение внутренние Ильинский Погост 2020</v>
      </c>
    </row>
    <row r="104" spans="1:32" ht="14.25">
      <c r="C104" s="68" t="str">
        <f>Source!H163</f>
        <v>НДС 20%</v>
      </c>
      <c r="D104" s="68"/>
      <c r="E104" s="68"/>
      <c r="F104" s="68"/>
      <c r="G104" s="68"/>
      <c r="H104" s="68"/>
      <c r="I104" s="68"/>
      <c r="J104" s="69">
        <f>IF(Source!F163=0, "", Source!F163)</f>
        <v>28508.400000000001</v>
      </c>
      <c r="K104" s="69"/>
    </row>
    <row r="105" spans="1:32" ht="14.25">
      <c r="C105" s="68" t="str">
        <f>Source!H164</f>
        <v>всего с НДС</v>
      </c>
      <c r="D105" s="68"/>
      <c r="E105" s="68"/>
      <c r="F105" s="68"/>
      <c r="G105" s="68"/>
      <c r="H105" s="68"/>
      <c r="I105" s="68"/>
      <c r="J105" s="69">
        <f>IF(Source!F164=0, "", Source!F164)</f>
        <v>171050.3</v>
      </c>
      <c r="K105" s="69"/>
    </row>
    <row r="108" spans="1:32" ht="14.25">
      <c r="A108" s="36" t="s">
        <v>316</v>
      </c>
      <c r="B108" s="36"/>
      <c r="C108" s="10" t="s">
        <v>317</v>
      </c>
      <c r="D108" s="32" t="str">
        <f>IF(Source!CP12&lt;&gt;"", Source!CP12," ")</f>
        <v xml:space="preserve"> </v>
      </c>
      <c r="E108" s="32"/>
      <c r="F108" s="32"/>
      <c r="G108" s="32"/>
      <c r="H108" s="32"/>
      <c r="I108" s="11" t="str">
        <f>IF(Source!CO12&lt;&gt;"", Source!CO12," ")</f>
        <v xml:space="preserve"> </v>
      </c>
      <c r="J108" s="10"/>
      <c r="K108" s="11"/>
      <c r="L108" s="11"/>
    </row>
    <row r="109" spans="1:32" ht="14.25">
      <c r="A109" s="11"/>
      <c r="B109" s="11"/>
      <c r="C109" s="10"/>
      <c r="D109" s="66" t="s">
        <v>318</v>
      </c>
      <c r="E109" s="66"/>
      <c r="F109" s="66"/>
      <c r="G109" s="66"/>
      <c r="H109" s="66"/>
      <c r="I109" s="11"/>
      <c r="J109" s="10"/>
      <c r="K109" s="11"/>
      <c r="L109" s="11"/>
    </row>
    <row r="110" spans="1:32" ht="14.25">
      <c r="A110" s="11"/>
      <c r="B110" s="11"/>
      <c r="C110" s="10"/>
      <c r="D110" s="11"/>
      <c r="E110" s="11"/>
      <c r="F110" s="11"/>
      <c r="G110" s="11"/>
      <c r="H110" s="11"/>
      <c r="I110" s="11"/>
      <c r="J110" s="10"/>
      <c r="K110" s="11"/>
      <c r="L110" s="11"/>
    </row>
    <row r="111" spans="1:32" ht="14.25">
      <c r="A111" s="36" t="s">
        <v>316</v>
      </c>
      <c r="B111" s="36"/>
      <c r="C111" s="10" t="s">
        <v>319</v>
      </c>
      <c r="D111" s="32" t="str">
        <f>IF(Source!AC12&lt;&gt;"", Source!AC12," ")</f>
        <v xml:space="preserve"> </v>
      </c>
      <c r="E111" s="32"/>
      <c r="F111" s="32"/>
      <c r="G111" s="32"/>
      <c r="H111" s="32"/>
      <c r="I111" s="11" t="str">
        <f>IF(Source!AB12&lt;&gt;"", Source!AB12," ")</f>
        <v xml:space="preserve"> </v>
      </c>
      <c r="J111" s="10"/>
      <c r="K111" s="11"/>
      <c r="L111" s="11"/>
    </row>
    <row r="112" spans="1:32" ht="14.25">
      <c r="A112" s="11"/>
      <c r="B112" s="11"/>
      <c r="C112" s="11"/>
      <c r="D112" s="66" t="s">
        <v>318</v>
      </c>
      <c r="E112" s="66"/>
      <c r="F112" s="66"/>
      <c r="G112" s="66"/>
      <c r="H112" s="66"/>
      <c r="I112" s="11"/>
      <c r="J112" s="11"/>
      <c r="K112" s="11"/>
      <c r="L112" s="11"/>
    </row>
    <row r="113" spans="1:12" ht="14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</row>
    <row r="114" spans="1:12" ht="14.25">
      <c r="A114" s="11"/>
      <c r="B114" s="11"/>
      <c r="C114" s="10" t="s">
        <v>320</v>
      </c>
      <c r="D114" s="32" t="str">
        <f>IF(Source!AE12&lt;&gt;"", Source!AE12," ")</f>
        <v xml:space="preserve"> </v>
      </c>
      <c r="E114" s="32"/>
      <c r="F114" s="32"/>
      <c r="G114" s="32"/>
      <c r="H114" s="32"/>
      <c r="I114" s="11" t="str">
        <f>IF(Source!AD12&lt;&gt;"", Source!AD12," ")</f>
        <v xml:space="preserve"> </v>
      </c>
      <c r="J114" s="10"/>
      <c r="K114" s="11"/>
      <c r="L114" s="11"/>
    </row>
    <row r="115" spans="1:12" ht="14.25">
      <c r="A115" s="11"/>
      <c r="B115" s="11"/>
      <c r="C115" s="11"/>
      <c r="D115" s="66" t="s">
        <v>318</v>
      </c>
      <c r="E115" s="66"/>
      <c r="F115" s="66"/>
      <c r="G115" s="66"/>
      <c r="H115" s="66"/>
      <c r="I115" s="11"/>
      <c r="J115" s="11"/>
      <c r="K115" s="11"/>
      <c r="L115" s="11"/>
    </row>
  </sheetData>
  <mergeCells count="91">
    <mergeCell ref="B3:E3"/>
    <mergeCell ref="H3:L3"/>
    <mergeCell ref="B4:E4"/>
    <mergeCell ref="H4:L4"/>
    <mergeCell ref="B6:E6"/>
    <mergeCell ref="H6:L6"/>
    <mergeCell ref="G25:H25"/>
    <mergeCell ref="I25:J25"/>
    <mergeCell ref="B7:E7"/>
    <mergeCell ref="H7:L7"/>
    <mergeCell ref="B10:K10"/>
    <mergeCell ref="B11:K11"/>
    <mergeCell ref="F13:G13"/>
    <mergeCell ref="H13:K13"/>
    <mergeCell ref="B15:K15"/>
    <mergeCell ref="B17:K17"/>
    <mergeCell ref="B19:K19"/>
    <mergeCell ref="B20:K20"/>
    <mergeCell ref="A22:L22"/>
    <mergeCell ref="C26:F26"/>
    <mergeCell ref="G26:H26"/>
    <mergeCell ref="I26:J26"/>
    <mergeCell ref="K26:L26"/>
    <mergeCell ref="C27:F27"/>
    <mergeCell ref="G27:H27"/>
    <mergeCell ref="I27:J27"/>
    <mergeCell ref="K27:L27"/>
    <mergeCell ref="C28:F28"/>
    <mergeCell ref="G28:H28"/>
    <mergeCell ref="I28:J28"/>
    <mergeCell ref="K28:L28"/>
    <mergeCell ref="C29:F29"/>
    <mergeCell ref="G29:H29"/>
    <mergeCell ref="I29:J29"/>
    <mergeCell ref="K29:L29"/>
    <mergeCell ref="C30:F30"/>
    <mergeCell ref="G30:H30"/>
    <mergeCell ref="I30:J30"/>
    <mergeCell ref="K30:L30"/>
    <mergeCell ref="C31:F31"/>
    <mergeCell ref="G31:H31"/>
    <mergeCell ref="I31:J31"/>
    <mergeCell ref="K31:L31"/>
    <mergeCell ref="C32:F32"/>
    <mergeCell ref="G32:H32"/>
    <mergeCell ref="I32:J32"/>
    <mergeCell ref="K32:L32"/>
    <mergeCell ref="C33:F33"/>
    <mergeCell ref="G33:H33"/>
    <mergeCell ref="I33:J33"/>
    <mergeCell ref="A38:L38"/>
    <mergeCell ref="C104:I104"/>
    <mergeCell ref="J104:K104"/>
    <mergeCell ref="C105:I105"/>
    <mergeCell ref="J105:K105"/>
    <mergeCell ref="J86:K86"/>
    <mergeCell ref="G86:H86"/>
    <mergeCell ref="J84:K84"/>
    <mergeCell ref="G84:H84"/>
    <mergeCell ref="D112:H112"/>
    <mergeCell ref="D115:H115"/>
    <mergeCell ref="A94:F94"/>
    <mergeCell ref="A92:L92"/>
    <mergeCell ref="G88:H88"/>
    <mergeCell ref="J88:K88"/>
    <mergeCell ref="A88:F88"/>
    <mergeCell ref="G94:H94"/>
    <mergeCell ref="J94:K94"/>
    <mergeCell ref="D109:H109"/>
    <mergeCell ref="J81:K81"/>
    <mergeCell ref="G81:H81"/>
    <mergeCell ref="J78:K78"/>
    <mergeCell ref="G78:H78"/>
    <mergeCell ref="J68:K68"/>
    <mergeCell ref="G68:H68"/>
    <mergeCell ref="J54:K54"/>
    <mergeCell ref="G54:H54"/>
    <mergeCell ref="A44:L44"/>
    <mergeCell ref="A42:L42"/>
    <mergeCell ref="G102:H102"/>
    <mergeCell ref="J102:K102"/>
    <mergeCell ref="A102:F102"/>
    <mergeCell ref="G98:H98"/>
    <mergeCell ref="J98:K98"/>
    <mergeCell ref="A98:F98"/>
    <mergeCell ref="J66:K66"/>
    <mergeCell ref="G66:H66"/>
    <mergeCell ref="J64:K64"/>
    <mergeCell ref="G64:H64"/>
    <mergeCell ref="J62:K62"/>
    <mergeCell ref="G62:H62"/>
  </mergeCells>
  <pageMargins left="0.4" right="0.2" top="0.2" bottom="0.4" header="0.2" footer="0.2"/>
  <pageSetup paperSize="9" scale="58" fitToHeight="0" orientation="portrait" horizontalDpi="360" verticalDpi="360" r:id="rId1"/>
  <headerFooter>
    <oddHeader>&amp;L&amp;8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K201"/>
  <sheetViews>
    <sheetView workbookViewId="0">
      <selection activeCell="A197" sqref="A197:AN197"/>
    </sheetView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1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195</v>
      </c>
      <c r="C12" s="1">
        <v>0</v>
      </c>
      <c r="D12" s="1">
        <f>ROW(A134)</f>
        <v>134</v>
      </c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3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10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5" spans="1:133">
      <c r="A15" s="1">
        <v>15</v>
      </c>
      <c r="B15" s="1">
        <v>1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</row>
    <row r="18" spans="1:245">
      <c r="A18" s="2">
        <v>52</v>
      </c>
      <c r="B18" s="2">
        <f t="shared" ref="B18:G18" si="0">B134</f>
        <v>195</v>
      </c>
      <c r="C18" s="2">
        <f t="shared" si="0"/>
        <v>1</v>
      </c>
      <c r="D18" s="2">
        <f t="shared" si="0"/>
        <v>12</v>
      </c>
      <c r="E18" s="2">
        <f t="shared" si="0"/>
        <v>0</v>
      </c>
      <c r="F18" s="2" t="str">
        <f t="shared" si="0"/>
        <v>Новый объект</v>
      </c>
      <c r="G18" s="2" t="str">
        <f t="shared" si="0"/>
        <v>видеонаблюдение внутренние Ильинский Погост 2020</v>
      </c>
      <c r="H18" s="2"/>
      <c r="I18" s="2"/>
      <c r="J18" s="2"/>
      <c r="K18" s="2"/>
      <c r="L18" s="2"/>
      <c r="M18" s="2"/>
      <c r="N18" s="2"/>
      <c r="O18" s="2">
        <f t="shared" ref="O18:AT18" si="1">O134</f>
        <v>96001.85</v>
      </c>
      <c r="P18" s="2">
        <f t="shared" si="1"/>
        <v>64239.13</v>
      </c>
      <c r="Q18" s="2">
        <f t="shared" si="1"/>
        <v>1485.45</v>
      </c>
      <c r="R18" s="2">
        <f t="shared" si="1"/>
        <v>294.42</v>
      </c>
      <c r="S18" s="2">
        <f t="shared" si="1"/>
        <v>30277.27</v>
      </c>
      <c r="T18" s="2">
        <f t="shared" si="1"/>
        <v>0</v>
      </c>
      <c r="U18" s="2">
        <f t="shared" si="1"/>
        <v>100.55000000000001</v>
      </c>
      <c r="V18" s="2">
        <f t="shared" si="1"/>
        <v>0.72</v>
      </c>
      <c r="W18" s="2">
        <f t="shared" si="1"/>
        <v>1183.43</v>
      </c>
      <c r="X18" s="2">
        <f t="shared" si="1"/>
        <v>27262.15</v>
      </c>
      <c r="Y18" s="2">
        <f t="shared" si="1"/>
        <v>19277.939999999999</v>
      </c>
      <c r="Z18" s="2">
        <f t="shared" si="1"/>
        <v>0</v>
      </c>
      <c r="AA18" s="2">
        <f t="shared" si="1"/>
        <v>0</v>
      </c>
      <c r="AB18" s="2">
        <f t="shared" si="1"/>
        <v>0</v>
      </c>
      <c r="AC18" s="2">
        <f t="shared" si="1"/>
        <v>0</v>
      </c>
      <c r="AD18" s="2">
        <f t="shared" si="1"/>
        <v>0</v>
      </c>
      <c r="AE18" s="2">
        <f t="shared" si="1"/>
        <v>0</v>
      </c>
      <c r="AF18" s="2">
        <f t="shared" si="1"/>
        <v>0</v>
      </c>
      <c r="AG18" s="2">
        <f t="shared" si="1"/>
        <v>0</v>
      </c>
      <c r="AH18" s="2">
        <f t="shared" si="1"/>
        <v>0</v>
      </c>
      <c r="AI18" s="2">
        <f t="shared" si="1"/>
        <v>0</v>
      </c>
      <c r="AJ18" s="2">
        <f t="shared" si="1"/>
        <v>0</v>
      </c>
      <c r="AK18" s="2">
        <f t="shared" si="1"/>
        <v>0</v>
      </c>
      <c r="AL18" s="2">
        <f t="shared" si="1"/>
        <v>0</v>
      </c>
      <c r="AM18" s="2">
        <f t="shared" si="1"/>
        <v>0</v>
      </c>
      <c r="AN18" s="2">
        <f t="shared" si="1"/>
        <v>0</v>
      </c>
      <c r="AO18" s="2">
        <f t="shared" si="1"/>
        <v>0</v>
      </c>
      <c r="AP18" s="2">
        <f t="shared" si="1"/>
        <v>0</v>
      </c>
      <c r="AQ18" s="2">
        <f t="shared" si="1"/>
        <v>0</v>
      </c>
      <c r="AR18" s="2">
        <f t="shared" si="1"/>
        <v>142541.94</v>
      </c>
      <c r="AS18" s="2">
        <f t="shared" si="1"/>
        <v>3213.28</v>
      </c>
      <c r="AT18" s="2">
        <f t="shared" si="1"/>
        <v>139328.66</v>
      </c>
      <c r="AU18" s="2">
        <f t="shared" ref="AU18:BZ18" si="2">AU134</f>
        <v>0</v>
      </c>
      <c r="AV18" s="2">
        <f t="shared" si="2"/>
        <v>64239.13</v>
      </c>
      <c r="AW18" s="2">
        <f t="shared" si="2"/>
        <v>64239.13</v>
      </c>
      <c r="AX18" s="2">
        <f t="shared" si="2"/>
        <v>0</v>
      </c>
      <c r="AY18" s="2">
        <f t="shared" si="2"/>
        <v>64239.13</v>
      </c>
      <c r="AZ18" s="2">
        <f t="shared" si="2"/>
        <v>0</v>
      </c>
      <c r="BA18" s="2">
        <f t="shared" si="2"/>
        <v>0</v>
      </c>
      <c r="BB18" s="2">
        <f t="shared" si="2"/>
        <v>0</v>
      </c>
      <c r="BC18" s="2">
        <f t="shared" si="2"/>
        <v>0</v>
      </c>
      <c r="BD18" s="2">
        <f t="shared" si="2"/>
        <v>0</v>
      </c>
      <c r="BE18" s="2">
        <f t="shared" si="2"/>
        <v>0</v>
      </c>
      <c r="BF18" s="2">
        <f t="shared" si="2"/>
        <v>0</v>
      </c>
      <c r="BG18" s="2">
        <f t="shared" si="2"/>
        <v>0</v>
      </c>
      <c r="BH18" s="2">
        <f t="shared" si="2"/>
        <v>0</v>
      </c>
      <c r="BI18" s="2">
        <f t="shared" si="2"/>
        <v>0</v>
      </c>
      <c r="BJ18" s="2">
        <f t="shared" si="2"/>
        <v>0</v>
      </c>
      <c r="BK18" s="2">
        <f t="shared" si="2"/>
        <v>0</v>
      </c>
      <c r="BL18" s="2">
        <f t="shared" si="2"/>
        <v>0</v>
      </c>
      <c r="BM18" s="2">
        <f t="shared" si="2"/>
        <v>0</v>
      </c>
      <c r="BN18" s="2">
        <f t="shared" si="2"/>
        <v>0</v>
      </c>
      <c r="BO18" s="2">
        <f t="shared" si="2"/>
        <v>0</v>
      </c>
      <c r="BP18" s="2">
        <f t="shared" si="2"/>
        <v>0</v>
      </c>
      <c r="BQ18" s="2">
        <f t="shared" si="2"/>
        <v>0</v>
      </c>
      <c r="BR18" s="2">
        <f t="shared" si="2"/>
        <v>0</v>
      </c>
      <c r="BS18" s="2">
        <f t="shared" si="2"/>
        <v>0</v>
      </c>
      <c r="BT18" s="2">
        <f t="shared" si="2"/>
        <v>0</v>
      </c>
      <c r="BU18" s="2">
        <f t="shared" si="2"/>
        <v>0</v>
      </c>
      <c r="BV18" s="2">
        <f t="shared" si="2"/>
        <v>0</v>
      </c>
      <c r="BW18" s="2">
        <f t="shared" si="2"/>
        <v>0</v>
      </c>
      <c r="BX18" s="2">
        <f t="shared" si="2"/>
        <v>0</v>
      </c>
      <c r="BY18" s="2">
        <f t="shared" si="2"/>
        <v>0</v>
      </c>
      <c r="BZ18" s="2">
        <f t="shared" si="2"/>
        <v>0</v>
      </c>
      <c r="CA18" s="2">
        <f t="shared" ref="CA18:DF18" si="3">CA134</f>
        <v>0</v>
      </c>
      <c r="CB18" s="2">
        <f t="shared" si="3"/>
        <v>0</v>
      </c>
      <c r="CC18" s="2">
        <f t="shared" si="3"/>
        <v>0</v>
      </c>
      <c r="CD18" s="2">
        <f t="shared" si="3"/>
        <v>0</v>
      </c>
      <c r="CE18" s="2">
        <f t="shared" si="3"/>
        <v>0</v>
      </c>
      <c r="CF18" s="2">
        <f t="shared" si="3"/>
        <v>0</v>
      </c>
      <c r="CG18" s="2">
        <f t="shared" si="3"/>
        <v>0</v>
      </c>
      <c r="CH18" s="2">
        <f t="shared" si="3"/>
        <v>0</v>
      </c>
      <c r="CI18" s="2">
        <f t="shared" si="3"/>
        <v>0</v>
      </c>
      <c r="CJ18" s="2">
        <f t="shared" si="3"/>
        <v>0</v>
      </c>
      <c r="CK18" s="2">
        <f t="shared" si="3"/>
        <v>0</v>
      </c>
      <c r="CL18" s="2">
        <f t="shared" si="3"/>
        <v>0</v>
      </c>
      <c r="CM18" s="2">
        <f t="shared" si="3"/>
        <v>0</v>
      </c>
      <c r="CN18" s="2">
        <f t="shared" si="3"/>
        <v>0</v>
      </c>
      <c r="CO18" s="2">
        <f t="shared" si="3"/>
        <v>0</v>
      </c>
      <c r="CP18" s="2">
        <f t="shared" si="3"/>
        <v>0</v>
      </c>
      <c r="CQ18" s="2">
        <f t="shared" si="3"/>
        <v>0</v>
      </c>
      <c r="CR18" s="2">
        <f t="shared" si="3"/>
        <v>0</v>
      </c>
      <c r="CS18" s="2">
        <f t="shared" si="3"/>
        <v>0</v>
      </c>
      <c r="CT18" s="2">
        <f t="shared" si="3"/>
        <v>0</v>
      </c>
      <c r="CU18" s="2">
        <f t="shared" si="3"/>
        <v>0</v>
      </c>
      <c r="CV18" s="2">
        <f t="shared" si="3"/>
        <v>0</v>
      </c>
      <c r="CW18" s="2">
        <f t="shared" si="3"/>
        <v>0</v>
      </c>
      <c r="CX18" s="2">
        <f t="shared" si="3"/>
        <v>0</v>
      </c>
      <c r="CY18" s="2">
        <f t="shared" si="3"/>
        <v>0</v>
      </c>
      <c r="CZ18" s="2">
        <f t="shared" si="3"/>
        <v>0</v>
      </c>
      <c r="DA18" s="2">
        <f t="shared" si="3"/>
        <v>0</v>
      </c>
      <c r="DB18" s="2">
        <f t="shared" si="3"/>
        <v>0</v>
      </c>
      <c r="DC18" s="2">
        <f t="shared" si="3"/>
        <v>0</v>
      </c>
      <c r="DD18" s="2">
        <f t="shared" si="3"/>
        <v>0</v>
      </c>
      <c r="DE18" s="2">
        <f t="shared" si="3"/>
        <v>0</v>
      </c>
      <c r="DF18" s="2">
        <f t="shared" si="3"/>
        <v>0</v>
      </c>
      <c r="DG18" s="3">
        <f t="shared" ref="DG18:EL18" si="4">DG134</f>
        <v>0</v>
      </c>
      <c r="DH18" s="3">
        <f t="shared" si="4"/>
        <v>0</v>
      </c>
      <c r="DI18" s="3">
        <f t="shared" si="4"/>
        <v>0</v>
      </c>
      <c r="DJ18" s="3">
        <f t="shared" si="4"/>
        <v>0</v>
      </c>
      <c r="DK18" s="3">
        <f t="shared" si="4"/>
        <v>0</v>
      </c>
      <c r="DL18" s="3">
        <f t="shared" si="4"/>
        <v>0</v>
      </c>
      <c r="DM18" s="3">
        <f t="shared" si="4"/>
        <v>0</v>
      </c>
      <c r="DN18" s="3">
        <f t="shared" si="4"/>
        <v>0</v>
      </c>
      <c r="DO18" s="3">
        <f t="shared" si="4"/>
        <v>0</v>
      </c>
      <c r="DP18" s="3">
        <f t="shared" si="4"/>
        <v>0</v>
      </c>
      <c r="DQ18" s="3">
        <f t="shared" si="4"/>
        <v>0</v>
      </c>
      <c r="DR18" s="3">
        <f t="shared" si="4"/>
        <v>0</v>
      </c>
      <c r="DS18" s="3">
        <f t="shared" si="4"/>
        <v>0</v>
      </c>
      <c r="DT18" s="3">
        <f t="shared" si="4"/>
        <v>0</v>
      </c>
      <c r="DU18" s="3">
        <f t="shared" si="4"/>
        <v>0</v>
      </c>
      <c r="DV18" s="3">
        <f t="shared" si="4"/>
        <v>0</v>
      </c>
      <c r="DW18" s="3">
        <f t="shared" si="4"/>
        <v>0</v>
      </c>
      <c r="DX18" s="3">
        <f t="shared" si="4"/>
        <v>0</v>
      </c>
      <c r="DY18" s="3">
        <f t="shared" si="4"/>
        <v>0</v>
      </c>
      <c r="DZ18" s="3">
        <f t="shared" si="4"/>
        <v>0</v>
      </c>
      <c r="EA18" s="3">
        <f t="shared" si="4"/>
        <v>0</v>
      </c>
      <c r="EB18" s="3">
        <f t="shared" si="4"/>
        <v>0</v>
      </c>
      <c r="EC18" s="3">
        <f t="shared" si="4"/>
        <v>0</v>
      </c>
      <c r="ED18" s="3">
        <f t="shared" si="4"/>
        <v>0</v>
      </c>
      <c r="EE18" s="3">
        <f t="shared" si="4"/>
        <v>0</v>
      </c>
      <c r="EF18" s="3">
        <f t="shared" si="4"/>
        <v>0</v>
      </c>
      <c r="EG18" s="3">
        <f t="shared" si="4"/>
        <v>0</v>
      </c>
      <c r="EH18" s="3">
        <f t="shared" si="4"/>
        <v>0</v>
      </c>
      <c r="EI18" s="3">
        <f t="shared" si="4"/>
        <v>0</v>
      </c>
      <c r="EJ18" s="3">
        <f t="shared" si="4"/>
        <v>0</v>
      </c>
      <c r="EK18" s="3">
        <f t="shared" si="4"/>
        <v>0</v>
      </c>
      <c r="EL18" s="3">
        <f t="shared" si="4"/>
        <v>0</v>
      </c>
      <c r="EM18" s="3">
        <f t="shared" ref="EM18:FR18" si="5">EM134</f>
        <v>0</v>
      </c>
      <c r="EN18" s="3">
        <f t="shared" si="5"/>
        <v>0</v>
      </c>
      <c r="EO18" s="3">
        <f t="shared" si="5"/>
        <v>0</v>
      </c>
      <c r="EP18" s="3">
        <f t="shared" si="5"/>
        <v>0</v>
      </c>
      <c r="EQ18" s="3">
        <f t="shared" si="5"/>
        <v>0</v>
      </c>
      <c r="ER18" s="3">
        <f t="shared" si="5"/>
        <v>0</v>
      </c>
      <c r="ES18" s="3">
        <f t="shared" si="5"/>
        <v>0</v>
      </c>
      <c r="ET18" s="3">
        <f t="shared" si="5"/>
        <v>0</v>
      </c>
      <c r="EU18" s="3">
        <f t="shared" si="5"/>
        <v>0</v>
      </c>
      <c r="EV18" s="3">
        <f t="shared" si="5"/>
        <v>0</v>
      </c>
      <c r="EW18" s="3">
        <f t="shared" si="5"/>
        <v>0</v>
      </c>
      <c r="EX18" s="3">
        <f t="shared" si="5"/>
        <v>0</v>
      </c>
      <c r="EY18" s="3">
        <f t="shared" si="5"/>
        <v>0</v>
      </c>
      <c r="EZ18" s="3">
        <f t="shared" si="5"/>
        <v>0</v>
      </c>
      <c r="FA18" s="3">
        <f t="shared" si="5"/>
        <v>0</v>
      </c>
      <c r="FB18" s="3">
        <f t="shared" si="5"/>
        <v>0</v>
      </c>
      <c r="FC18" s="3">
        <f t="shared" si="5"/>
        <v>0</v>
      </c>
      <c r="FD18" s="3">
        <f t="shared" si="5"/>
        <v>0</v>
      </c>
      <c r="FE18" s="3">
        <f t="shared" si="5"/>
        <v>0</v>
      </c>
      <c r="FF18" s="3">
        <f t="shared" si="5"/>
        <v>0</v>
      </c>
      <c r="FG18" s="3">
        <f t="shared" si="5"/>
        <v>0</v>
      </c>
      <c r="FH18" s="3">
        <f t="shared" si="5"/>
        <v>0</v>
      </c>
      <c r="FI18" s="3">
        <f t="shared" si="5"/>
        <v>0</v>
      </c>
      <c r="FJ18" s="3">
        <f t="shared" si="5"/>
        <v>0</v>
      </c>
      <c r="FK18" s="3">
        <f t="shared" si="5"/>
        <v>0</v>
      </c>
      <c r="FL18" s="3">
        <f t="shared" si="5"/>
        <v>0</v>
      </c>
      <c r="FM18" s="3">
        <f t="shared" si="5"/>
        <v>0</v>
      </c>
      <c r="FN18" s="3">
        <f t="shared" si="5"/>
        <v>0</v>
      </c>
      <c r="FO18" s="3">
        <f t="shared" si="5"/>
        <v>0</v>
      </c>
      <c r="FP18" s="3">
        <f t="shared" si="5"/>
        <v>0</v>
      </c>
      <c r="FQ18" s="3">
        <f t="shared" si="5"/>
        <v>0</v>
      </c>
      <c r="FR18" s="3">
        <f t="shared" si="5"/>
        <v>0</v>
      </c>
      <c r="FS18" s="3">
        <f t="shared" ref="FS18:GX18" si="6">FS134</f>
        <v>0</v>
      </c>
      <c r="FT18" s="3">
        <f t="shared" si="6"/>
        <v>0</v>
      </c>
      <c r="FU18" s="3">
        <f t="shared" si="6"/>
        <v>0</v>
      </c>
      <c r="FV18" s="3">
        <f t="shared" si="6"/>
        <v>0</v>
      </c>
      <c r="FW18" s="3">
        <f t="shared" si="6"/>
        <v>0</v>
      </c>
      <c r="FX18" s="3">
        <f t="shared" si="6"/>
        <v>0</v>
      </c>
      <c r="FY18" s="3">
        <f t="shared" si="6"/>
        <v>0</v>
      </c>
      <c r="FZ18" s="3">
        <f t="shared" si="6"/>
        <v>0</v>
      </c>
      <c r="GA18" s="3">
        <f t="shared" si="6"/>
        <v>0</v>
      </c>
      <c r="GB18" s="3">
        <f t="shared" si="6"/>
        <v>0</v>
      </c>
      <c r="GC18" s="3">
        <f t="shared" si="6"/>
        <v>0</v>
      </c>
      <c r="GD18" s="3">
        <f t="shared" si="6"/>
        <v>0</v>
      </c>
      <c r="GE18" s="3">
        <f t="shared" si="6"/>
        <v>0</v>
      </c>
      <c r="GF18" s="3">
        <f t="shared" si="6"/>
        <v>0</v>
      </c>
      <c r="GG18" s="3">
        <f t="shared" si="6"/>
        <v>0</v>
      </c>
      <c r="GH18" s="3">
        <f t="shared" si="6"/>
        <v>0</v>
      </c>
      <c r="GI18" s="3">
        <f t="shared" si="6"/>
        <v>0</v>
      </c>
      <c r="GJ18" s="3">
        <f t="shared" si="6"/>
        <v>0</v>
      </c>
      <c r="GK18" s="3">
        <f t="shared" si="6"/>
        <v>0</v>
      </c>
      <c r="GL18" s="3">
        <f t="shared" si="6"/>
        <v>0</v>
      </c>
      <c r="GM18" s="3">
        <f t="shared" si="6"/>
        <v>0</v>
      </c>
      <c r="GN18" s="3">
        <f t="shared" si="6"/>
        <v>0</v>
      </c>
      <c r="GO18" s="3">
        <f t="shared" si="6"/>
        <v>0</v>
      </c>
      <c r="GP18" s="3">
        <f t="shared" si="6"/>
        <v>0</v>
      </c>
      <c r="GQ18" s="3">
        <f t="shared" si="6"/>
        <v>0</v>
      </c>
      <c r="GR18" s="3">
        <f t="shared" si="6"/>
        <v>0</v>
      </c>
      <c r="GS18" s="3">
        <f t="shared" si="6"/>
        <v>0</v>
      </c>
      <c r="GT18" s="3">
        <f t="shared" si="6"/>
        <v>0</v>
      </c>
      <c r="GU18" s="3">
        <f t="shared" si="6"/>
        <v>0</v>
      </c>
      <c r="GV18" s="3">
        <f t="shared" si="6"/>
        <v>0</v>
      </c>
      <c r="GW18" s="3">
        <f t="shared" si="6"/>
        <v>0</v>
      </c>
      <c r="GX18" s="3">
        <f t="shared" si="6"/>
        <v>0</v>
      </c>
    </row>
    <row r="20" spans="1:245">
      <c r="A20" s="1">
        <v>3</v>
      </c>
      <c r="B20" s="1">
        <v>1</v>
      </c>
      <c r="C20" s="1"/>
      <c r="D20" s="1">
        <f>ROW(A104)</f>
        <v>104</v>
      </c>
      <c r="E20" s="1"/>
      <c r="F20" s="1" t="s">
        <v>11</v>
      </c>
      <c r="G20" s="1" t="s">
        <v>11</v>
      </c>
      <c r="H20" s="1" t="s">
        <v>3</v>
      </c>
      <c r="I20" s="1">
        <v>0</v>
      </c>
      <c r="J20" s="1" t="s">
        <v>3</v>
      </c>
      <c r="K20" s="1">
        <v>0</v>
      </c>
      <c r="L20" s="1" t="s">
        <v>3</v>
      </c>
      <c r="M20" s="1" t="s">
        <v>3</v>
      </c>
      <c r="N20" s="1"/>
      <c r="O20" s="1"/>
      <c r="P20" s="1"/>
      <c r="Q20" s="1"/>
      <c r="R20" s="1"/>
      <c r="S20" s="1">
        <v>0</v>
      </c>
      <c r="T20" s="1"/>
      <c r="U20" s="1" t="s">
        <v>3</v>
      </c>
      <c r="V20" s="1">
        <v>0</v>
      </c>
      <c r="W20" s="1"/>
      <c r="X20" s="1"/>
      <c r="Y20" s="1"/>
      <c r="Z20" s="1"/>
      <c r="AA20" s="1"/>
      <c r="AB20" s="1" t="s">
        <v>3</v>
      </c>
      <c r="AC20" s="1" t="s">
        <v>3</v>
      </c>
      <c r="AD20" s="1" t="s">
        <v>3</v>
      </c>
      <c r="AE20" s="1" t="s">
        <v>3</v>
      </c>
      <c r="AF20" s="1" t="s">
        <v>3</v>
      </c>
      <c r="AG20" s="1" t="s">
        <v>3</v>
      </c>
      <c r="AH20" s="1"/>
      <c r="AI20" s="1"/>
      <c r="AJ20" s="1"/>
      <c r="AK20" s="1"/>
      <c r="AL20" s="1"/>
      <c r="AM20" s="1"/>
      <c r="AN20" s="1"/>
      <c r="AO20" s="1"/>
      <c r="AP20" s="1" t="s">
        <v>3</v>
      </c>
      <c r="AQ20" s="1" t="s">
        <v>3</v>
      </c>
      <c r="AR20" s="1" t="s">
        <v>3</v>
      </c>
      <c r="AS20" s="1"/>
      <c r="AT20" s="1"/>
      <c r="AU20" s="1"/>
      <c r="AV20" s="1"/>
      <c r="AW20" s="1"/>
      <c r="AX20" s="1"/>
      <c r="AY20" s="1"/>
      <c r="AZ20" s="1" t="s">
        <v>3</v>
      </c>
      <c r="BA20" s="1"/>
      <c r="BB20" s="1" t="s">
        <v>3</v>
      </c>
      <c r="BC20" s="1" t="s">
        <v>3</v>
      </c>
      <c r="BD20" s="1" t="s">
        <v>3</v>
      </c>
      <c r="BE20" s="1" t="s">
        <v>3</v>
      </c>
      <c r="BF20" s="1" t="s">
        <v>3</v>
      </c>
      <c r="BG20" s="1" t="s">
        <v>3</v>
      </c>
      <c r="BH20" s="1" t="s">
        <v>3</v>
      </c>
      <c r="BI20" s="1" t="s">
        <v>3</v>
      </c>
      <c r="BJ20" s="1" t="s">
        <v>3</v>
      </c>
      <c r="BK20" s="1" t="s">
        <v>3</v>
      </c>
      <c r="BL20" s="1" t="s">
        <v>3</v>
      </c>
      <c r="BM20" s="1" t="s">
        <v>3</v>
      </c>
      <c r="BN20" s="1" t="s">
        <v>3</v>
      </c>
      <c r="BO20" s="1" t="s">
        <v>3</v>
      </c>
      <c r="BP20" s="1" t="s">
        <v>3</v>
      </c>
      <c r="BQ20" s="1"/>
      <c r="BR20" s="1"/>
      <c r="BS20" s="1"/>
      <c r="BT20" s="1"/>
      <c r="BU20" s="1"/>
      <c r="BV20" s="1"/>
      <c r="BW20" s="1"/>
      <c r="BX20" s="1">
        <v>0</v>
      </c>
      <c r="BY20" s="1"/>
      <c r="BZ20" s="1"/>
      <c r="CA20" s="1"/>
      <c r="CB20" s="1"/>
      <c r="CC20" s="1"/>
      <c r="CD20" s="1"/>
      <c r="CE20" s="1"/>
      <c r="CF20" s="1">
        <v>0</v>
      </c>
      <c r="CG20" s="1">
        <v>0</v>
      </c>
      <c r="CH20" s="1"/>
      <c r="CI20" s="1" t="s">
        <v>3</v>
      </c>
      <c r="CJ20" s="1" t="s">
        <v>3</v>
      </c>
      <c r="CK20" t="s">
        <v>3</v>
      </c>
      <c r="CL20" t="s">
        <v>3</v>
      </c>
      <c r="CM20" t="s">
        <v>3</v>
      </c>
      <c r="CN20" t="s">
        <v>3</v>
      </c>
      <c r="CO20" t="s">
        <v>3</v>
      </c>
      <c r="CP20" t="s">
        <v>3</v>
      </c>
      <c r="CQ20" t="s">
        <v>3</v>
      </c>
    </row>
    <row r="22" spans="1:245">
      <c r="A22" s="2">
        <v>52</v>
      </c>
      <c r="B22" s="2">
        <f t="shared" ref="B22:G22" si="7">B104</f>
        <v>1</v>
      </c>
      <c r="C22" s="2">
        <f t="shared" si="7"/>
        <v>3</v>
      </c>
      <c r="D22" s="2">
        <f t="shared" si="7"/>
        <v>20</v>
      </c>
      <c r="E22" s="2">
        <f t="shared" si="7"/>
        <v>0</v>
      </c>
      <c r="F22" s="2" t="str">
        <f t="shared" si="7"/>
        <v>Новая локальная смета</v>
      </c>
      <c r="G22" s="2" t="str">
        <f t="shared" si="7"/>
        <v>Новая локальная смета</v>
      </c>
      <c r="H22" s="2"/>
      <c r="I22" s="2"/>
      <c r="J22" s="2"/>
      <c r="K22" s="2"/>
      <c r="L22" s="2"/>
      <c r="M22" s="2"/>
      <c r="N22" s="2"/>
      <c r="O22" s="2">
        <f t="shared" ref="O22:AT22" si="8">O104</f>
        <v>96001.85</v>
      </c>
      <c r="P22" s="2">
        <f t="shared" si="8"/>
        <v>64239.13</v>
      </c>
      <c r="Q22" s="2">
        <f t="shared" si="8"/>
        <v>1485.45</v>
      </c>
      <c r="R22" s="2">
        <f t="shared" si="8"/>
        <v>294.42</v>
      </c>
      <c r="S22" s="2">
        <f t="shared" si="8"/>
        <v>30277.27</v>
      </c>
      <c r="T22" s="2">
        <f t="shared" si="8"/>
        <v>0</v>
      </c>
      <c r="U22" s="2">
        <f t="shared" si="8"/>
        <v>100.55000000000001</v>
      </c>
      <c r="V22" s="2">
        <f t="shared" si="8"/>
        <v>0.72</v>
      </c>
      <c r="W22" s="2">
        <f t="shared" si="8"/>
        <v>1183.43</v>
      </c>
      <c r="X22" s="2">
        <f t="shared" si="8"/>
        <v>27262.15</v>
      </c>
      <c r="Y22" s="2">
        <f t="shared" si="8"/>
        <v>19277.939999999999</v>
      </c>
      <c r="Z22" s="2">
        <f t="shared" si="8"/>
        <v>0</v>
      </c>
      <c r="AA22" s="2">
        <f t="shared" si="8"/>
        <v>0</v>
      </c>
      <c r="AB22" s="2">
        <f t="shared" si="8"/>
        <v>0</v>
      </c>
      <c r="AC22" s="2">
        <f t="shared" si="8"/>
        <v>0</v>
      </c>
      <c r="AD22" s="2">
        <f t="shared" si="8"/>
        <v>0</v>
      </c>
      <c r="AE22" s="2">
        <f t="shared" si="8"/>
        <v>0</v>
      </c>
      <c r="AF22" s="2">
        <f t="shared" si="8"/>
        <v>0</v>
      </c>
      <c r="AG22" s="2">
        <f t="shared" si="8"/>
        <v>0</v>
      </c>
      <c r="AH22" s="2">
        <f t="shared" si="8"/>
        <v>0</v>
      </c>
      <c r="AI22" s="2">
        <f t="shared" si="8"/>
        <v>0</v>
      </c>
      <c r="AJ22" s="2">
        <f t="shared" si="8"/>
        <v>0</v>
      </c>
      <c r="AK22" s="2">
        <f t="shared" si="8"/>
        <v>0</v>
      </c>
      <c r="AL22" s="2">
        <f t="shared" si="8"/>
        <v>0</v>
      </c>
      <c r="AM22" s="2">
        <f t="shared" si="8"/>
        <v>0</v>
      </c>
      <c r="AN22" s="2">
        <f t="shared" si="8"/>
        <v>0</v>
      </c>
      <c r="AO22" s="2">
        <f t="shared" si="8"/>
        <v>0</v>
      </c>
      <c r="AP22" s="2">
        <f t="shared" si="8"/>
        <v>0</v>
      </c>
      <c r="AQ22" s="2">
        <f t="shared" si="8"/>
        <v>0</v>
      </c>
      <c r="AR22" s="2">
        <f t="shared" si="8"/>
        <v>142541.94</v>
      </c>
      <c r="AS22" s="2">
        <f t="shared" si="8"/>
        <v>3213.28</v>
      </c>
      <c r="AT22" s="2">
        <f t="shared" si="8"/>
        <v>139328.66</v>
      </c>
      <c r="AU22" s="2">
        <f t="shared" ref="AU22:BZ22" si="9">AU104</f>
        <v>0</v>
      </c>
      <c r="AV22" s="2">
        <f t="shared" si="9"/>
        <v>64239.13</v>
      </c>
      <c r="AW22" s="2">
        <f t="shared" si="9"/>
        <v>64239.13</v>
      </c>
      <c r="AX22" s="2">
        <f t="shared" si="9"/>
        <v>0</v>
      </c>
      <c r="AY22" s="2">
        <f t="shared" si="9"/>
        <v>64239.13</v>
      </c>
      <c r="AZ22" s="2">
        <f t="shared" si="9"/>
        <v>0</v>
      </c>
      <c r="BA22" s="2">
        <f t="shared" si="9"/>
        <v>0</v>
      </c>
      <c r="BB22" s="2">
        <f t="shared" si="9"/>
        <v>0</v>
      </c>
      <c r="BC22" s="2">
        <f t="shared" si="9"/>
        <v>0</v>
      </c>
      <c r="BD22" s="2">
        <f t="shared" si="9"/>
        <v>0</v>
      </c>
      <c r="BE22" s="2">
        <f t="shared" si="9"/>
        <v>0</v>
      </c>
      <c r="BF22" s="2">
        <f t="shared" si="9"/>
        <v>0</v>
      </c>
      <c r="BG22" s="2">
        <f t="shared" si="9"/>
        <v>0</v>
      </c>
      <c r="BH22" s="2">
        <f t="shared" si="9"/>
        <v>0</v>
      </c>
      <c r="BI22" s="2">
        <f t="shared" si="9"/>
        <v>0</v>
      </c>
      <c r="BJ22" s="2">
        <f t="shared" si="9"/>
        <v>0</v>
      </c>
      <c r="BK22" s="2">
        <f t="shared" si="9"/>
        <v>0</v>
      </c>
      <c r="BL22" s="2">
        <f t="shared" si="9"/>
        <v>0</v>
      </c>
      <c r="BM22" s="2">
        <f t="shared" si="9"/>
        <v>0</v>
      </c>
      <c r="BN22" s="2">
        <f t="shared" si="9"/>
        <v>0</v>
      </c>
      <c r="BO22" s="2">
        <f t="shared" si="9"/>
        <v>0</v>
      </c>
      <c r="BP22" s="2">
        <f t="shared" si="9"/>
        <v>0</v>
      </c>
      <c r="BQ22" s="2">
        <f t="shared" si="9"/>
        <v>0</v>
      </c>
      <c r="BR22" s="2">
        <f t="shared" si="9"/>
        <v>0</v>
      </c>
      <c r="BS22" s="2">
        <f t="shared" si="9"/>
        <v>0</v>
      </c>
      <c r="BT22" s="2">
        <f t="shared" si="9"/>
        <v>0</v>
      </c>
      <c r="BU22" s="2">
        <f t="shared" si="9"/>
        <v>0</v>
      </c>
      <c r="BV22" s="2">
        <f t="shared" si="9"/>
        <v>0</v>
      </c>
      <c r="BW22" s="2">
        <f t="shared" si="9"/>
        <v>0</v>
      </c>
      <c r="BX22" s="2">
        <f t="shared" si="9"/>
        <v>0</v>
      </c>
      <c r="BY22" s="2">
        <f t="shared" si="9"/>
        <v>0</v>
      </c>
      <c r="BZ22" s="2">
        <f t="shared" si="9"/>
        <v>0</v>
      </c>
      <c r="CA22" s="2">
        <f t="shared" ref="CA22:DF22" si="10">CA104</f>
        <v>0</v>
      </c>
      <c r="CB22" s="2">
        <f t="shared" si="10"/>
        <v>0</v>
      </c>
      <c r="CC22" s="2">
        <f t="shared" si="10"/>
        <v>0</v>
      </c>
      <c r="CD22" s="2">
        <f t="shared" si="10"/>
        <v>0</v>
      </c>
      <c r="CE22" s="2">
        <f t="shared" si="10"/>
        <v>0</v>
      </c>
      <c r="CF22" s="2">
        <f t="shared" si="10"/>
        <v>0</v>
      </c>
      <c r="CG22" s="2">
        <f t="shared" si="10"/>
        <v>0</v>
      </c>
      <c r="CH22" s="2">
        <f t="shared" si="10"/>
        <v>0</v>
      </c>
      <c r="CI22" s="2">
        <f t="shared" si="10"/>
        <v>0</v>
      </c>
      <c r="CJ22" s="2">
        <f t="shared" si="10"/>
        <v>0</v>
      </c>
      <c r="CK22" s="2">
        <f t="shared" si="10"/>
        <v>0</v>
      </c>
      <c r="CL22" s="2">
        <f t="shared" si="10"/>
        <v>0</v>
      </c>
      <c r="CM22" s="2">
        <f t="shared" si="10"/>
        <v>0</v>
      </c>
      <c r="CN22" s="2">
        <f t="shared" si="10"/>
        <v>0</v>
      </c>
      <c r="CO22" s="2">
        <f t="shared" si="10"/>
        <v>0</v>
      </c>
      <c r="CP22" s="2">
        <f t="shared" si="10"/>
        <v>0</v>
      </c>
      <c r="CQ22" s="2">
        <f t="shared" si="10"/>
        <v>0</v>
      </c>
      <c r="CR22" s="2">
        <f t="shared" si="10"/>
        <v>0</v>
      </c>
      <c r="CS22" s="2">
        <f t="shared" si="10"/>
        <v>0</v>
      </c>
      <c r="CT22" s="2">
        <f t="shared" si="10"/>
        <v>0</v>
      </c>
      <c r="CU22" s="2">
        <f t="shared" si="10"/>
        <v>0</v>
      </c>
      <c r="CV22" s="2">
        <f t="shared" si="10"/>
        <v>0</v>
      </c>
      <c r="CW22" s="2">
        <f t="shared" si="10"/>
        <v>0</v>
      </c>
      <c r="CX22" s="2">
        <f t="shared" si="10"/>
        <v>0</v>
      </c>
      <c r="CY22" s="2">
        <f t="shared" si="10"/>
        <v>0</v>
      </c>
      <c r="CZ22" s="2">
        <f t="shared" si="10"/>
        <v>0</v>
      </c>
      <c r="DA22" s="2">
        <f t="shared" si="10"/>
        <v>0</v>
      </c>
      <c r="DB22" s="2">
        <f t="shared" si="10"/>
        <v>0</v>
      </c>
      <c r="DC22" s="2">
        <f t="shared" si="10"/>
        <v>0</v>
      </c>
      <c r="DD22" s="2">
        <f t="shared" si="10"/>
        <v>0</v>
      </c>
      <c r="DE22" s="2">
        <f t="shared" si="10"/>
        <v>0</v>
      </c>
      <c r="DF22" s="2">
        <f t="shared" si="10"/>
        <v>0</v>
      </c>
      <c r="DG22" s="3">
        <f t="shared" ref="DG22:EL22" si="11">DG104</f>
        <v>0</v>
      </c>
      <c r="DH22" s="3">
        <f t="shared" si="11"/>
        <v>0</v>
      </c>
      <c r="DI22" s="3">
        <f t="shared" si="11"/>
        <v>0</v>
      </c>
      <c r="DJ22" s="3">
        <f t="shared" si="11"/>
        <v>0</v>
      </c>
      <c r="DK22" s="3">
        <f t="shared" si="11"/>
        <v>0</v>
      </c>
      <c r="DL22" s="3">
        <f t="shared" si="11"/>
        <v>0</v>
      </c>
      <c r="DM22" s="3">
        <f t="shared" si="11"/>
        <v>0</v>
      </c>
      <c r="DN22" s="3">
        <f t="shared" si="11"/>
        <v>0</v>
      </c>
      <c r="DO22" s="3">
        <f t="shared" si="11"/>
        <v>0</v>
      </c>
      <c r="DP22" s="3">
        <f t="shared" si="11"/>
        <v>0</v>
      </c>
      <c r="DQ22" s="3">
        <f t="shared" si="11"/>
        <v>0</v>
      </c>
      <c r="DR22" s="3">
        <f t="shared" si="11"/>
        <v>0</v>
      </c>
      <c r="DS22" s="3">
        <f t="shared" si="11"/>
        <v>0</v>
      </c>
      <c r="DT22" s="3">
        <f t="shared" si="11"/>
        <v>0</v>
      </c>
      <c r="DU22" s="3">
        <f t="shared" si="11"/>
        <v>0</v>
      </c>
      <c r="DV22" s="3">
        <f t="shared" si="11"/>
        <v>0</v>
      </c>
      <c r="DW22" s="3">
        <f t="shared" si="11"/>
        <v>0</v>
      </c>
      <c r="DX22" s="3">
        <f t="shared" si="11"/>
        <v>0</v>
      </c>
      <c r="DY22" s="3">
        <f t="shared" si="11"/>
        <v>0</v>
      </c>
      <c r="DZ22" s="3">
        <f t="shared" si="11"/>
        <v>0</v>
      </c>
      <c r="EA22" s="3">
        <f t="shared" si="11"/>
        <v>0</v>
      </c>
      <c r="EB22" s="3">
        <f t="shared" si="11"/>
        <v>0</v>
      </c>
      <c r="EC22" s="3">
        <f t="shared" si="11"/>
        <v>0</v>
      </c>
      <c r="ED22" s="3">
        <f t="shared" si="11"/>
        <v>0</v>
      </c>
      <c r="EE22" s="3">
        <f t="shared" si="11"/>
        <v>0</v>
      </c>
      <c r="EF22" s="3">
        <f t="shared" si="11"/>
        <v>0</v>
      </c>
      <c r="EG22" s="3">
        <f t="shared" si="11"/>
        <v>0</v>
      </c>
      <c r="EH22" s="3">
        <f t="shared" si="11"/>
        <v>0</v>
      </c>
      <c r="EI22" s="3">
        <f t="shared" si="11"/>
        <v>0</v>
      </c>
      <c r="EJ22" s="3">
        <f t="shared" si="11"/>
        <v>0</v>
      </c>
      <c r="EK22" s="3">
        <f t="shared" si="11"/>
        <v>0</v>
      </c>
      <c r="EL22" s="3">
        <f t="shared" si="11"/>
        <v>0</v>
      </c>
      <c r="EM22" s="3">
        <f t="shared" ref="EM22:FR22" si="12">EM104</f>
        <v>0</v>
      </c>
      <c r="EN22" s="3">
        <f t="shared" si="12"/>
        <v>0</v>
      </c>
      <c r="EO22" s="3">
        <f t="shared" si="12"/>
        <v>0</v>
      </c>
      <c r="EP22" s="3">
        <f t="shared" si="12"/>
        <v>0</v>
      </c>
      <c r="EQ22" s="3">
        <f t="shared" si="12"/>
        <v>0</v>
      </c>
      <c r="ER22" s="3">
        <f t="shared" si="12"/>
        <v>0</v>
      </c>
      <c r="ES22" s="3">
        <f t="shared" si="12"/>
        <v>0</v>
      </c>
      <c r="ET22" s="3">
        <f t="shared" si="12"/>
        <v>0</v>
      </c>
      <c r="EU22" s="3">
        <f t="shared" si="12"/>
        <v>0</v>
      </c>
      <c r="EV22" s="3">
        <f t="shared" si="12"/>
        <v>0</v>
      </c>
      <c r="EW22" s="3">
        <f t="shared" si="12"/>
        <v>0</v>
      </c>
      <c r="EX22" s="3">
        <f t="shared" si="12"/>
        <v>0</v>
      </c>
      <c r="EY22" s="3">
        <f t="shared" si="12"/>
        <v>0</v>
      </c>
      <c r="EZ22" s="3">
        <f t="shared" si="12"/>
        <v>0</v>
      </c>
      <c r="FA22" s="3">
        <f t="shared" si="12"/>
        <v>0</v>
      </c>
      <c r="FB22" s="3">
        <f t="shared" si="12"/>
        <v>0</v>
      </c>
      <c r="FC22" s="3">
        <f t="shared" si="12"/>
        <v>0</v>
      </c>
      <c r="FD22" s="3">
        <f t="shared" si="12"/>
        <v>0</v>
      </c>
      <c r="FE22" s="3">
        <f t="shared" si="12"/>
        <v>0</v>
      </c>
      <c r="FF22" s="3">
        <f t="shared" si="12"/>
        <v>0</v>
      </c>
      <c r="FG22" s="3">
        <f t="shared" si="12"/>
        <v>0</v>
      </c>
      <c r="FH22" s="3">
        <f t="shared" si="12"/>
        <v>0</v>
      </c>
      <c r="FI22" s="3">
        <f t="shared" si="12"/>
        <v>0</v>
      </c>
      <c r="FJ22" s="3">
        <f t="shared" si="12"/>
        <v>0</v>
      </c>
      <c r="FK22" s="3">
        <f t="shared" si="12"/>
        <v>0</v>
      </c>
      <c r="FL22" s="3">
        <f t="shared" si="12"/>
        <v>0</v>
      </c>
      <c r="FM22" s="3">
        <f t="shared" si="12"/>
        <v>0</v>
      </c>
      <c r="FN22" s="3">
        <f t="shared" si="12"/>
        <v>0</v>
      </c>
      <c r="FO22" s="3">
        <f t="shared" si="12"/>
        <v>0</v>
      </c>
      <c r="FP22" s="3">
        <f t="shared" si="12"/>
        <v>0</v>
      </c>
      <c r="FQ22" s="3">
        <f t="shared" si="12"/>
        <v>0</v>
      </c>
      <c r="FR22" s="3">
        <f t="shared" si="12"/>
        <v>0</v>
      </c>
      <c r="FS22" s="3">
        <f t="shared" ref="FS22:GX22" si="13">FS104</f>
        <v>0</v>
      </c>
      <c r="FT22" s="3">
        <f t="shared" si="13"/>
        <v>0</v>
      </c>
      <c r="FU22" s="3">
        <f t="shared" si="13"/>
        <v>0</v>
      </c>
      <c r="FV22" s="3">
        <f t="shared" si="13"/>
        <v>0</v>
      </c>
      <c r="FW22" s="3">
        <f t="shared" si="13"/>
        <v>0</v>
      </c>
      <c r="FX22" s="3">
        <f t="shared" si="13"/>
        <v>0</v>
      </c>
      <c r="FY22" s="3">
        <f t="shared" si="13"/>
        <v>0</v>
      </c>
      <c r="FZ22" s="3">
        <f t="shared" si="13"/>
        <v>0</v>
      </c>
      <c r="GA22" s="3">
        <f t="shared" si="13"/>
        <v>0</v>
      </c>
      <c r="GB22" s="3">
        <f t="shared" si="13"/>
        <v>0</v>
      </c>
      <c r="GC22" s="3">
        <f t="shared" si="13"/>
        <v>0</v>
      </c>
      <c r="GD22" s="3">
        <f t="shared" si="13"/>
        <v>0</v>
      </c>
      <c r="GE22" s="3">
        <f t="shared" si="13"/>
        <v>0</v>
      </c>
      <c r="GF22" s="3">
        <f t="shared" si="13"/>
        <v>0</v>
      </c>
      <c r="GG22" s="3">
        <f t="shared" si="13"/>
        <v>0</v>
      </c>
      <c r="GH22" s="3">
        <f t="shared" si="13"/>
        <v>0</v>
      </c>
      <c r="GI22" s="3">
        <f t="shared" si="13"/>
        <v>0</v>
      </c>
      <c r="GJ22" s="3">
        <f t="shared" si="13"/>
        <v>0</v>
      </c>
      <c r="GK22" s="3">
        <f t="shared" si="13"/>
        <v>0</v>
      </c>
      <c r="GL22" s="3">
        <f t="shared" si="13"/>
        <v>0</v>
      </c>
      <c r="GM22" s="3">
        <f t="shared" si="13"/>
        <v>0</v>
      </c>
      <c r="GN22" s="3">
        <f t="shared" si="13"/>
        <v>0</v>
      </c>
      <c r="GO22" s="3">
        <f t="shared" si="13"/>
        <v>0</v>
      </c>
      <c r="GP22" s="3">
        <f t="shared" si="13"/>
        <v>0</v>
      </c>
      <c r="GQ22" s="3">
        <f t="shared" si="13"/>
        <v>0</v>
      </c>
      <c r="GR22" s="3">
        <f t="shared" si="13"/>
        <v>0</v>
      </c>
      <c r="GS22" s="3">
        <f t="shared" si="13"/>
        <v>0</v>
      </c>
      <c r="GT22" s="3">
        <f t="shared" si="13"/>
        <v>0</v>
      </c>
      <c r="GU22" s="3">
        <f t="shared" si="13"/>
        <v>0</v>
      </c>
      <c r="GV22" s="3">
        <f t="shared" si="13"/>
        <v>0</v>
      </c>
      <c r="GW22" s="3">
        <f t="shared" si="13"/>
        <v>0</v>
      </c>
      <c r="GX22" s="3">
        <f t="shared" si="13"/>
        <v>0</v>
      </c>
    </row>
    <row r="24" spans="1:245">
      <c r="A24" s="1">
        <v>4</v>
      </c>
      <c r="B24" s="1">
        <v>1</v>
      </c>
      <c r="C24" s="1"/>
      <c r="D24" s="1">
        <f>ROW(A40)</f>
        <v>40</v>
      </c>
      <c r="E24" s="1"/>
      <c r="F24" s="1" t="s">
        <v>12</v>
      </c>
      <c r="G24" s="1" t="s">
        <v>13</v>
      </c>
      <c r="H24" s="1" t="s">
        <v>3</v>
      </c>
      <c r="I24" s="1">
        <v>0</v>
      </c>
      <c r="J24" s="1"/>
      <c r="K24" s="1">
        <v>0</v>
      </c>
      <c r="L24" s="1"/>
      <c r="M24" s="1" t="s">
        <v>3</v>
      </c>
      <c r="N24" s="1"/>
      <c r="O24" s="1"/>
      <c r="P24" s="1"/>
      <c r="Q24" s="1"/>
      <c r="R24" s="1"/>
      <c r="S24" s="1">
        <v>0</v>
      </c>
      <c r="T24" s="1"/>
      <c r="U24" s="1" t="s">
        <v>3</v>
      </c>
      <c r="V24" s="1">
        <v>0</v>
      </c>
      <c r="W24" s="1"/>
      <c r="X24" s="1"/>
      <c r="Y24" s="1"/>
      <c r="Z24" s="1"/>
      <c r="AA24" s="1"/>
      <c r="AB24" s="1" t="s">
        <v>3</v>
      </c>
      <c r="AC24" s="1" t="s">
        <v>3</v>
      </c>
      <c r="AD24" s="1" t="s">
        <v>3</v>
      </c>
      <c r="AE24" s="1" t="s">
        <v>3</v>
      </c>
      <c r="AF24" s="1" t="s">
        <v>3</v>
      </c>
      <c r="AG24" s="1" t="s">
        <v>3</v>
      </c>
      <c r="AH24" s="1"/>
      <c r="AI24" s="1"/>
      <c r="AJ24" s="1"/>
      <c r="AK24" s="1"/>
      <c r="AL24" s="1"/>
      <c r="AM24" s="1"/>
      <c r="AN24" s="1"/>
      <c r="AO24" s="1"/>
      <c r="AP24" s="1" t="s">
        <v>3</v>
      </c>
      <c r="AQ24" s="1" t="s">
        <v>3</v>
      </c>
      <c r="AR24" s="1" t="s">
        <v>3</v>
      </c>
      <c r="AS24" s="1"/>
      <c r="AT24" s="1"/>
      <c r="AU24" s="1"/>
      <c r="AV24" s="1"/>
      <c r="AW24" s="1"/>
      <c r="AX24" s="1"/>
      <c r="AY24" s="1"/>
      <c r="AZ24" s="1" t="s">
        <v>3</v>
      </c>
      <c r="BA24" s="1"/>
      <c r="BB24" s="1" t="s">
        <v>3</v>
      </c>
      <c r="BC24" s="1" t="s">
        <v>3</v>
      </c>
      <c r="BD24" s="1" t="s">
        <v>3</v>
      </c>
      <c r="BE24" s="1" t="s">
        <v>3</v>
      </c>
      <c r="BF24" s="1" t="s">
        <v>3</v>
      </c>
      <c r="BG24" s="1" t="s">
        <v>3</v>
      </c>
      <c r="BH24" s="1" t="s">
        <v>3</v>
      </c>
      <c r="BI24" s="1" t="s">
        <v>3</v>
      </c>
      <c r="BJ24" s="1" t="s">
        <v>3</v>
      </c>
      <c r="BK24" s="1" t="s">
        <v>3</v>
      </c>
      <c r="BL24" s="1" t="s">
        <v>3</v>
      </c>
      <c r="BM24" s="1" t="s">
        <v>3</v>
      </c>
      <c r="BN24" s="1" t="s">
        <v>3</v>
      </c>
      <c r="BO24" s="1" t="s">
        <v>3</v>
      </c>
      <c r="BP24" s="1" t="s">
        <v>3</v>
      </c>
      <c r="BQ24" s="1"/>
      <c r="BR24" s="1"/>
      <c r="BS24" s="1"/>
      <c r="BT24" s="1"/>
      <c r="BU24" s="1"/>
      <c r="BV24" s="1"/>
      <c r="BW24" s="1"/>
      <c r="BX24" s="1">
        <v>0</v>
      </c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>
        <v>0</v>
      </c>
    </row>
    <row r="26" spans="1:245">
      <c r="A26" s="2">
        <v>52</v>
      </c>
      <c r="B26" s="2">
        <f t="shared" ref="B26:G26" si="14">B40</f>
        <v>1</v>
      </c>
      <c r="C26" s="2">
        <f t="shared" si="14"/>
        <v>4</v>
      </c>
      <c r="D26" s="2">
        <f t="shared" si="14"/>
        <v>24</v>
      </c>
      <c r="E26" s="2">
        <f t="shared" si="14"/>
        <v>0</v>
      </c>
      <c r="F26" s="2" t="str">
        <f t="shared" si="14"/>
        <v>Новый раздел</v>
      </c>
      <c r="G26" s="2" t="str">
        <f t="shared" si="14"/>
        <v>монтажные работы</v>
      </c>
      <c r="H26" s="2"/>
      <c r="I26" s="2"/>
      <c r="J26" s="2"/>
      <c r="K26" s="2"/>
      <c r="L26" s="2"/>
      <c r="M26" s="2"/>
      <c r="N26" s="2"/>
      <c r="O26" s="2">
        <f t="shared" ref="O26:AT26" si="15">O40</f>
        <v>96001.85</v>
      </c>
      <c r="P26" s="2">
        <f t="shared" si="15"/>
        <v>64239.13</v>
      </c>
      <c r="Q26" s="2">
        <f t="shared" si="15"/>
        <v>1485.45</v>
      </c>
      <c r="R26" s="2">
        <f t="shared" si="15"/>
        <v>294.42</v>
      </c>
      <c r="S26" s="2">
        <f t="shared" si="15"/>
        <v>30277.27</v>
      </c>
      <c r="T26" s="2">
        <f t="shared" si="15"/>
        <v>0</v>
      </c>
      <c r="U26" s="2">
        <f t="shared" si="15"/>
        <v>100.55000000000001</v>
      </c>
      <c r="V26" s="2">
        <f t="shared" si="15"/>
        <v>0.72</v>
      </c>
      <c r="W26" s="2">
        <f t="shared" si="15"/>
        <v>1183.43</v>
      </c>
      <c r="X26" s="2">
        <f t="shared" si="15"/>
        <v>27262.15</v>
      </c>
      <c r="Y26" s="2">
        <f t="shared" si="15"/>
        <v>19277.939999999999</v>
      </c>
      <c r="Z26" s="2">
        <f t="shared" si="15"/>
        <v>0</v>
      </c>
      <c r="AA26" s="2">
        <f t="shared" si="15"/>
        <v>0</v>
      </c>
      <c r="AB26" s="2">
        <f t="shared" si="15"/>
        <v>96001.85</v>
      </c>
      <c r="AC26" s="2">
        <f t="shared" si="15"/>
        <v>64239.13</v>
      </c>
      <c r="AD26" s="2">
        <f t="shared" si="15"/>
        <v>1485.45</v>
      </c>
      <c r="AE26" s="2">
        <f t="shared" si="15"/>
        <v>294.42</v>
      </c>
      <c r="AF26" s="2">
        <f t="shared" si="15"/>
        <v>30277.27</v>
      </c>
      <c r="AG26" s="2">
        <f t="shared" si="15"/>
        <v>0</v>
      </c>
      <c r="AH26" s="2">
        <f t="shared" si="15"/>
        <v>100.55000000000001</v>
      </c>
      <c r="AI26" s="2">
        <f t="shared" si="15"/>
        <v>0.72</v>
      </c>
      <c r="AJ26" s="2">
        <f t="shared" si="15"/>
        <v>1183.43</v>
      </c>
      <c r="AK26" s="2">
        <f t="shared" si="15"/>
        <v>27262.15</v>
      </c>
      <c r="AL26" s="2">
        <f t="shared" si="15"/>
        <v>19277.939999999999</v>
      </c>
      <c r="AM26" s="2">
        <f t="shared" si="15"/>
        <v>0</v>
      </c>
      <c r="AN26" s="2">
        <f t="shared" si="15"/>
        <v>0</v>
      </c>
      <c r="AO26" s="2">
        <f t="shared" si="15"/>
        <v>0</v>
      </c>
      <c r="AP26" s="2">
        <f t="shared" si="15"/>
        <v>0</v>
      </c>
      <c r="AQ26" s="2">
        <f t="shared" si="15"/>
        <v>0</v>
      </c>
      <c r="AR26" s="2">
        <f t="shared" si="15"/>
        <v>142541.94</v>
      </c>
      <c r="AS26" s="2">
        <f t="shared" si="15"/>
        <v>3213.28</v>
      </c>
      <c r="AT26" s="2">
        <f t="shared" si="15"/>
        <v>139328.66</v>
      </c>
      <c r="AU26" s="2">
        <f t="shared" ref="AU26:BZ26" si="16">AU40</f>
        <v>0</v>
      </c>
      <c r="AV26" s="2">
        <f t="shared" si="16"/>
        <v>64239.13</v>
      </c>
      <c r="AW26" s="2">
        <f t="shared" si="16"/>
        <v>64239.13</v>
      </c>
      <c r="AX26" s="2">
        <f t="shared" si="16"/>
        <v>0</v>
      </c>
      <c r="AY26" s="2">
        <f t="shared" si="16"/>
        <v>64239.13</v>
      </c>
      <c r="AZ26" s="2">
        <f t="shared" si="16"/>
        <v>0</v>
      </c>
      <c r="BA26" s="2">
        <f t="shared" si="16"/>
        <v>0</v>
      </c>
      <c r="BB26" s="2">
        <f t="shared" si="16"/>
        <v>0</v>
      </c>
      <c r="BC26" s="2">
        <f t="shared" si="16"/>
        <v>0</v>
      </c>
      <c r="BD26" s="2">
        <f t="shared" si="16"/>
        <v>0</v>
      </c>
      <c r="BE26" s="2">
        <f t="shared" si="16"/>
        <v>0</v>
      </c>
      <c r="BF26" s="2">
        <f t="shared" si="16"/>
        <v>0</v>
      </c>
      <c r="BG26" s="2">
        <f t="shared" si="16"/>
        <v>0</v>
      </c>
      <c r="BH26" s="2">
        <f t="shared" si="16"/>
        <v>0</v>
      </c>
      <c r="BI26" s="2">
        <f t="shared" si="16"/>
        <v>0</v>
      </c>
      <c r="BJ26" s="2">
        <f t="shared" si="16"/>
        <v>0</v>
      </c>
      <c r="BK26" s="2">
        <f t="shared" si="16"/>
        <v>0</v>
      </c>
      <c r="BL26" s="2">
        <f t="shared" si="16"/>
        <v>0</v>
      </c>
      <c r="BM26" s="2">
        <f t="shared" si="16"/>
        <v>0</v>
      </c>
      <c r="BN26" s="2">
        <f t="shared" si="16"/>
        <v>0</v>
      </c>
      <c r="BO26" s="2">
        <f t="shared" si="16"/>
        <v>0</v>
      </c>
      <c r="BP26" s="2">
        <f t="shared" si="16"/>
        <v>0</v>
      </c>
      <c r="BQ26" s="2">
        <f t="shared" si="16"/>
        <v>0</v>
      </c>
      <c r="BR26" s="2">
        <f t="shared" si="16"/>
        <v>0</v>
      </c>
      <c r="BS26" s="2">
        <f t="shared" si="16"/>
        <v>0</v>
      </c>
      <c r="BT26" s="2">
        <f t="shared" si="16"/>
        <v>0</v>
      </c>
      <c r="BU26" s="2">
        <f t="shared" si="16"/>
        <v>0</v>
      </c>
      <c r="BV26" s="2">
        <f t="shared" si="16"/>
        <v>0</v>
      </c>
      <c r="BW26" s="2">
        <f t="shared" si="16"/>
        <v>0</v>
      </c>
      <c r="BX26" s="2">
        <f t="shared" si="16"/>
        <v>0</v>
      </c>
      <c r="BY26" s="2">
        <f t="shared" si="16"/>
        <v>0</v>
      </c>
      <c r="BZ26" s="2">
        <f t="shared" si="16"/>
        <v>0</v>
      </c>
      <c r="CA26" s="2">
        <f t="shared" ref="CA26:DF26" si="17">CA40</f>
        <v>142541.94</v>
      </c>
      <c r="CB26" s="2">
        <f t="shared" si="17"/>
        <v>3213.28</v>
      </c>
      <c r="CC26" s="2">
        <f t="shared" si="17"/>
        <v>139328.66</v>
      </c>
      <c r="CD26" s="2">
        <f t="shared" si="17"/>
        <v>0</v>
      </c>
      <c r="CE26" s="2">
        <f t="shared" si="17"/>
        <v>64239.13</v>
      </c>
      <c r="CF26" s="2">
        <f t="shared" si="17"/>
        <v>64239.13</v>
      </c>
      <c r="CG26" s="2">
        <f t="shared" si="17"/>
        <v>0</v>
      </c>
      <c r="CH26" s="2">
        <f t="shared" si="17"/>
        <v>64239.13</v>
      </c>
      <c r="CI26" s="2">
        <f t="shared" si="17"/>
        <v>0</v>
      </c>
      <c r="CJ26" s="2">
        <f t="shared" si="17"/>
        <v>0</v>
      </c>
      <c r="CK26" s="2">
        <f t="shared" si="17"/>
        <v>0</v>
      </c>
      <c r="CL26" s="2">
        <f t="shared" si="17"/>
        <v>0</v>
      </c>
      <c r="CM26" s="2">
        <f t="shared" si="17"/>
        <v>0</v>
      </c>
      <c r="CN26" s="2">
        <f t="shared" si="17"/>
        <v>0</v>
      </c>
      <c r="CO26" s="2">
        <f t="shared" si="17"/>
        <v>0</v>
      </c>
      <c r="CP26" s="2">
        <f t="shared" si="17"/>
        <v>0</v>
      </c>
      <c r="CQ26" s="2">
        <f t="shared" si="17"/>
        <v>0</v>
      </c>
      <c r="CR26" s="2">
        <f t="shared" si="17"/>
        <v>0</v>
      </c>
      <c r="CS26" s="2">
        <f t="shared" si="17"/>
        <v>0</v>
      </c>
      <c r="CT26" s="2">
        <f t="shared" si="17"/>
        <v>0</v>
      </c>
      <c r="CU26" s="2">
        <f t="shared" si="17"/>
        <v>0</v>
      </c>
      <c r="CV26" s="2">
        <f t="shared" si="17"/>
        <v>0</v>
      </c>
      <c r="CW26" s="2">
        <f t="shared" si="17"/>
        <v>0</v>
      </c>
      <c r="CX26" s="2">
        <f t="shared" si="17"/>
        <v>0</v>
      </c>
      <c r="CY26" s="2">
        <f t="shared" si="17"/>
        <v>0</v>
      </c>
      <c r="CZ26" s="2">
        <f t="shared" si="17"/>
        <v>0</v>
      </c>
      <c r="DA26" s="2">
        <f t="shared" si="17"/>
        <v>0</v>
      </c>
      <c r="DB26" s="2">
        <f t="shared" si="17"/>
        <v>0</v>
      </c>
      <c r="DC26" s="2">
        <f t="shared" si="17"/>
        <v>0</v>
      </c>
      <c r="DD26" s="2">
        <f t="shared" si="17"/>
        <v>0</v>
      </c>
      <c r="DE26" s="2">
        <f t="shared" si="17"/>
        <v>0</v>
      </c>
      <c r="DF26" s="2">
        <f t="shared" si="17"/>
        <v>0</v>
      </c>
      <c r="DG26" s="3">
        <f t="shared" ref="DG26:EL26" si="18">DG40</f>
        <v>0</v>
      </c>
      <c r="DH26" s="3">
        <f t="shared" si="18"/>
        <v>0</v>
      </c>
      <c r="DI26" s="3">
        <f t="shared" si="18"/>
        <v>0</v>
      </c>
      <c r="DJ26" s="3">
        <f t="shared" si="18"/>
        <v>0</v>
      </c>
      <c r="DK26" s="3">
        <f t="shared" si="18"/>
        <v>0</v>
      </c>
      <c r="DL26" s="3">
        <f t="shared" si="18"/>
        <v>0</v>
      </c>
      <c r="DM26" s="3">
        <f t="shared" si="18"/>
        <v>0</v>
      </c>
      <c r="DN26" s="3">
        <f t="shared" si="18"/>
        <v>0</v>
      </c>
      <c r="DO26" s="3">
        <f t="shared" si="18"/>
        <v>0</v>
      </c>
      <c r="DP26" s="3">
        <f t="shared" si="18"/>
        <v>0</v>
      </c>
      <c r="DQ26" s="3">
        <f t="shared" si="18"/>
        <v>0</v>
      </c>
      <c r="DR26" s="3">
        <f t="shared" si="18"/>
        <v>0</v>
      </c>
      <c r="DS26" s="3">
        <f t="shared" si="18"/>
        <v>0</v>
      </c>
      <c r="DT26" s="3">
        <f t="shared" si="18"/>
        <v>0</v>
      </c>
      <c r="DU26" s="3">
        <f t="shared" si="18"/>
        <v>0</v>
      </c>
      <c r="DV26" s="3">
        <f t="shared" si="18"/>
        <v>0</v>
      </c>
      <c r="DW26" s="3">
        <f t="shared" si="18"/>
        <v>0</v>
      </c>
      <c r="DX26" s="3">
        <f t="shared" si="18"/>
        <v>0</v>
      </c>
      <c r="DY26" s="3">
        <f t="shared" si="18"/>
        <v>0</v>
      </c>
      <c r="DZ26" s="3">
        <f t="shared" si="18"/>
        <v>0</v>
      </c>
      <c r="EA26" s="3">
        <f t="shared" si="18"/>
        <v>0</v>
      </c>
      <c r="EB26" s="3">
        <f t="shared" si="18"/>
        <v>0</v>
      </c>
      <c r="EC26" s="3">
        <f t="shared" si="18"/>
        <v>0</v>
      </c>
      <c r="ED26" s="3">
        <f t="shared" si="18"/>
        <v>0</v>
      </c>
      <c r="EE26" s="3">
        <f t="shared" si="18"/>
        <v>0</v>
      </c>
      <c r="EF26" s="3">
        <f t="shared" si="18"/>
        <v>0</v>
      </c>
      <c r="EG26" s="3">
        <f t="shared" si="18"/>
        <v>0</v>
      </c>
      <c r="EH26" s="3">
        <f t="shared" si="18"/>
        <v>0</v>
      </c>
      <c r="EI26" s="3">
        <f t="shared" si="18"/>
        <v>0</v>
      </c>
      <c r="EJ26" s="3">
        <f t="shared" si="18"/>
        <v>0</v>
      </c>
      <c r="EK26" s="3">
        <f t="shared" si="18"/>
        <v>0</v>
      </c>
      <c r="EL26" s="3">
        <f t="shared" si="18"/>
        <v>0</v>
      </c>
      <c r="EM26" s="3">
        <f t="shared" ref="EM26:FR26" si="19">EM40</f>
        <v>0</v>
      </c>
      <c r="EN26" s="3">
        <f t="shared" si="19"/>
        <v>0</v>
      </c>
      <c r="EO26" s="3">
        <f t="shared" si="19"/>
        <v>0</v>
      </c>
      <c r="EP26" s="3">
        <f t="shared" si="19"/>
        <v>0</v>
      </c>
      <c r="EQ26" s="3">
        <f t="shared" si="19"/>
        <v>0</v>
      </c>
      <c r="ER26" s="3">
        <f t="shared" si="19"/>
        <v>0</v>
      </c>
      <c r="ES26" s="3">
        <f t="shared" si="19"/>
        <v>0</v>
      </c>
      <c r="ET26" s="3">
        <f t="shared" si="19"/>
        <v>0</v>
      </c>
      <c r="EU26" s="3">
        <f t="shared" si="19"/>
        <v>0</v>
      </c>
      <c r="EV26" s="3">
        <f t="shared" si="19"/>
        <v>0</v>
      </c>
      <c r="EW26" s="3">
        <f t="shared" si="19"/>
        <v>0</v>
      </c>
      <c r="EX26" s="3">
        <f t="shared" si="19"/>
        <v>0</v>
      </c>
      <c r="EY26" s="3">
        <f t="shared" si="19"/>
        <v>0</v>
      </c>
      <c r="EZ26" s="3">
        <f t="shared" si="19"/>
        <v>0</v>
      </c>
      <c r="FA26" s="3">
        <f t="shared" si="19"/>
        <v>0</v>
      </c>
      <c r="FB26" s="3">
        <f t="shared" si="19"/>
        <v>0</v>
      </c>
      <c r="FC26" s="3">
        <f t="shared" si="19"/>
        <v>0</v>
      </c>
      <c r="FD26" s="3">
        <f t="shared" si="19"/>
        <v>0</v>
      </c>
      <c r="FE26" s="3">
        <f t="shared" si="19"/>
        <v>0</v>
      </c>
      <c r="FF26" s="3">
        <f t="shared" si="19"/>
        <v>0</v>
      </c>
      <c r="FG26" s="3">
        <f t="shared" si="19"/>
        <v>0</v>
      </c>
      <c r="FH26" s="3">
        <f t="shared" si="19"/>
        <v>0</v>
      </c>
      <c r="FI26" s="3">
        <f t="shared" si="19"/>
        <v>0</v>
      </c>
      <c r="FJ26" s="3">
        <f t="shared" si="19"/>
        <v>0</v>
      </c>
      <c r="FK26" s="3">
        <f t="shared" si="19"/>
        <v>0</v>
      </c>
      <c r="FL26" s="3">
        <f t="shared" si="19"/>
        <v>0</v>
      </c>
      <c r="FM26" s="3">
        <f t="shared" si="19"/>
        <v>0</v>
      </c>
      <c r="FN26" s="3">
        <f t="shared" si="19"/>
        <v>0</v>
      </c>
      <c r="FO26" s="3">
        <f t="shared" si="19"/>
        <v>0</v>
      </c>
      <c r="FP26" s="3">
        <f t="shared" si="19"/>
        <v>0</v>
      </c>
      <c r="FQ26" s="3">
        <f t="shared" si="19"/>
        <v>0</v>
      </c>
      <c r="FR26" s="3">
        <f t="shared" si="19"/>
        <v>0</v>
      </c>
      <c r="FS26" s="3">
        <f t="shared" ref="FS26:GX26" si="20">FS40</f>
        <v>0</v>
      </c>
      <c r="FT26" s="3">
        <f t="shared" si="20"/>
        <v>0</v>
      </c>
      <c r="FU26" s="3">
        <f t="shared" si="20"/>
        <v>0</v>
      </c>
      <c r="FV26" s="3">
        <f t="shared" si="20"/>
        <v>0</v>
      </c>
      <c r="FW26" s="3">
        <f t="shared" si="20"/>
        <v>0</v>
      </c>
      <c r="FX26" s="3">
        <f t="shared" si="20"/>
        <v>0</v>
      </c>
      <c r="FY26" s="3">
        <f t="shared" si="20"/>
        <v>0</v>
      </c>
      <c r="FZ26" s="3">
        <f t="shared" si="20"/>
        <v>0</v>
      </c>
      <c r="GA26" s="3">
        <f t="shared" si="20"/>
        <v>0</v>
      </c>
      <c r="GB26" s="3">
        <f t="shared" si="20"/>
        <v>0</v>
      </c>
      <c r="GC26" s="3">
        <f t="shared" si="20"/>
        <v>0</v>
      </c>
      <c r="GD26" s="3">
        <f t="shared" si="20"/>
        <v>0</v>
      </c>
      <c r="GE26" s="3">
        <f t="shared" si="20"/>
        <v>0</v>
      </c>
      <c r="GF26" s="3">
        <f t="shared" si="20"/>
        <v>0</v>
      </c>
      <c r="GG26" s="3">
        <f t="shared" si="20"/>
        <v>0</v>
      </c>
      <c r="GH26" s="3">
        <f t="shared" si="20"/>
        <v>0</v>
      </c>
      <c r="GI26" s="3">
        <f t="shared" si="20"/>
        <v>0</v>
      </c>
      <c r="GJ26" s="3">
        <f t="shared" si="20"/>
        <v>0</v>
      </c>
      <c r="GK26" s="3">
        <f t="shared" si="20"/>
        <v>0</v>
      </c>
      <c r="GL26" s="3">
        <f t="shared" si="20"/>
        <v>0</v>
      </c>
      <c r="GM26" s="3">
        <f t="shared" si="20"/>
        <v>0</v>
      </c>
      <c r="GN26" s="3">
        <f t="shared" si="20"/>
        <v>0</v>
      </c>
      <c r="GO26" s="3">
        <f t="shared" si="20"/>
        <v>0</v>
      </c>
      <c r="GP26" s="3">
        <f t="shared" si="20"/>
        <v>0</v>
      </c>
      <c r="GQ26" s="3">
        <f t="shared" si="20"/>
        <v>0</v>
      </c>
      <c r="GR26" s="3">
        <f t="shared" si="20"/>
        <v>0</v>
      </c>
      <c r="GS26" s="3">
        <f t="shared" si="20"/>
        <v>0</v>
      </c>
      <c r="GT26" s="3">
        <f t="shared" si="20"/>
        <v>0</v>
      </c>
      <c r="GU26" s="3">
        <f t="shared" si="20"/>
        <v>0</v>
      </c>
      <c r="GV26" s="3">
        <f t="shared" si="20"/>
        <v>0</v>
      </c>
      <c r="GW26" s="3">
        <f t="shared" si="20"/>
        <v>0</v>
      </c>
      <c r="GX26" s="3">
        <f t="shared" si="20"/>
        <v>0</v>
      </c>
    </row>
    <row r="28" spans="1:245">
      <c r="A28">
        <v>17</v>
      </c>
      <c r="B28">
        <v>1</v>
      </c>
      <c r="C28">
        <f>ROW(SmtRes!A7)</f>
        <v>7</v>
      </c>
      <c r="D28">
        <f>ROW(EtalonRes!A5)</f>
        <v>5</v>
      </c>
      <c r="E28" t="s">
        <v>14</v>
      </c>
      <c r="F28" t="s">
        <v>15</v>
      </c>
      <c r="G28" t="s">
        <v>16</v>
      </c>
      <c r="H28" t="s">
        <v>17</v>
      </c>
      <c r="I28">
        <v>13</v>
      </c>
      <c r="J28">
        <v>0</v>
      </c>
      <c r="O28">
        <f t="shared" ref="O28:O38" si="21">ROUND(CP28,2)</f>
        <v>11820.54</v>
      </c>
      <c r="P28">
        <f t="shared" ref="P28:P38" si="22">ROUND(CQ28*I28,2)</f>
        <v>234.75</v>
      </c>
      <c r="Q28">
        <f t="shared" ref="Q28:Q38" si="23">ROUND(CR28*I28,2)</f>
        <v>83.77</v>
      </c>
      <c r="R28">
        <f t="shared" ref="R28:R38" si="24">ROUND(CS28*I28,2)</f>
        <v>0</v>
      </c>
      <c r="S28">
        <f t="shared" ref="S28:S38" si="25">ROUND(CT28*I28,2)</f>
        <v>11502.02</v>
      </c>
      <c r="T28">
        <f t="shared" ref="T28:T38" si="26">ROUND(CU28*I28,2)</f>
        <v>0</v>
      </c>
      <c r="U28">
        <f t="shared" ref="U28:U38" si="27">CV28*I28</f>
        <v>34.71</v>
      </c>
      <c r="V28">
        <f t="shared" ref="V28:V38" si="28">CW28*I28</f>
        <v>0</v>
      </c>
      <c r="W28">
        <f t="shared" ref="W28:W38" si="29">ROUND(CX28*I28,2)</f>
        <v>0</v>
      </c>
      <c r="X28">
        <f t="shared" ref="X28:X38" si="30">ROUND(CY28,2)</f>
        <v>9201.6200000000008</v>
      </c>
      <c r="Y28">
        <f t="shared" ref="Y28:Y38" si="31">ROUND(CZ28,2)</f>
        <v>6901.21</v>
      </c>
      <c r="AA28">
        <v>36168115</v>
      </c>
      <c r="AB28">
        <f t="shared" ref="AB28:AB38" si="32">ROUND((AC28+AD28+AF28),6)</f>
        <v>33.729999999999997</v>
      </c>
      <c r="AC28">
        <f t="shared" ref="AC28:AC38" si="33">ROUND((ES28),6)</f>
        <v>0.94</v>
      </c>
      <c r="AD28">
        <f t="shared" ref="AD28:AD38" si="34">ROUND((((ET28)-(EU28))+AE28),6)</f>
        <v>3.58</v>
      </c>
      <c r="AE28">
        <f t="shared" ref="AE28:AE38" si="35">ROUND((EU28),6)</f>
        <v>0</v>
      </c>
      <c r="AF28">
        <f t="shared" ref="AF28:AF38" si="36">ROUND((EV28),6)</f>
        <v>29.21</v>
      </c>
      <c r="AG28">
        <f t="shared" ref="AG28:AG38" si="37">ROUND((AP28),6)</f>
        <v>0</v>
      </c>
      <c r="AH28">
        <f t="shared" ref="AH28:AH38" si="38">(EW28)</f>
        <v>2.67</v>
      </c>
      <c r="AI28">
        <f t="shared" ref="AI28:AI38" si="39">(EX28)</f>
        <v>0</v>
      </c>
      <c r="AJ28">
        <f t="shared" ref="AJ28:AJ38" si="40">(AS28)</f>
        <v>0</v>
      </c>
      <c r="AK28">
        <v>33.729999999999997</v>
      </c>
      <c r="AL28">
        <v>0.94</v>
      </c>
      <c r="AM28">
        <v>3.58</v>
      </c>
      <c r="AN28">
        <v>0</v>
      </c>
      <c r="AO28">
        <v>29.21</v>
      </c>
      <c r="AP28">
        <v>0</v>
      </c>
      <c r="AQ28">
        <v>2.67</v>
      </c>
      <c r="AR28">
        <v>0</v>
      </c>
      <c r="AS28">
        <v>0</v>
      </c>
      <c r="AT28">
        <v>80</v>
      </c>
      <c r="AU28">
        <v>60</v>
      </c>
      <c r="AV28">
        <v>1</v>
      </c>
      <c r="AW28">
        <v>1</v>
      </c>
      <c r="AZ28">
        <v>1</v>
      </c>
      <c r="BA28">
        <v>30.29</v>
      </c>
      <c r="BB28">
        <v>1.8</v>
      </c>
      <c r="BC28">
        <v>19.21</v>
      </c>
      <c r="BD28" t="s">
        <v>3</v>
      </c>
      <c r="BE28" t="s">
        <v>3</v>
      </c>
      <c r="BF28" t="s">
        <v>3</v>
      </c>
      <c r="BG28" t="s">
        <v>3</v>
      </c>
      <c r="BH28">
        <v>0</v>
      </c>
      <c r="BI28">
        <v>2</v>
      </c>
      <c r="BJ28" t="s">
        <v>18</v>
      </c>
      <c r="BM28">
        <v>110012</v>
      </c>
      <c r="BN28">
        <v>0</v>
      </c>
      <c r="BO28" t="s">
        <v>15</v>
      </c>
      <c r="BP28">
        <v>1</v>
      </c>
      <c r="BQ28">
        <v>3</v>
      </c>
      <c r="BR28">
        <v>0</v>
      </c>
      <c r="BS28">
        <v>30.29</v>
      </c>
      <c r="BT28">
        <v>1</v>
      </c>
      <c r="BU28">
        <v>1</v>
      </c>
      <c r="BV28">
        <v>1</v>
      </c>
      <c r="BW28">
        <v>1</v>
      </c>
      <c r="BX28">
        <v>1</v>
      </c>
      <c r="BY28" t="s">
        <v>3</v>
      </c>
      <c r="BZ28">
        <v>80</v>
      </c>
      <c r="CA28">
        <v>60</v>
      </c>
      <c r="CE28">
        <v>0</v>
      </c>
      <c r="CF28">
        <v>0</v>
      </c>
      <c r="CG28">
        <v>0</v>
      </c>
      <c r="CM28">
        <v>0</v>
      </c>
      <c r="CN28" t="s">
        <v>3</v>
      </c>
      <c r="CO28">
        <v>0</v>
      </c>
      <c r="CP28">
        <f t="shared" ref="CP28:CP38" si="41">(P28+Q28+S28)</f>
        <v>11820.54</v>
      </c>
      <c r="CQ28">
        <f t="shared" ref="CQ28:CQ38" si="42">AC28*BC28</f>
        <v>18.057400000000001</v>
      </c>
      <c r="CR28">
        <f t="shared" ref="CR28:CR38" si="43">AD28*BB28</f>
        <v>6.444</v>
      </c>
      <c r="CS28">
        <f t="shared" ref="CS28:CS38" si="44">AE28*BS28</f>
        <v>0</v>
      </c>
      <c r="CT28">
        <f t="shared" ref="CT28:CT38" si="45">AF28*BA28</f>
        <v>884.77089999999998</v>
      </c>
      <c r="CU28">
        <f t="shared" ref="CU28:CU38" si="46">AG28</f>
        <v>0</v>
      </c>
      <c r="CV28">
        <f t="shared" ref="CV28:CV38" si="47">AH28</f>
        <v>2.67</v>
      </c>
      <c r="CW28">
        <f t="shared" ref="CW28:CW38" si="48">AI28</f>
        <v>0</v>
      </c>
      <c r="CX28">
        <f t="shared" ref="CX28:CX38" si="49">AJ28</f>
        <v>0</v>
      </c>
      <c r="CY28">
        <f t="shared" ref="CY28:CY38" si="50">(((S28+R28)*AT28)/100)</f>
        <v>9201.6160000000018</v>
      </c>
      <c r="CZ28">
        <f t="shared" ref="CZ28:CZ38" si="51">(((S28+R28)*AU28)/100)</f>
        <v>6901.2120000000004</v>
      </c>
      <c r="DC28" t="s">
        <v>3</v>
      </c>
      <c r="DD28" t="s">
        <v>3</v>
      </c>
      <c r="DE28" t="s">
        <v>3</v>
      </c>
      <c r="DF28" t="s">
        <v>3</v>
      </c>
      <c r="DG28" t="s">
        <v>3</v>
      </c>
      <c r="DH28" t="s">
        <v>3</v>
      </c>
      <c r="DI28" t="s">
        <v>3</v>
      </c>
      <c r="DJ28" t="s">
        <v>3</v>
      </c>
      <c r="DK28" t="s">
        <v>3</v>
      </c>
      <c r="DL28" t="s">
        <v>3</v>
      </c>
      <c r="DM28" t="s">
        <v>3</v>
      </c>
      <c r="DN28">
        <v>0</v>
      </c>
      <c r="DO28">
        <v>0</v>
      </c>
      <c r="DP28">
        <v>1</v>
      </c>
      <c r="DQ28">
        <v>1</v>
      </c>
      <c r="DU28">
        <v>1013</v>
      </c>
      <c r="DV28" t="s">
        <v>17</v>
      </c>
      <c r="DW28" t="s">
        <v>17</v>
      </c>
      <c r="DX28">
        <v>1</v>
      </c>
      <c r="DZ28" t="s">
        <v>3</v>
      </c>
      <c r="EA28" t="s">
        <v>3</v>
      </c>
      <c r="EB28" t="s">
        <v>3</v>
      </c>
      <c r="EC28" t="s">
        <v>3</v>
      </c>
      <c r="EE28">
        <v>35526290</v>
      </c>
      <c r="EF28">
        <v>3</v>
      </c>
      <c r="EG28" t="s">
        <v>19</v>
      </c>
      <c r="EH28">
        <v>0</v>
      </c>
      <c r="EI28" t="s">
        <v>3</v>
      </c>
      <c r="EJ28">
        <v>2</v>
      </c>
      <c r="EK28">
        <v>110012</v>
      </c>
      <c r="EL28" t="s">
        <v>20</v>
      </c>
      <c r="EM28" t="s">
        <v>21</v>
      </c>
      <c r="EO28" t="s">
        <v>3</v>
      </c>
      <c r="EQ28">
        <v>0</v>
      </c>
      <c r="ER28">
        <v>33.729999999999997</v>
      </c>
      <c r="ES28">
        <v>0.94</v>
      </c>
      <c r="ET28">
        <v>3.58</v>
      </c>
      <c r="EU28">
        <v>0</v>
      </c>
      <c r="EV28">
        <v>29.21</v>
      </c>
      <c r="EW28">
        <v>2.67</v>
      </c>
      <c r="EX28">
        <v>0</v>
      </c>
      <c r="EY28">
        <v>0</v>
      </c>
      <c r="FQ28">
        <v>0</v>
      </c>
      <c r="FR28">
        <f t="shared" ref="FR28:FR38" si="52">ROUND(IF(AND(BH28=3,BI28=3),P28,0),2)</f>
        <v>0</v>
      </c>
      <c r="FS28">
        <v>0</v>
      </c>
      <c r="FX28">
        <v>80</v>
      </c>
      <c r="FY28">
        <v>60</v>
      </c>
      <c r="GA28" t="s">
        <v>3</v>
      </c>
      <c r="GD28">
        <v>1</v>
      </c>
      <c r="GF28">
        <v>513720533</v>
      </c>
      <c r="GG28">
        <v>2</v>
      </c>
      <c r="GH28">
        <v>1</v>
      </c>
      <c r="GI28">
        <v>2</v>
      </c>
      <c r="GJ28">
        <v>0</v>
      </c>
      <c r="GK28">
        <v>0</v>
      </c>
      <c r="GL28">
        <f t="shared" ref="GL28:GL38" si="53">ROUND(IF(AND(BH28=3,BI28=3,FS28&lt;&gt;0),P28,0),2)</f>
        <v>0</v>
      </c>
      <c r="GM28">
        <f t="shared" ref="GM28:GM38" si="54">ROUND(O28+X28+Y28,2)+GX28</f>
        <v>27923.37</v>
      </c>
      <c r="GN28">
        <f t="shared" ref="GN28:GN38" si="55">IF(OR(BI28=0,BI28=1),ROUND(O28+X28+Y28,2),0)</f>
        <v>0</v>
      </c>
      <c r="GO28">
        <f t="shared" ref="GO28:GO38" si="56">IF(BI28=2,ROUND(O28+X28+Y28,2),0)</f>
        <v>27923.37</v>
      </c>
      <c r="GP28">
        <f t="shared" ref="GP28:GP38" si="57">IF(BI28=4,ROUND(O28+X28+Y28,2)+GX28,0)</f>
        <v>0</v>
      </c>
      <c r="GR28">
        <v>0</v>
      </c>
      <c r="GS28">
        <v>3</v>
      </c>
      <c r="GT28">
        <v>0</v>
      </c>
      <c r="GU28" t="s">
        <v>3</v>
      </c>
      <c r="GV28">
        <f t="shared" ref="GV28:GV38" si="58">ROUND((GT28),6)</f>
        <v>0</v>
      </c>
      <c r="GW28">
        <v>1</v>
      </c>
      <c r="GX28">
        <f t="shared" ref="GX28:GX38" si="59">ROUND(HC28*I28,2)</f>
        <v>0</v>
      </c>
      <c r="HA28">
        <v>0</v>
      </c>
      <c r="HB28">
        <v>0</v>
      </c>
      <c r="HC28">
        <f t="shared" ref="HC28:HC38" si="60">GV28*GW28</f>
        <v>0</v>
      </c>
      <c r="HE28" t="s">
        <v>3</v>
      </c>
      <c r="HF28" t="s">
        <v>3</v>
      </c>
      <c r="IK28">
        <v>0</v>
      </c>
    </row>
    <row r="29" spans="1:245">
      <c r="A29">
        <v>18</v>
      </c>
      <c r="B29">
        <v>1</v>
      </c>
      <c r="C29">
        <v>5</v>
      </c>
      <c r="E29" t="s">
        <v>22</v>
      </c>
      <c r="F29" t="s">
        <v>23</v>
      </c>
      <c r="G29" t="s">
        <v>24</v>
      </c>
      <c r="H29" t="s">
        <v>25</v>
      </c>
      <c r="I29">
        <f>I28*J29</f>
        <v>13</v>
      </c>
      <c r="J29">
        <v>1</v>
      </c>
      <c r="O29">
        <f t="shared" si="21"/>
        <v>0</v>
      </c>
      <c r="P29">
        <f t="shared" si="22"/>
        <v>0</v>
      </c>
      <c r="Q29">
        <f t="shared" si="23"/>
        <v>0</v>
      </c>
      <c r="R29">
        <f t="shared" si="24"/>
        <v>0</v>
      </c>
      <c r="S29">
        <f t="shared" si="25"/>
        <v>0</v>
      </c>
      <c r="T29">
        <f t="shared" si="26"/>
        <v>0</v>
      </c>
      <c r="U29">
        <f t="shared" si="27"/>
        <v>0</v>
      </c>
      <c r="V29">
        <f t="shared" si="28"/>
        <v>0</v>
      </c>
      <c r="W29">
        <f t="shared" si="29"/>
        <v>1139.71</v>
      </c>
      <c r="X29">
        <f t="shared" si="30"/>
        <v>0</v>
      </c>
      <c r="Y29">
        <f t="shared" si="31"/>
        <v>0</v>
      </c>
      <c r="AA29">
        <v>36168115</v>
      </c>
      <c r="AB29">
        <f t="shared" si="32"/>
        <v>0</v>
      </c>
      <c r="AC29">
        <f t="shared" si="33"/>
        <v>0</v>
      </c>
      <c r="AD29">
        <f t="shared" si="34"/>
        <v>0</v>
      </c>
      <c r="AE29">
        <f t="shared" si="35"/>
        <v>0</v>
      </c>
      <c r="AF29">
        <f t="shared" si="36"/>
        <v>0</v>
      </c>
      <c r="AG29">
        <f t="shared" si="37"/>
        <v>0</v>
      </c>
      <c r="AH29">
        <f t="shared" si="38"/>
        <v>0</v>
      </c>
      <c r="AI29">
        <f t="shared" si="39"/>
        <v>0</v>
      </c>
      <c r="AJ29">
        <f t="shared" si="40"/>
        <v>87.67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87.67</v>
      </c>
      <c r="AT29">
        <v>80</v>
      </c>
      <c r="AU29">
        <v>60</v>
      </c>
      <c r="AV29">
        <v>1</v>
      </c>
      <c r="AW29">
        <v>1</v>
      </c>
      <c r="AZ29">
        <v>1</v>
      </c>
      <c r="BA29">
        <v>1</v>
      </c>
      <c r="BB29">
        <v>1</v>
      </c>
      <c r="BC29">
        <v>1</v>
      </c>
      <c r="BD29" t="s">
        <v>3</v>
      </c>
      <c r="BE29" t="s">
        <v>3</v>
      </c>
      <c r="BF29" t="s">
        <v>3</v>
      </c>
      <c r="BG29" t="s">
        <v>3</v>
      </c>
      <c r="BH29">
        <v>3</v>
      </c>
      <c r="BI29">
        <v>2</v>
      </c>
      <c r="BJ29" t="s">
        <v>26</v>
      </c>
      <c r="BM29">
        <v>110012</v>
      </c>
      <c r="BN29">
        <v>0</v>
      </c>
      <c r="BO29" t="s">
        <v>3</v>
      </c>
      <c r="BP29">
        <v>0</v>
      </c>
      <c r="BQ29">
        <v>3</v>
      </c>
      <c r="BR29">
        <v>1</v>
      </c>
      <c r="BS29">
        <v>1</v>
      </c>
      <c r="BT29">
        <v>1</v>
      </c>
      <c r="BU29">
        <v>1</v>
      </c>
      <c r="BV29">
        <v>1</v>
      </c>
      <c r="BW29">
        <v>1</v>
      </c>
      <c r="BX29">
        <v>1</v>
      </c>
      <c r="BY29" t="s">
        <v>3</v>
      </c>
      <c r="BZ29">
        <v>80</v>
      </c>
      <c r="CA29">
        <v>60</v>
      </c>
      <c r="CE29">
        <v>0</v>
      </c>
      <c r="CF29">
        <v>0</v>
      </c>
      <c r="CG29">
        <v>0</v>
      </c>
      <c r="CM29">
        <v>0</v>
      </c>
      <c r="CN29" t="s">
        <v>3</v>
      </c>
      <c r="CO29">
        <v>0</v>
      </c>
      <c r="CP29">
        <f t="shared" si="41"/>
        <v>0</v>
      </c>
      <c r="CQ29">
        <f t="shared" si="42"/>
        <v>0</v>
      </c>
      <c r="CR29">
        <f t="shared" si="43"/>
        <v>0</v>
      </c>
      <c r="CS29">
        <f t="shared" si="44"/>
        <v>0</v>
      </c>
      <c r="CT29">
        <f t="shared" si="45"/>
        <v>0</v>
      </c>
      <c r="CU29">
        <f t="shared" si="46"/>
        <v>0</v>
      </c>
      <c r="CV29">
        <f t="shared" si="47"/>
        <v>0</v>
      </c>
      <c r="CW29">
        <f t="shared" si="48"/>
        <v>0</v>
      </c>
      <c r="CX29">
        <f t="shared" si="49"/>
        <v>87.67</v>
      </c>
      <c r="CY29">
        <f t="shared" si="50"/>
        <v>0</v>
      </c>
      <c r="CZ29">
        <f t="shared" si="51"/>
        <v>0</v>
      </c>
      <c r="DC29" t="s">
        <v>3</v>
      </c>
      <c r="DD29" t="s">
        <v>3</v>
      </c>
      <c r="DE29" t="s">
        <v>3</v>
      </c>
      <c r="DF29" t="s">
        <v>3</v>
      </c>
      <c r="DG29" t="s">
        <v>3</v>
      </c>
      <c r="DH29" t="s">
        <v>3</v>
      </c>
      <c r="DI29" t="s">
        <v>3</v>
      </c>
      <c r="DJ29" t="s">
        <v>3</v>
      </c>
      <c r="DK29" t="s">
        <v>3</v>
      </c>
      <c r="DL29" t="s">
        <v>3</v>
      </c>
      <c r="DM29" t="s">
        <v>3</v>
      </c>
      <c r="DN29">
        <v>0</v>
      </c>
      <c r="DO29">
        <v>0</v>
      </c>
      <c r="DP29">
        <v>1</v>
      </c>
      <c r="DQ29">
        <v>1</v>
      </c>
      <c r="DU29">
        <v>1010</v>
      </c>
      <c r="DV29" t="s">
        <v>25</v>
      </c>
      <c r="DW29" t="s">
        <v>25</v>
      </c>
      <c r="DX29">
        <v>1</v>
      </c>
      <c r="DZ29" t="s">
        <v>3</v>
      </c>
      <c r="EA29" t="s">
        <v>3</v>
      </c>
      <c r="EB29" t="s">
        <v>3</v>
      </c>
      <c r="EC29" t="s">
        <v>3</v>
      </c>
      <c r="EE29">
        <v>35526290</v>
      </c>
      <c r="EF29">
        <v>3</v>
      </c>
      <c r="EG29" t="s">
        <v>19</v>
      </c>
      <c r="EH29">
        <v>0</v>
      </c>
      <c r="EI29" t="s">
        <v>3</v>
      </c>
      <c r="EJ29">
        <v>2</v>
      </c>
      <c r="EK29">
        <v>110012</v>
      </c>
      <c r="EL29" t="s">
        <v>20</v>
      </c>
      <c r="EM29" t="s">
        <v>21</v>
      </c>
      <c r="EO29" t="s">
        <v>3</v>
      </c>
      <c r="EQ29">
        <v>0</v>
      </c>
      <c r="ER29">
        <v>2320</v>
      </c>
      <c r="ES29">
        <v>0</v>
      </c>
      <c r="ET29">
        <v>0</v>
      </c>
      <c r="EU29">
        <v>0</v>
      </c>
      <c r="EV29">
        <v>0</v>
      </c>
      <c r="EW29">
        <v>0</v>
      </c>
      <c r="EX29">
        <v>0</v>
      </c>
      <c r="FQ29">
        <v>0</v>
      </c>
      <c r="FR29">
        <f t="shared" si="52"/>
        <v>0</v>
      </c>
      <c r="FS29">
        <v>0</v>
      </c>
      <c r="FX29">
        <v>80</v>
      </c>
      <c r="FY29">
        <v>60</v>
      </c>
      <c r="GA29" t="s">
        <v>27</v>
      </c>
      <c r="GD29">
        <v>1</v>
      </c>
      <c r="GF29">
        <v>-1016862483</v>
      </c>
      <c r="GG29">
        <v>2</v>
      </c>
      <c r="GH29">
        <v>2</v>
      </c>
      <c r="GI29">
        <v>-2</v>
      </c>
      <c r="GJ29">
        <v>0</v>
      </c>
      <c r="GK29">
        <v>0</v>
      </c>
      <c r="GL29">
        <f t="shared" si="53"/>
        <v>0</v>
      </c>
      <c r="GM29">
        <f t="shared" si="54"/>
        <v>0</v>
      </c>
      <c r="GN29">
        <f t="shared" si="55"/>
        <v>0</v>
      </c>
      <c r="GO29">
        <f t="shared" si="56"/>
        <v>0</v>
      </c>
      <c r="GP29">
        <f t="shared" si="57"/>
        <v>0</v>
      </c>
      <c r="GR29">
        <v>0</v>
      </c>
      <c r="GS29">
        <v>4</v>
      </c>
      <c r="GT29">
        <v>0</v>
      </c>
      <c r="GU29" t="s">
        <v>3</v>
      </c>
      <c r="GV29">
        <f t="shared" si="58"/>
        <v>0</v>
      </c>
      <c r="GW29">
        <v>1</v>
      </c>
      <c r="GX29">
        <f t="shared" si="59"/>
        <v>0</v>
      </c>
      <c r="HA29">
        <v>0</v>
      </c>
      <c r="HB29">
        <v>0</v>
      </c>
      <c r="HC29">
        <f t="shared" si="60"/>
        <v>0</v>
      </c>
      <c r="HE29" t="s">
        <v>3</v>
      </c>
      <c r="HF29" t="s">
        <v>3</v>
      </c>
      <c r="IK29">
        <v>0</v>
      </c>
    </row>
    <row r="30" spans="1:245">
      <c r="A30">
        <v>18</v>
      </c>
      <c r="B30">
        <v>1</v>
      </c>
      <c r="C30">
        <v>7</v>
      </c>
      <c r="E30" t="s">
        <v>28</v>
      </c>
      <c r="F30" t="s">
        <v>29</v>
      </c>
      <c r="G30" t="s">
        <v>30</v>
      </c>
      <c r="H30" t="s">
        <v>31</v>
      </c>
      <c r="I30">
        <f>I28*J30</f>
        <v>13</v>
      </c>
      <c r="J30">
        <v>1</v>
      </c>
      <c r="O30">
        <f t="shared" si="21"/>
        <v>30160</v>
      </c>
      <c r="P30">
        <f t="shared" si="22"/>
        <v>30160</v>
      </c>
      <c r="Q30">
        <f t="shared" si="23"/>
        <v>0</v>
      </c>
      <c r="R30">
        <f t="shared" si="24"/>
        <v>0</v>
      </c>
      <c r="S30">
        <f t="shared" si="25"/>
        <v>0</v>
      </c>
      <c r="T30">
        <f t="shared" si="26"/>
        <v>0</v>
      </c>
      <c r="U30">
        <f t="shared" si="27"/>
        <v>0</v>
      </c>
      <c r="V30">
        <f t="shared" si="28"/>
        <v>0</v>
      </c>
      <c r="W30">
        <f t="shared" si="29"/>
        <v>0</v>
      </c>
      <c r="X30">
        <f t="shared" si="30"/>
        <v>0</v>
      </c>
      <c r="Y30">
        <f t="shared" si="31"/>
        <v>0</v>
      </c>
      <c r="AA30">
        <v>36168115</v>
      </c>
      <c r="AB30">
        <f t="shared" si="32"/>
        <v>2320</v>
      </c>
      <c r="AC30">
        <f t="shared" si="33"/>
        <v>2320</v>
      </c>
      <c r="AD30">
        <f t="shared" si="34"/>
        <v>0</v>
      </c>
      <c r="AE30">
        <f t="shared" si="35"/>
        <v>0</v>
      </c>
      <c r="AF30">
        <f t="shared" si="36"/>
        <v>0</v>
      </c>
      <c r="AG30">
        <f t="shared" si="37"/>
        <v>0</v>
      </c>
      <c r="AH30">
        <f t="shared" si="38"/>
        <v>0</v>
      </c>
      <c r="AI30">
        <f t="shared" si="39"/>
        <v>0</v>
      </c>
      <c r="AJ30">
        <f t="shared" si="40"/>
        <v>0</v>
      </c>
      <c r="AK30">
        <v>2320</v>
      </c>
      <c r="AL30">
        <v>2320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80</v>
      </c>
      <c r="AU30">
        <v>60</v>
      </c>
      <c r="AV30">
        <v>1</v>
      </c>
      <c r="AW30">
        <v>1</v>
      </c>
      <c r="AZ30">
        <v>1</v>
      </c>
      <c r="BA30">
        <v>1</v>
      </c>
      <c r="BB30">
        <v>1</v>
      </c>
      <c r="BC30">
        <v>1</v>
      </c>
      <c r="BD30" t="s">
        <v>3</v>
      </c>
      <c r="BE30" t="s">
        <v>3</v>
      </c>
      <c r="BF30" t="s">
        <v>3</v>
      </c>
      <c r="BG30" t="s">
        <v>3</v>
      </c>
      <c r="BH30">
        <v>3</v>
      </c>
      <c r="BI30">
        <v>2</v>
      </c>
      <c r="BJ30" t="s">
        <v>3</v>
      </c>
      <c r="BM30">
        <v>110012</v>
      </c>
      <c r="BN30">
        <v>0</v>
      </c>
      <c r="BO30" t="s">
        <v>3</v>
      </c>
      <c r="BP30">
        <v>0</v>
      </c>
      <c r="BQ30">
        <v>3</v>
      </c>
      <c r="BR30">
        <v>0</v>
      </c>
      <c r="BS30">
        <v>1</v>
      </c>
      <c r="BT30">
        <v>1</v>
      </c>
      <c r="BU30">
        <v>1</v>
      </c>
      <c r="BV30">
        <v>1</v>
      </c>
      <c r="BW30">
        <v>1</v>
      </c>
      <c r="BX30">
        <v>1</v>
      </c>
      <c r="BY30" t="s">
        <v>3</v>
      </c>
      <c r="BZ30">
        <v>80</v>
      </c>
      <c r="CA30">
        <v>60</v>
      </c>
      <c r="CE30">
        <v>0</v>
      </c>
      <c r="CF30">
        <v>0</v>
      </c>
      <c r="CG30">
        <v>0</v>
      </c>
      <c r="CM30">
        <v>0</v>
      </c>
      <c r="CN30" t="s">
        <v>3</v>
      </c>
      <c r="CO30">
        <v>0</v>
      </c>
      <c r="CP30">
        <f t="shared" si="41"/>
        <v>30160</v>
      </c>
      <c r="CQ30">
        <f t="shared" si="42"/>
        <v>2320</v>
      </c>
      <c r="CR30">
        <f t="shared" si="43"/>
        <v>0</v>
      </c>
      <c r="CS30">
        <f t="shared" si="44"/>
        <v>0</v>
      </c>
      <c r="CT30">
        <f t="shared" si="45"/>
        <v>0</v>
      </c>
      <c r="CU30">
        <f t="shared" si="46"/>
        <v>0</v>
      </c>
      <c r="CV30">
        <f t="shared" si="47"/>
        <v>0</v>
      </c>
      <c r="CW30">
        <f t="shared" si="48"/>
        <v>0</v>
      </c>
      <c r="CX30">
        <f t="shared" si="49"/>
        <v>0</v>
      </c>
      <c r="CY30">
        <f t="shared" si="50"/>
        <v>0</v>
      </c>
      <c r="CZ30">
        <f t="shared" si="51"/>
        <v>0</v>
      </c>
      <c r="DC30" t="s">
        <v>3</v>
      </c>
      <c r="DD30" t="s">
        <v>3</v>
      </c>
      <c r="DE30" t="s">
        <v>3</v>
      </c>
      <c r="DF30" t="s">
        <v>3</v>
      </c>
      <c r="DG30" t="s">
        <v>3</v>
      </c>
      <c r="DH30" t="s">
        <v>3</v>
      </c>
      <c r="DI30" t="s">
        <v>3</v>
      </c>
      <c r="DJ30" t="s">
        <v>3</v>
      </c>
      <c r="DK30" t="s">
        <v>3</v>
      </c>
      <c r="DL30" t="s">
        <v>3</v>
      </c>
      <c r="DM30" t="s">
        <v>3</v>
      </c>
      <c r="DN30">
        <v>0</v>
      </c>
      <c r="DO30">
        <v>0</v>
      </c>
      <c r="DP30">
        <v>1</v>
      </c>
      <c r="DQ30">
        <v>1</v>
      </c>
      <c r="DU30">
        <v>1010</v>
      </c>
      <c r="DV30" t="s">
        <v>31</v>
      </c>
      <c r="DW30" t="s">
        <v>32</v>
      </c>
      <c r="DX30">
        <v>1</v>
      </c>
      <c r="DZ30" t="s">
        <v>3</v>
      </c>
      <c r="EA30" t="s">
        <v>3</v>
      </c>
      <c r="EB30" t="s">
        <v>3</v>
      </c>
      <c r="EC30" t="s">
        <v>3</v>
      </c>
      <c r="EE30">
        <v>35526290</v>
      </c>
      <c r="EF30">
        <v>3</v>
      </c>
      <c r="EG30" t="s">
        <v>19</v>
      </c>
      <c r="EH30">
        <v>0</v>
      </c>
      <c r="EI30" t="s">
        <v>3</v>
      </c>
      <c r="EJ30">
        <v>2</v>
      </c>
      <c r="EK30">
        <v>110012</v>
      </c>
      <c r="EL30" t="s">
        <v>20</v>
      </c>
      <c r="EM30" t="s">
        <v>21</v>
      </c>
      <c r="EO30" t="s">
        <v>3</v>
      </c>
      <c r="EQ30">
        <v>0</v>
      </c>
      <c r="ER30">
        <v>0</v>
      </c>
      <c r="ES30">
        <v>2320</v>
      </c>
      <c r="ET30">
        <v>0</v>
      </c>
      <c r="EU30">
        <v>0</v>
      </c>
      <c r="EV30">
        <v>0</v>
      </c>
      <c r="EW30">
        <v>0</v>
      </c>
      <c r="EX30">
        <v>0</v>
      </c>
      <c r="FQ30">
        <v>0</v>
      </c>
      <c r="FR30">
        <f t="shared" si="52"/>
        <v>0</v>
      </c>
      <c r="FS30">
        <v>0</v>
      </c>
      <c r="FX30">
        <v>80</v>
      </c>
      <c r="FY30">
        <v>60</v>
      </c>
      <c r="GA30" t="s">
        <v>27</v>
      </c>
      <c r="GD30">
        <v>1</v>
      </c>
      <c r="GF30">
        <v>-1157942239</v>
      </c>
      <c r="GG30">
        <v>2</v>
      </c>
      <c r="GH30">
        <v>2</v>
      </c>
      <c r="GI30">
        <v>-2</v>
      </c>
      <c r="GJ30">
        <v>0</v>
      </c>
      <c r="GK30">
        <v>0</v>
      </c>
      <c r="GL30">
        <f t="shared" si="53"/>
        <v>0</v>
      </c>
      <c r="GM30">
        <f t="shared" si="54"/>
        <v>30160</v>
      </c>
      <c r="GN30">
        <f t="shared" si="55"/>
        <v>0</v>
      </c>
      <c r="GO30">
        <f t="shared" si="56"/>
        <v>30160</v>
      </c>
      <c r="GP30">
        <f t="shared" si="57"/>
        <v>0</v>
      </c>
      <c r="GR30">
        <v>0</v>
      </c>
      <c r="GS30">
        <v>4</v>
      </c>
      <c r="GT30">
        <v>0</v>
      </c>
      <c r="GU30" t="s">
        <v>3</v>
      </c>
      <c r="GV30">
        <f t="shared" si="58"/>
        <v>0</v>
      </c>
      <c r="GW30">
        <v>1</v>
      </c>
      <c r="GX30">
        <f t="shared" si="59"/>
        <v>0</v>
      </c>
      <c r="HA30">
        <v>0</v>
      </c>
      <c r="HB30">
        <v>0</v>
      </c>
      <c r="HC30">
        <f t="shared" si="60"/>
        <v>0</v>
      </c>
      <c r="HE30" t="s">
        <v>3</v>
      </c>
      <c r="HF30" t="s">
        <v>3</v>
      </c>
      <c r="IK30">
        <v>0</v>
      </c>
    </row>
    <row r="31" spans="1:245">
      <c r="A31">
        <v>17</v>
      </c>
      <c r="B31">
        <v>1</v>
      </c>
      <c r="C31">
        <f>ROW(SmtRes!A14)</f>
        <v>14</v>
      </c>
      <c r="D31">
        <f>ROW(EtalonRes!A12)</f>
        <v>12</v>
      </c>
      <c r="E31" t="s">
        <v>33</v>
      </c>
      <c r="F31" t="s">
        <v>34</v>
      </c>
      <c r="G31" t="s">
        <v>35</v>
      </c>
      <c r="H31" t="s">
        <v>17</v>
      </c>
      <c r="I31">
        <v>1</v>
      </c>
      <c r="J31">
        <v>0</v>
      </c>
      <c r="O31">
        <f t="shared" si="21"/>
        <v>393.31</v>
      </c>
      <c r="P31">
        <f t="shared" si="22"/>
        <v>21.32</v>
      </c>
      <c r="Q31">
        <f t="shared" si="23"/>
        <v>0.94</v>
      </c>
      <c r="R31">
        <f t="shared" si="24"/>
        <v>0</v>
      </c>
      <c r="S31">
        <f t="shared" si="25"/>
        <v>371.05</v>
      </c>
      <c r="T31">
        <f t="shared" si="26"/>
        <v>0</v>
      </c>
      <c r="U31">
        <f t="shared" si="27"/>
        <v>1.2</v>
      </c>
      <c r="V31">
        <f t="shared" si="28"/>
        <v>0</v>
      </c>
      <c r="W31">
        <f t="shared" si="29"/>
        <v>0</v>
      </c>
      <c r="X31">
        <f t="shared" si="30"/>
        <v>296.83999999999997</v>
      </c>
      <c r="Y31">
        <f t="shared" si="31"/>
        <v>222.63</v>
      </c>
      <c r="AA31">
        <v>36168115</v>
      </c>
      <c r="AB31">
        <f t="shared" si="32"/>
        <v>15.79</v>
      </c>
      <c r="AC31">
        <f t="shared" si="33"/>
        <v>3.29</v>
      </c>
      <c r="AD31">
        <f t="shared" si="34"/>
        <v>0.25</v>
      </c>
      <c r="AE31">
        <f t="shared" si="35"/>
        <v>0</v>
      </c>
      <c r="AF31">
        <f t="shared" si="36"/>
        <v>12.25</v>
      </c>
      <c r="AG31">
        <f t="shared" si="37"/>
        <v>0</v>
      </c>
      <c r="AH31">
        <f t="shared" si="38"/>
        <v>1.2</v>
      </c>
      <c r="AI31">
        <f t="shared" si="39"/>
        <v>0</v>
      </c>
      <c r="AJ31">
        <f t="shared" si="40"/>
        <v>0</v>
      </c>
      <c r="AK31">
        <v>15.79</v>
      </c>
      <c r="AL31">
        <v>3.29</v>
      </c>
      <c r="AM31">
        <v>0.25</v>
      </c>
      <c r="AN31">
        <v>0</v>
      </c>
      <c r="AO31">
        <v>12.25</v>
      </c>
      <c r="AP31">
        <v>0</v>
      </c>
      <c r="AQ31">
        <v>1.2</v>
      </c>
      <c r="AR31">
        <v>0</v>
      </c>
      <c r="AS31">
        <v>0</v>
      </c>
      <c r="AT31">
        <v>80</v>
      </c>
      <c r="AU31">
        <v>60</v>
      </c>
      <c r="AV31">
        <v>1</v>
      </c>
      <c r="AW31">
        <v>1</v>
      </c>
      <c r="AZ31">
        <v>1</v>
      </c>
      <c r="BA31">
        <v>30.29</v>
      </c>
      <c r="BB31">
        <v>3.76</v>
      </c>
      <c r="BC31">
        <v>6.48</v>
      </c>
      <c r="BD31" t="s">
        <v>3</v>
      </c>
      <c r="BE31" t="s">
        <v>3</v>
      </c>
      <c r="BF31" t="s">
        <v>3</v>
      </c>
      <c r="BG31" t="s">
        <v>3</v>
      </c>
      <c r="BH31">
        <v>0</v>
      </c>
      <c r="BI31">
        <v>2</v>
      </c>
      <c r="BJ31" t="s">
        <v>36</v>
      </c>
      <c r="BM31">
        <v>110011</v>
      </c>
      <c r="BN31">
        <v>0</v>
      </c>
      <c r="BO31" t="s">
        <v>34</v>
      </c>
      <c r="BP31">
        <v>1</v>
      </c>
      <c r="BQ31">
        <v>3</v>
      </c>
      <c r="BR31">
        <v>0</v>
      </c>
      <c r="BS31">
        <v>30.29</v>
      </c>
      <c r="BT31">
        <v>1</v>
      </c>
      <c r="BU31">
        <v>1</v>
      </c>
      <c r="BV31">
        <v>1</v>
      </c>
      <c r="BW31">
        <v>1</v>
      </c>
      <c r="BX31">
        <v>1</v>
      </c>
      <c r="BY31" t="s">
        <v>3</v>
      </c>
      <c r="BZ31">
        <v>80</v>
      </c>
      <c r="CA31">
        <v>60</v>
      </c>
      <c r="CE31">
        <v>0</v>
      </c>
      <c r="CF31">
        <v>0</v>
      </c>
      <c r="CG31">
        <v>0</v>
      </c>
      <c r="CM31">
        <v>0</v>
      </c>
      <c r="CN31" t="s">
        <v>3</v>
      </c>
      <c r="CO31">
        <v>0</v>
      </c>
      <c r="CP31">
        <f t="shared" si="41"/>
        <v>393.31</v>
      </c>
      <c r="CQ31">
        <f t="shared" si="42"/>
        <v>21.319200000000002</v>
      </c>
      <c r="CR31">
        <f t="shared" si="43"/>
        <v>0.94</v>
      </c>
      <c r="CS31">
        <f t="shared" si="44"/>
        <v>0</v>
      </c>
      <c r="CT31">
        <f t="shared" si="45"/>
        <v>371.05250000000001</v>
      </c>
      <c r="CU31">
        <f t="shared" si="46"/>
        <v>0</v>
      </c>
      <c r="CV31">
        <f t="shared" si="47"/>
        <v>1.2</v>
      </c>
      <c r="CW31">
        <f t="shared" si="48"/>
        <v>0</v>
      </c>
      <c r="CX31">
        <f t="shared" si="49"/>
        <v>0</v>
      </c>
      <c r="CY31">
        <f t="shared" si="50"/>
        <v>296.83999999999997</v>
      </c>
      <c r="CZ31">
        <f t="shared" si="51"/>
        <v>222.63</v>
      </c>
      <c r="DC31" t="s">
        <v>3</v>
      </c>
      <c r="DD31" t="s">
        <v>3</v>
      </c>
      <c r="DE31" t="s">
        <v>3</v>
      </c>
      <c r="DF31" t="s">
        <v>3</v>
      </c>
      <c r="DG31" t="s">
        <v>3</v>
      </c>
      <c r="DH31" t="s">
        <v>3</v>
      </c>
      <c r="DI31" t="s">
        <v>3</v>
      </c>
      <c r="DJ31" t="s">
        <v>3</v>
      </c>
      <c r="DK31" t="s">
        <v>3</v>
      </c>
      <c r="DL31" t="s">
        <v>3</v>
      </c>
      <c r="DM31" t="s">
        <v>3</v>
      </c>
      <c r="DN31">
        <v>0</v>
      </c>
      <c r="DO31">
        <v>0</v>
      </c>
      <c r="DP31">
        <v>1</v>
      </c>
      <c r="DQ31">
        <v>1</v>
      </c>
      <c r="DU31">
        <v>1013</v>
      </c>
      <c r="DV31" t="s">
        <v>17</v>
      </c>
      <c r="DW31" t="s">
        <v>17</v>
      </c>
      <c r="DX31">
        <v>1</v>
      </c>
      <c r="DZ31" t="s">
        <v>3</v>
      </c>
      <c r="EA31" t="s">
        <v>3</v>
      </c>
      <c r="EB31" t="s">
        <v>3</v>
      </c>
      <c r="EC31" t="s">
        <v>3</v>
      </c>
      <c r="EE31">
        <v>35526009</v>
      </c>
      <c r="EF31">
        <v>3</v>
      </c>
      <c r="EG31" t="s">
        <v>19</v>
      </c>
      <c r="EH31">
        <v>0</v>
      </c>
      <c r="EI31" t="s">
        <v>3</v>
      </c>
      <c r="EJ31">
        <v>2</v>
      </c>
      <c r="EK31">
        <v>110011</v>
      </c>
      <c r="EL31" t="s">
        <v>37</v>
      </c>
      <c r="EM31" t="s">
        <v>21</v>
      </c>
      <c r="EO31" t="s">
        <v>3</v>
      </c>
      <c r="EQ31">
        <v>0</v>
      </c>
      <c r="ER31">
        <v>15.79</v>
      </c>
      <c r="ES31">
        <v>3.29</v>
      </c>
      <c r="ET31">
        <v>0.25</v>
      </c>
      <c r="EU31">
        <v>0</v>
      </c>
      <c r="EV31">
        <v>12.25</v>
      </c>
      <c r="EW31">
        <v>1.2</v>
      </c>
      <c r="EX31">
        <v>0</v>
      </c>
      <c r="EY31">
        <v>0</v>
      </c>
      <c r="FQ31">
        <v>0</v>
      </c>
      <c r="FR31">
        <f t="shared" si="52"/>
        <v>0</v>
      </c>
      <c r="FS31">
        <v>0</v>
      </c>
      <c r="FX31">
        <v>80</v>
      </c>
      <c r="FY31">
        <v>60</v>
      </c>
      <c r="GA31" t="s">
        <v>3</v>
      </c>
      <c r="GD31">
        <v>1</v>
      </c>
      <c r="GF31">
        <v>1903793266</v>
      </c>
      <c r="GG31">
        <v>2</v>
      </c>
      <c r="GH31">
        <v>1</v>
      </c>
      <c r="GI31">
        <v>2</v>
      </c>
      <c r="GJ31">
        <v>0</v>
      </c>
      <c r="GK31">
        <v>0</v>
      </c>
      <c r="GL31">
        <f t="shared" si="53"/>
        <v>0</v>
      </c>
      <c r="GM31">
        <f t="shared" si="54"/>
        <v>912.78</v>
      </c>
      <c r="GN31">
        <f t="shared" si="55"/>
        <v>0</v>
      </c>
      <c r="GO31">
        <f t="shared" si="56"/>
        <v>912.78</v>
      </c>
      <c r="GP31">
        <f t="shared" si="57"/>
        <v>0</v>
      </c>
      <c r="GR31">
        <v>0</v>
      </c>
      <c r="GS31">
        <v>3</v>
      </c>
      <c r="GT31">
        <v>0</v>
      </c>
      <c r="GU31" t="s">
        <v>3</v>
      </c>
      <c r="GV31">
        <f t="shared" si="58"/>
        <v>0</v>
      </c>
      <c r="GW31">
        <v>1</v>
      </c>
      <c r="GX31">
        <f t="shared" si="59"/>
        <v>0</v>
      </c>
      <c r="HA31">
        <v>0</v>
      </c>
      <c r="HB31">
        <v>0</v>
      </c>
      <c r="HC31">
        <f t="shared" si="60"/>
        <v>0</v>
      </c>
      <c r="HE31" t="s">
        <v>3</v>
      </c>
      <c r="HF31" t="s">
        <v>3</v>
      </c>
      <c r="IK31">
        <v>0</v>
      </c>
    </row>
    <row r="32" spans="1:245">
      <c r="A32">
        <v>17</v>
      </c>
      <c r="B32">
        <v>1</v>
      </c>
      <c r="E32" t="s">
        <v>38</v>
      </c>
      <c r="F32" t="s">
        <v>39</v>
      </c>
      <c r="G32" t="s">
        <v>40</v>
      </c>
      <c r="H32" t="s">
        <v>25</v>
      </c>
      <c r="I32">
        <v>1</v>
      </c>
      <c r="J32">
        <v>0</v>
      </c>
      <c r="O32">
        <f t="shared" si="21"/>
        <v>5523.89</v>
      </c>
      <c r="P32">
        <f t="shared" si="22"/>
        <v>5523.89</v>
      </c>
      <c r="Q32">
        <f t="shared" si="23"/>
        <v>0</v>
      </c>
      <c r="R32">
        <f t="shared" si="24"/>
        <v>0</v>
      </c>
      <c r="S32">
        <f t="shared" si="25"/>
        <v>0</v>
      </c>
      <c r="T32">
        <f t="shared" si="26"/>
        <v>0</v>
      </c>
      <c r="U32">
        <f t="shared" si="27"/>
        <v>0</v>
      </c>
      <c r="V32">
        <f t="shared" si="28"/>
        <v>0</v>
      </c>
      <c r="W32">
        <f t="shared" si="29"/>
        <v>0.28000000000000003</v>
      </c>
      <c r="X32">
        <f t="shared" si="30"/>
        <v>0</v>
      </c>
      <c r="Y32">
        <f t="shared" si="31"/>
        <v>0</v>
      </c>
      <c r="AA32">
        <v>36168115</v>
      </c>
      <c r="AB32">
        <f t="shared" si="32"/>
        <v>2422.7600000000002</v>
      </c>
      <c r="AC32">
        <f t="shared" si="33"/>
        <v>2422.7600000000002</v>
      </c>
      <c r="AD32">
        <f t="shared" si="34"/>
        <v>0</v>
      </c>
      <c r="AE32">
        <f t="shared" si="35"/>
        <v>0</v>
      </c>
      <c r="AF32">
        <f t="shared" si="36"/>
        <v>0</v>
      </c>
      <c r="AG32">
        <f t="shared" si="37"/>
        <v>0</v>
      </c>
      <c r="AH32">
        <f t="shared" si="38"/>
        <v>0</v>
      </c>
      <c r="AI32">
        <f t="shared" si="39"/>
        <v>0</v>
      </c>
      <c r="AJ32">
        <f t="shared" si="40"/>
        <v>0.28000000000000003</v>
      </c>
      <c r="AK32">
        <v>2422.7600000000002</v>
      </c>
      <c r="AL32">
        <v>2422.7600000000002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0.28000000000000003</v>
      </c>
      <c r="AT32">
        <v>0</v>
      </c>
      <c r="AU32">
        <v>0</v>
      </c>
      <c r="AV32">
        <v>1</v>
      </c>
      <c r="AW32">
        <v>1</v>
      </c>
      <c r="AZ32">
        <v>1</v>
      </c>
      <c r="BA32">
        <v>1</v>
      </c>
      <c r="BB32">
        <v>1</v>
      </c>
      <c r="BC32">
        <v>2.2799999999999998</v>
      </c>
      <c r="BD32" t="s">
        <v>3</v>
      </c>
      <c r="BE32" t="s">
        <v>3</v>
      </c>
      <c r="BF32" t="s">
        <v>3</v>
      </c>
      <c r="BG32" t="s">
        <v>3</v>
      </c>
      <c r="BH32">
        <v>3</v>
      </c>
      <c r="BI32">
        <v>2</v>
      </c>
      <c r="BJ32" t="s">
        <v>41</v>
      </c>
      <c r="BM32">
        <v>500002</v>
      </c>
      <c r="BN32">
        <v>0</v>
      </c>
      <c r="BO32" t="s">
        <v>39</v>
      </c>
      <c r="BP32">
        <v>1</v>
      </c>
      <c r="BQ32">
        <v>12</v>
      </c>
      <c r="BR32">
        <v>0</v>
      </c>
      <c r="BS32">
        <v>1</v>
      </c>
      <c r="BT32">
        <v>1</v>
      </c>
      <c r="BU32">
        <v>1</v>
      </c>
      <c r="BV32">
        <v>1</v>
      </c>
      <c r="BW32">
        <v>1</v>
      </c>
      <c r="BX32">
        <v>1</v>
      </c>
      <c r="BY32" t="s">
        <v>3</v>
      </c>
      <c r="BZ32">
        <v>0</v>
      </c>
      <c r="CA32">
        <v>0</v>
      </c>
      <c r="CE32">
        <v>0</v>
      </c>
      <c r="CF32">
        <v>0</v>
      </c>
      <c r="CG32">
        <v>0</v>
      </c>
      <c r="CM32">
        <v>0</v>
      </c>
      <c r="CN32" t="s">
        <v>3</v>
      </c>
      <c r="CO32">
        <v>0</v>
      </c>
      <c r="CP32">
        <f t="shared" si="41"/>
        <v>5523.89</v>
      </c>
      <c r="CQ32">
        <f t="shared" si="42"/>
        <v>5523.8927999999996</v>
      </c>
      <c r="CR32">
        <f t="shared" si="43"/>
        <v>0</v>
      </c>
      <c r="CS32">
        <f t="shared" si="44"/>
        <v>0</v>
      </c>
      <c r="CT32">
        <f t="shared" si="45"/>
        <v>0</v>
      </c>
      <c r="CU32">
        <f t="shared" si="46"/>
        <v>0</v>
      </c>
      <c r="CV32">
        <f t="shared" si="47"/>
        <v>0</v>
      </c>
      <c r="CW32">
        <f t="shared" si="48"/>
        <v>0</v>
      </c>
      <c r="CX32">
        <f t="shared" si="49"/>
        <v>0.28000000000000003</v>
      </c>
      <c r="CY32">
        <f t="shared" si="50"/>
        <v>0</v>
      </c>
      <c r="CZ32">
        <f t="shared" si="51"/>
        <v>0</v>
      </c>
      <c r="DC32" t="s">
        <v>3</v>
      </c>
      <c r="DD32" t="s">
        <v>3</v>
      </c>
      <c r="DE32" t="s">
        <v>3</v>
      </c>
      <c r="DF32" t="s">
        <v>3</v>
      </c>
      <c r="DG32" t="s">
        <v>3</v>
      </c>
      <c r="DH32" t="s">
        <v>3</v>
      </c>
      <c r="DI32" t="s">
        <v>3</v>
      </c>
      <c r="DJ32" t="s">
        <v>3</v>
      </c>
      <c r="DK32" t="s">
        <v>3</v>
      </c>
      <c r="DL32" t="s">
        <v>3</v>
      </c>
      <c r="DM32" t="s">
        <v>3</v>
      </c>
      <c r="DN32">
        <v>0</v>
      </c>
      <c r="DO32">
        <v>0</v>
      </c>
      <c r="DP32">
        <v>1</v>
      </c>
      <c r="DQ32">
        <v>1</v>
      </c>
      <c r="DU32">
        <v>1010</v>
      </c>
      <c r="DV32" t="s">
        <v>25</v>
      </c>
      <c r="DW32" t="s">
        <v>25</v>
      </c>
      <c r="DX32">
        <v>1</v>
      </c>
      <c r="DZ32" t="s">
        <v>3</v>
      </c>
      <c r="EA32" t="s">
        <v>3</v>
      </c>
      <c r="EB32" t="s">
        <v>3</v>
      </c>
      <c r="EC32" t="s">
        <v>3</v>
      </c>
      <c r="EE32">
        <v>35526013</v>
      </c>
      <c r="EF32">
        <v>12</v>
      </c>
      <c r="EG32" t="s">
        <v>42</v>
      </c>
      <c r="EH32">
        <v>0</v>
      </c>
      <c r="EI32" t="s">
        <v>3</v>
      </c>
      <c r="EJ32">
        <v>2</v>
      </c>
      <c r="EK32">
        <v>500002</v>
      </c>
      <c r="EL32" t="s">
        <v>43</v>
      </c>
      <c r="EM32" t="s">
        <v>44</v>
      </c>
      <c r="EO32" t="s">
        <v>3</v>
      </c>
      <c r="EQ32">
        <v>0</v>
      </c>
      <c r="ER32">
        <v>2422.7600000000002</v>
      </c>
      <c r="ES32">
        <v>2422.7600000000002</v>
      </c>
      <c r="ET32">
        <v>0</v>
      </c>
      <c r="EU32">
        <v>0</v>
      </c>
      <c r="EV32">
        <v>0</v>
      </c>
      <c r="EW32">
        <v>0</v>
      </c>
      <c r="EX32">
        <v>0</v>
      </c>
      <c r="EY32">
        <v>0</v>
      </c>
      <c r="FQ32">
        <v>0</v>
      </c>
      <c r="FR32">
        <f t="shared" si="52"/>
        <v>0</v>
      </c>
      <c r="FS32">
        <v>0</v>
      </c>
      <c r="FX32">
        <v>0</v>
      </c>
      <c r="FY32">
        <v>0</v>
      </c>
      <c r="GA32" t="s">
        <v>3</v>
      </c>
      <c r="GD32">
        <v>1</v>
      </c>
      <c r="GF32">
        <v>-925821735</v>
      </c>
      <c r="GG32">
        <v>2</v>
      </c>
      <c r="GH32">
        <v>1</v>
      </c>
      <c r="GI32">
        <v>2</v>
      </c>
      <c r="GJ32">
        <v>0</v>
      </c>
      <c r="GK32">
        <v>0</v>
      </c>
      <c r="GL32">
        <f t="shared" si="53"/>
        <v>0</v>
      </c>
      <c r="GM32">
        <f t="shared" si="54"/>
        <v>5523.89</v>
      </c>
      <c r="GN32">
        <f t="shared" si="55"/>
        <v>0</v>
      </c>
      <c r="GO32">
        <f t="shared" si="56"/>
        <v>5523.89</v>
      </c>
      <c r="GP32">
        <f t="shared" si="57"/>
        <v>0</v>
      </c>
      <c r="GR32">
        <v>0</v>
      </c>
      <c r="GS32">
        <v>3</v>
      </c>
      <c r="GT32">
        <v>0</v>
      </c>
      <c r="GU32" t="s">
        <v>3</v>
      </c>
      <c r="GV32">
        <f t="shared" si="58"/>
        <v>0</v>
      </c>
      <c r="GW32">
        <v>1</v>
      </c>
      <c r="GX32">
        <f t="shared" si="59"/>
        <v>0</v>
      </c>
      <c r="HA32">
        <v>0</v>
      </c>
      <c r="HB32">
        <v>0</v>
      </c>
      <c r="HC32">
        <f t="shared" si="60"/>
        <v>0</v>
      </c>
      <c r="HE32" t="s">
        <v>3</v>
      </c>
      <c r="HF32" t="s">
        <v>3</v>
      </c>
      <c r="IK32">
        <v>0</v>
      </c>
    </row>
    <row r="33" spans="1:245">
      <c r="A33">
        <v>17</v>
      </c>
      <c r="B33">
        <v>1</v>
      </c>
      <c r="E33" t="s">
        <v>45</v>
      </c>
      <c r="F33" t="s">
        <v>46</v>
      </c>
      <c r="G33" t="s">
        <v>47</v>
      </c>
      <c r="H33" t="s">
        <v>25</v>
      </c>
      <c r="I33">
        <v>2</v>
      </c>
      <c r="J33">
        <v>0</v>
      </c>
      <c r="O33">
        <f t="shared" si="21"/>
        <v>905</v>
      </c>
      <c r="P33">
        <f t="shared" si="22"/>
        <v>905</v>
      </c>
      <c r="Q33">
        <f t="shared" si="23"/>
        <v>0</v>
      </c>
      <c r="R33">
        <f t="shared" si="24"/>
        <v>0</v>
      </c>
      <c r="S33">
        <f t="shared" si="25"/>
        <v>0</v>
      </c>
      <c r="T33">
        <f t="shared" si="26"/>
        <v>0</v>
      </c>
      <c r="U33">
        <f t="shared" si="27"/>
        <v>0</v>
      </c>
      <c r="V33">
        <f t="shared" si="28"/>
        <v>0</v>
      </c>
      <c r="W33">
        <f t="shared" si="29"/>
        <v>3.04</v>
      </c>
      <c r="X33">
        <f t="shared" si="30"/>
        <v>0</v>
      </c>
      <c r="Y33">
        <f t="shared" si="31"/>
        <v>0</v>
      </c>
      <c r="AA33">
        <v>36168115</v>
      </c>
      <c r="AB33">
        <f t="shared" si="32"/>
        <v>78.97</v>
      </c>
      <c r="AC33">
        <f t="shared" si="33"/>
        <v>78.97</v>
      </c>
      <c r="AD33">
        <f t="shared" si="34"/>
        <v>0</v>
      </c>
      <c r="AE33">
        <f t="shared" si="35"/>
        <v>0</v>
      </c>
      <c r="AF33">
        <f t="shared" si="36"/>
        <v>0</v>
      </c>
      <c r="AG33">
        <f t="shared" si="37"/>
        <v>0</v>
      </c>
      <c r="AH33">
        <f t="shared" si="38"/>
        <v>0</v>
      </c>
      <c r="AI33">
        <f t="shared" si="39"/>
        <v>0</v>
      </c>
      <c r="AJ33">
        <f t="shared" si="40"/>
        <v>1.52</v>
      </c>
      <c r="AK33">
        <v>78.97</v>
      </c>
      <c r="AL33">
        <v>78.97</v>
      </c>
      <c r="AM33">
        <v>0</v>
      </c>
      <c r="AN33">
        <v>0</v>
      </c>
      <c r="AO33">
        <v>0</v>
      </c>
      <c r="AP33">
        <v>0</v>
      </c>
      <c r="AQ33">
        <v>0</v>
      </c>
      <c r="AR33">
        <v>0</v>
      </c>
      <c r="AS33">
        <v>1.52</v>
      </c>
      <c r="AT33">
        <v>0</v>
      </c>
      <c r="AU33">
        <v>0</v>
      </c>
      <c r="AV33">
        <v>1</v>
      </c>
      <c r="AW33">
        <v>1</v>
      </c>
      <c r="AZ33">
        <v>1</v>
      </c>
      <c r="BA33">
        <v>1</v>
      </c>
      <c r="BB33">
        <v>1</v>
      </c>
      <c r="BC33">
        <v>5.73</v>
      </c>
      <c r="BD33" t="s">
        <v>3</v>
      </c>
      <c r="BE33" t="s">
        <v>3</v>
      </c>
      <c r="BF33" t="s">
        <v>3</v>
      </c>
      <c r="BG33" t="s">
        <v>3</v>
      </c>
      <c r="BH33">
        <v>3</v>
      </c>
      <c r="BI33">
        <v>2</v>
      </c>
      <c r="BJ33" t="s">
        <v>48</v>
      </c>
      <c r="BM33">
        <v>500002</v>
      </c>
      <c r="BN33">
        <v>0</v>
      </c>
      <c r="BO33" t="s">
        <v>46</v>
      </c>
      <c r="BP33">
        <v>1</v>
      </c>
      <c r="BQ33">
        <v>12</v>
      </c>
      <c r="BR33">
        <v>0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 t="s">
        <v>3</v>
      </c>
      <c r="BZ33">
        <v>0</v>
      </c>
      <c r="CA33">
        <v>0</v>
      </c>
      <c r="CE33">
        <v>0</v>
      </c>
      <c r="CF33">
        <v>0</v>
      </c>
      <c r="CG33">
        <v>0</v>
      </c>
      <c r="CM33">
        <v>0</v>
      </c>
      <c r="CN33" t="s">
        <v>3</v>
      </c>
      <c r="CO33">
        <v>0</v>
      </c>
      <c r="CP33">
        <f t="shared" si="41"/>
        <v>905</v>
      </c>
      <c r="CQ33">
        <f t="shared" si="42"/>
        <v>452.49810000000002</v>
      </c>
      <c r="CR33">
        <f t="shared" si="43"/>
        <v>0</v>
      </c>
      <c r="CS33">
        <f t="shared" si="44"/>
        <v>0</v>
      </c>
      <c r="CT33">
        <f t="shared" si="45"/>
        <v>0</v>
      </c>
      <c r="CU33">
        <f t="shared" si="46"/>
        <v>0</v>
      </c>
      <c r="CV33">
        <f t="shared" si="47"/>
        <v>0</v>
      </c>
      <c r="CW33">
        <f t="shared" si="48"/>
        <v>0</v>
      </c>
      <c r="CX33">
        <f t="shared" si="49"/>
        <v>1.52</v>
      </c>
      <c r="CY33">
        <f t="shared" si="50"/>
        <v>0</v>
      </c>
      <c r="CZ33">
        <f t="shared" si="51"/>
        <v>0</v>
      </c>
      <c r="DC33" t="s">
        <v>3</v>
      </c>
      <c r="DD33" t="s">
        <v>3</v>
      </c>
      <c r="DE33" t="s">
        <v>3</v>
      </c>
      <c r="DF33" t="s">
        <v>3</v>
      </c>
      <c r="DG33" t="s">
        <v>3</v>
      </c>
      <c r="DH33" t="s">
        <v>3</v>
      </c>
      <c r="DI33" t="s">
        <v>3</v>
      </c>
      <c r="DJ33" t="s">
        <v>3</v>
      </c>
      <c r="DK33" t="s">
        <v>3</v>
      </c>
      <c r="DL33" t="s">
        <v>3</v>
      </c>
      <c r="DM33" t="s">
        <v>3</v>
      </c>
      <c r="DN33">
        <v>0</v>
      </c>
      <c r="DO33">
        <v>0</v>
      </c>
      <c r="DP33">
        <v>1</v>
      </c>
      <c r="DQ33">
        <v>1</v>
      </c>
      <c r="DU33">
        <v>1010</v>
      </c>
      <c r="DV33" t="s">
        <v>25</v>
      </c>
      <c r="DW33" t="s">
        <v>25</v>
      </c>
      <c r="DX33">
        <v>1</v>
      </c>
      <c r="DZ33" t="s">
        <v>3</v>
      </c>
      <c r="EA33" t="s">
        <v>3</v>
      </c>
      <c r="EB33" t="s">
        <v>3</v>
      </c>
      <c r="EC33" t="s">
        <v>3</v>
      </c>
      <c r="EE33">
        <v>35526013</v>
      </c>
      <c r="EF33">
        <v>12</v>
      </c>
      <c r="EG33" t="s">
        <v>42</v>
      </c>
      <c r="EH33">
        <v>0</v>
      </c>
      <c r="EI33" t="s">
        <v>3</v>
      </c>
      <c r="EJ33">
        <v>2</v>
      </c>
      <c r="EK33">
        <v>500002</v>
      </c>
      <c r="EL33" t="s">
        <v>43</v>
      </c>
      <c r="EM33" t="s">
        <v>44</v>
      </c>
      <c r="EO33" t="s">
        <v>3</v>
      </c>
      <c r="EQ33">
        <v>0</v>
      </c>
      <c r="ER33">
        <v>78.97</v>
      </c>
      <c r="ES33">
        <v>78.97</v>
      </c>
      <c r="ET33">
        <v>0</v>
      </c>
      <c r="EU33">
        <v>0</v>
      </c>
      <c r="EV33">
        <v>0</v>
      </c>
      <c r="EW33">
        <v>0</v>
      </c>
      <c r="EX33">
        <v>0</v>
      </c>
      <c r="EY33">
        <v>0</v>
      </c>
      <c r="FQ33">
        <v>0</v>
      </c>
      <c r="FR33">
        <f t="shared" si="52"/>
        <v>0</v>
      </c>
      <c r="FS33">
        <v>0</v>
      </c>
      <c r="FX33">
        <v>0</v>
      </c>
      <c r="FY33">
        <v>0</v>
      </c>
      <c r="GA33" t="s">
        <v>3</v>
      </c>
      <c r="GD33">
        <v>1</v>
      </c>
      <c r="GF33">
        <v>-37123825</v>
      </c>
      <c r="GG33">
        <v>2</v>
      </c>
      <c r="GH33">
        <v>1</v>
      </c>
      <c r="GI33">
        <v>2</v>
      </c>
      <c r="GJ33">
        <v>0</v>
      </c>
      <c r="GK33">
        <v>0</v>
      </c>
      <c r="GL33">
        <f t="shared" si="53"/>
        <v>0</v>
      </c>
      <c r="GM33">
        <f t="shared" si="54"/>
        <v>905</v>
      </c>
      <c r="GN33">
        <f t="shared" si="55"/>
        <v>0</v>
      </c>
      <c r="GO33">
        <f t="shared" si="56"/>
        <v>905</v>
      </c>
      <c r="GP33">
        <f t="shared" si="57"/>
        <v>0</v>
      </c>
      <c r="GR33">
        <v>0</v>
      </c>
      <c r="GS33">
        <v>3</v>
      </c>
      <c r="GT33">
        <v>0</v>
      </c>
      <c r="GU33" t="s">
        <v>3</v>
      </c>
      <c r="GV33">
        <f t="shared" si="58"/>
        <v>0</v>
      </c>
      <c r="GW33">
        <v>1</v>
      </c>
      <c r="GX33">
        <f t="shared" si="59"/>
        <v>0</v>
      </c>
      <c r="HA33">
        <v>0</v>
      </c>
      <c r="HB33">
        <v>0</v>
      </c>
      <c r="HC33">
        <f t="shared" si="60"/>
        <v>0</v>
      </c>
      <c r="HE33" t="s">
        <v>3</v>
      </c>
      <c r="HF33" t="s">
        <v>3</v>
      </c>
      <c r="IK33">
        <v>0</v>
      </c>
    </row>
    <row r="34" spans="1:245">
      <c r="A34">
        <v>17</v>
      </c>
      <c r="B34">
        <v>1</v>
      </c>
      <c r="E34" t="s">
        <v>49</v>
      </c>
      <c r="F34" t="s">
        <v>50</v>
      </c>
      <c r="G34" t="s">
        <v>51</v>
      </c>
      <c r="H34" t="s">
        <v>25</v>
      </c>
      <c r="I34">
        <v>40</v>
      </c>
      <c r="J34">
        <v>0</v>
      </c>
      <c r="O34">
        <f t="shared" si="21"/>
        <v>8294</v>
      </c>
      <c r="P34">
        <f t="shared" si="22"/>
        <v>8294</v>
      </c>
      <c r="Q34">
        <f t="shared" si="23"/>
        <v>0</v>
      </c>
      <c r="R34">
        <f t="shared" si="24"/>
        <v>0</v>
      </c>
      <c r="S34">
        <f t="shared" si="25"/>
        <v>0</v>
      </c>
      <c r="T34">
        <f t="shared" si="26"/>
        <v>0</v>
      </c>
      <c r="U34">
        <f t="shared" si="27"/>
        <v>0</v>
      </c>
      <c r="V34">
        <f t="shared" si="28"/>
        <v>0</v>
      </c>
      <c r="W34">
        <f t="shared" si="29"/>
        <v>0</v>
      </c>
      <c r="X34">
        <f t="shared" si="30"/>
        <v>0</v>
      </c>
      <c r="Y34">
        <f t="shared" si="31"/>
        <v>0</v>
      </c>
      <c r="AA34">
        <v>36168115</v>
      </c>
      <c r="AB34">
        <f t="shared" si="32"/>
        <v>207.35</v>
      </c>
      <c r="AC34">
        <f t="shared" si="33"/>
        <v>207.35</v>
      </c>
      <c r="AD34">
        <f t="shared" si="34"/>
        <v>0</v>
      </c>
      <c r="AE34">
        <f t="shared" si="35"/>
        <v>0</v>
      </c>
      <c r="AF34">
        <f t="shared" si="36"/>
        <v>0</v>
      </c>
      <c r="AG34">
        <f t="shared" si="37"/>
        <v>0</v>
      </c>
      <c r="AH34">
        <f t="shared" si="38"/>
        <v>0</v>
      </c>
      <c r="AI34">
        <f t="shared" si="39"/>
        <v>0</v>
      </c>
      <c r="AJ34">
        <f t="shared" si="40"/>
        <v>0</v>
      </c>
      <c r="AK34">
        <v>207.35</v>
      </c>
      <c r="AL34">
        <v>207.35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1</v>
      </c>
      <c r="AW34">
        <v>1</v>
      </c>
      <c r="AZ34">
        <v>1</v>
      </c>
      <c r="BA34">
        <v>1</v>
      </c>
      <c r="BB34">
        <v>1</v>
      </c>
      <c r="BC34">
        <v>1</v>
      </c>
      <c r="BD34" t="s">
        <v>3</v>
      </c>
      <c r="BE34" t="s">
        <v>3</v>
      </c>
      <c r="BF34" t="s">
        <v>3</v>
      </c>
      <c r="BG34" t="s">
        <v>3</v>
      </c>
      <c r="BH34">
        <v>3</v>
      </c>
      <c r="BI34">
        <v>2</v>
      </c>
      <c r="BJ34" t="s">
        <v>52</v>
      </c>
      <c r="BM34">
        <v>500002</v>
      </c>
      <c r="BN34">
        <v>0</v>
      </c>
      <c r="BO34" t="s">
        <v>3</v>
      </c>
      <c r="BP34">
        <v>0</v>
      </c>
      <c r="BQ34">
        <v>12</v>
      </c>
      <c r="BR34">
        <v>0</v>
      </c>
      <c r="BS34">
        <v>1</v>
      </c>
      <c r="BT34">
        <v>1</v>
      </c>
      <c r="BU34">
        <v>1</v>
      </c>
      <c r="BV34">
        <v>1</v>
      </c>
      <c r="BW34">
        <v>1</v>
      </c>
      <c r="BX34">
        <v>1</v>
      </c>
      <c r="BY34" t="s">
        <v>3</v>
      </c>
      <c r="BZ34">
        <v>0</v>
      </c>
      <c r="CA34">
        <v>0</v>
      </c>
      <c r="CE34">
        <v>0</v>
      </c>
      <c r="CF34">
        <v>0</v>
      </c>
      <c r="CG34">
        <v>0</v>
      </c>
      <c r="CM34">
        <v>0</v>
      </c>
      <c r="CN34" t="s">
        <v>3</v>
      </c>
      <c r="CO34">
        <v>0</v>
      </c>
      <c r="CP34">
        <f t="shared" si="41"/>
        <v>8294</v>
      </c>
      <c r="CQ34">
        <f t="shared" si="42"/>
        <v>207.35</v>
      </c>
      <c r="CR34">
        <f t="shared" si="43"/>
        <v>0</v>
      </c>
      <c r="CS34">
        <f t="shared" si="44"/>
        <v>0</v>
      </c>
      <c r="CT34">
        <f t="shared" si="45"/>
        <v>0</v>
      </c>
      <c r="CU34">
        <f t="shared" si="46"/>
        <v>0</v>
      </c>
      <c r="CV34">
        <f t="shared" si="47"/>
        <v>0</v>
      </c>
      <c r="CW34">
        <f t="shared" si="48"/>
        <v>0</v>
      </c>
      <c r="CX34">
        <f t="shared" si="49"/>
        <v>0</v>
      </c>
      <c r="CY34">
        <f t="shared" si="50"/>
        <v>0</v>
      </c>
      <c r="CZ34">
        <f t="shared" si="51"/>
        <v>0</v>
      </c>
      <c r="DC34" t="s">
        <v>3</v>
      </c>
      <c r="DD34" t="s">
        <v>3</v>
      </c>
      <c r="DE34" t="s">
        <v>3</v>
      </c>
      <c r="DF34" t="s">
        <v>3</v>
      </c>
      <c r="DG34" t="s">
        <v>3</v>
      </c>
      <c r="DH34" t="s">
        <v>3</v>
      </c>
      <c r="DI34" t="s">
        <v>3</v>
      </c>
      <c r="DJ34" t="s">
        <v>3</v>
      </c>
      <c r="DK34" t="s">
        <v>3</v>
      </c>
      <c r="DL34" t="s">
        <v>3</v>
      </c>
      <c r="DM34" t="s">
        <v>3</v>
      </c>
      <c r="DN34">
        <v>0</v>
      </c>
      <c r="DO34">
        <v>0</v>
      </c>
      <c r="DP34">
        <v>1</v>
      </c>
      <c r="DQ34">
        <v>1</v>
      </c>
      <c r="DU34">
        <v>1010</v>
      </c>
      <c r="DV34" t="s">
        <v>25</v>
      </c>
      <c r="DW34" t="s">
        <v>25</v>
      </c>
      <c r="DX34">
        <v>1</v>
      </c>
      <c r="DZ34" t="s">
        <v>3</v>
      </c>
      <c r="EA34" t="s">
        <v>3</v>
      </c>
      <c r="EB34" t="s">
        <v>3</v>
      </c>
      <c r="EC34" t="s">
        <v>3</v>
      </c>
      <c r="EE34">
        <v>35526013</v>
      </c>
      <c r="EF34">
        <v>12</v>
      </c>
      <c r="EG34" t="s">
        <v>42</v>
      </c>
      <c r="EH34">
        <v>0</v>
      </c>
      <c r="EI34" t="s">
        <v>3</v>
      </c>
      <c r="EJ34">
        <v>2</v>
      </c>
      <c r="EK34">
        <v>500002</v>
      </c>
      <c r="EL34" t="s">
        <v>43</v>
      </c>
      <c r="EM34" t="s">
        <v>44</v>
      </c>
      <c r="EO34" t="s">
        <v>3</v>
      </c>
      <c r="EQ34">
        <v>0</v>
      </c>
      <c r="ER34">
        <v>207.35</v>
      </c>
      <c r="ES34">
        <v>207.35</v>
      </c>
      <c r="ET34">
        <v>0</v>
      </c>
      <c r="EU34">
        <v>0</v>
      </c>
      <c r="EV34">
        <v>0</v>
      </c>
      <c r="EW34">
        <v>0</v>
      </c>
      <c r="EX34">
        <v>0</v>
      </c>
      <c r="EY34">
        <v>0</v>
      </c>
      <c r="FQ34">
        <v>0</v>
      </c>
      <c r="FR34">
        <f t="shared" si="52"/>
        <v>0</v>
      </c>
      <c r="FS34">
        <v>0</v>
      </c>
      <c r="FX34">
        <v>0</v>
      </c>
      <c r="FY34">
        <v>0</v>
      </c>
      <c r="GA34" t="s">
        <v>53</v>
      </c>
      <c r="GD34">
        <v>1</v>
      </c>
      <c r="GE34">
        <v>207.35</v>
      </c>
      <c r="GF34">
        <v>-1548521090</v>
      </c>
      <c r="GG34">
        <v>2</v>
      </c>
      <c r="GH34">
        <v>1</v>
      </c>
      <c r="GI34">
        <v>-2</v>
      </c>
      <c r="GJ34">
        <v>0</v>
      </c>
      <c r="GK34">
        <v>0</v>
      </c>
      <c r="GL34">
        <f t="shared" si="53"/>
        <v>0</v>
      </c>
      <c r="GM34">
        <f t="shared" si="54"/>
        <v>8294</v>
      </c>
      <c r="GN34">
        <f t="shared" si="55"/>
        <v>0</v>
      </c>
      <c r="GO34">
        <f t="shared" si="56"/>
        <v>8294</v>
      </c>
      <c r="GP34">
        <f t="shared" si="57"/>
        <v>0</v>
      </c>
      <c r="GR34">
        <v>3</v>
      </c>
      <c r="GS34">
        <v>5</v>
      </c>
      <c r="GT34">
        <v>0</v>
      </c>
      <c r="GU34" t="s">
        <v>3</v>
      </c>
      <c r="GV34">
        <f t="shared" si="58"/>
        <v>0</v>
      </c>
      <c r="GW34">
        <v>1</v>
      </c>
      <c r="GX34">
        <f t="shared" si="59"/>
        <v>0</v>
      </c>
      <c r="HA34">
        <v>0</v>
      </c>
      <c r="HB34">
        <v>0</v>
      </c>
      <c r="HC34">
        <f t="shared" si="60"/>
        <v>0</v>
      </c>
      <c r="HE34" t="s">
        <v>3</v>
      </c>
      <c r="HF34" t="s">
        <v>3</v>
      </c>
      <c r="IK34">
        <v>0</v>
      </c>
    </row>
    <row r="35" spans="1:245">
      <c r="A35">
        <v>17</v>
      </c>
      <c r="B35">
        <v>1</v>
      </c>
      <c r="C35">
        <f>ROW(SmtRes!A26)</f>
        <v>26</v>
      </c>
      <c r="D35">
        <f>ROW(EtalonRes!A24)</f>
        <v>24</v>
      </c>
      <c r="E35" t="s">
        <v>54</v>
      </c>
      <c r="F35" t="s">
        <v>55</v>
      </c>
      <c r="G35" t="s">
        <v>56</v>
      </c>
      <c r="H35" t="s">
        <v>57</v>
      </c>
      <c r="I35">
        <f>ROUND(400/100,9)</f>
        <v>4</v>
      </c>
      <c r="J35">
        <v>0</v>
      </c>
      <c r="O35">
        <f t="shared" si="21"/>
        <v>21146.45</v>
      </c>
      <c r="P35">
        <f t="shared" si="22"/>
        <v>1341.51</v>
      </c>
      <c r="Q35">
        <f t="shared" si="23"/>
        <v>1400.74</v>
      </c>
      <c r="R35">
        <f t="shared" si="24"/>
        <v>294.42</v>
      </c>
      <c r="S35">
        <f t="shared" si="25"/>
        <v>18404.2</v>
      </c>
      <c r="T35">
        <f t="shared" si="26"/>
        <v>0</v>
      </c>
      <c r="U35">
        <f t="shared" si="27"/>
        <v>64.64</v>
      </c>
      <c r="V35">
        <f t="shared" si="28"/>
        <v>0.72</v>
      </c>
      <c r="W35">
        <f t="shared" si="29"/>
        <v>0</v>
      </c>
      <c r="X35">
        <f t="shared" si="30"/>
        <v>17763.689999999999</v>
      </c>
      <c r="Y35">
        <f t="shared" si="31"/>
        <v>12154.1</v>
      </c>
      <c r="AA35">
        <v>36168115</v>
      </c>
      <c r="AB35">
        <f t="shared" si="32"/>
        <v>256.45</v>
      </c>
      <c r="AC35">
        <f t="shared" si="33"/>
        <v>64.62</v>
      </c>
      <c r="AD35">
        <f t="shared" si="34"/>
        <v>39.93</v>
      </c>
      <c r="AE35">
        <f t="shared" si="35"/>
        <v>2.4300000000000002</v>
      </c>
      <c r="AF35">
        <f t="shared" si="36"/>
        <v>151.9</v>
      </c>
      <c r="AG35">
        <f t="shared" si="37"/>
        <v>0</v>
      </c>
      <c r="AH35">
        <f t="shared" si="38"/>
        <v>16.16</v>
      </c>
      <c r="AI35">
        <f t="shared" si="39"/>
        <v>0.18</v>
      </c>
      <c r="AJ35">
        <f t="shared" si="40"/>
        <v>0</v>
      </c>
      <c r="AK35">
        <v>256.45</v>
      </c>
      <c r="AL35">
        <v>64.62</v>
      </c>
      <c r="AM35">
        <v>39.93</v>
      </c>
      <c r="AN35">
        <v>2.4300000000000002</v>
      </c>
      <c r="AO35">
        <v>151.9</v>
      </c>
      <c r="AP35">
        <v>0</v>
      </c>
      <c r="AQ35">
        <v>16.16</v>
      </c>
      <c r="AR35">
        <v>0.18</v>
      </c>
      <c r="AS35">
        <v>0</v>
      </c>
      <c r="AT35">
        <v>95</v>
      </c>
      <c r="AU35">
        <v>65</v>
      </c>
      <c r="AV35">
        <v>1</v>
      </c>
      <c r="AW35">
        <v>1</v>
      </c>
      <c r="AZ35">
        <v>1</v>
      </c>
      <c r="BA35">
        <v>30.29</v>
      </c>
      <c r="BB35">
        <v>8.77</v>
      </c>
      <c r="BC35">
        <v>5.19</v>
      </c>
      <c r="BD35" t="s">
        <v>3</v>
      </c>
      <c r="BE35" t="s">
        <v>3</v>
      </c>
      <c r="BF35" t="s">
        <v>3</v>
      </c>
      <c r="BG35" t="s">
        <v>3</v>
      </c>
      <c r="BH35">
        <v>0</v>
      </c>
      <c r="BI35">
        <v>2</v>
      </c>
      <c r="BJ35" t="s">
        <v>58</v>
      </c>
      <c r="BM35">
        <v>108001</v>
      </c>
      <c r="BN35">
        <v>0</v>
      </c>
      <c r="BO35" t="s">
        <v>55</v>
      </c>
      <c r="BP35">
        <v>1</v>
      </c>
      <c r="BQ35">
        <v>3</v>
      </c>
      <c r="BR35">
        <v>0</v>
      </c>
      <c r="BS35">
        <v>30.29</v>
      </c>
      <c r="BT35">
        <v>1</v>
      </c>
      <c r="BU35">
        <v>1</v>
      </c>
      <c r="BV35">
        <v>1</v>
      </c>
      <c r="BW35">
        <v>1</v>
      </c>
      <c r="BX35">
        <v>1</v>
      </c>
      <c r="BY35" t="s">
        <v>3</v>
      </c>
      <c r="BZ35">
        <v>95</v>
      </c>
      <c r="CA35">
        <v>65</v>
      </c>
      <c r="CE35">
        <v>0</v>
      </c>
      <c r="CF35">
        <v>0</v>
      </c>
      <c r="CG35">
        <v>0</v>
      </c>
      <c r="CM35">
        <v>0</v>
      </c>
      <c r="CN35" t="s">
        <v>3</v>
      </c>
      <c r="CO35">
        <v>0</v>
      </c>
      <c r="CP35">
        <f t="shared" si="41"/>
        <v>21146.45</v>
      </c>
      <c r="CQ35">
        <f t="shared" si="42"/>
        <v>335.37780000000004</v>
      </c>
      <c r="CR35">
        <f t="shared" si="43"/>
        <v>350.18609999999995</v>
      </c>
      <c r="CS35">
        <f t="shared" si="44"/>
        <v>73.604700000000008</v>
      </c>
      <c r="CT35">
        <f t="shared" si="45"/>
        <v>4601.0510000000004</v>
      </c>
      <c r="CU35">
        <f t="shared" si="46"/>
        <v>0</v>
      </c>
      <c r="CV35">
        <f t="shared" si="47"/>
        <v>16.16</v>
      </c>
      <c r="CW35">
        <f t="shared" si="48"/>
        <v>0.18</v>
      </c>
      <c r="CX35">
        <f t="shared" si="49"/>
        <v>0</v>
      </c>
      <c r="CY35">
        <f t="shared" si="50"/>
        <v>17763.688999999998</v>
      </c>
      <c r="CZ35">
        <f t="shared" si="51"/>
        <v>12154.103000000001</v>
      </c>
      <c r="DC35" t="s">
        <v>3</v>
      </c>
      <c r="DD35" t="s">
        <v>3</v>
      </c>
      <c r="DE35" t="s">
        <v>3</v>
      </c>
      <c r="DF35" t="s">
        <v>3</v>
      </c>
      <c r="DG35" t="s">
        <v>3</v>
      </c>
      <c r="DH35" t="s">
        <v>3</v>
      </c>
      <c r="DI35" t="s">
        <v>3</v>
      </c>
      <c r="DJ35" t="s">
        <v>3</v>
      </c>
      <c r="DK35" t="s">
        <v>3</v>
      </c>
      <c r="DL35" t="s">
        <v>3</v>
      </c>
      <c r="DM35" t="s">
        <v>3</v>
      </c>
      <c r="DN35">
        <v>0</v>
      </c>
      <c r="DO35">
        <v>0</v>
      </c>
      <c r="DP35">
        <v>1</v>
      </c>
      <c r="DQ35">
        <v>1</v>
      </c>
      <c r="DU35">
        <v>1013</v>
      </c>
      <c r="DV35" t="s">
        <v>57</v>
      </c>
      <c r="DW35" t="s">
        <v>57</v>
      </c>
      <c r="DX35">
        <v>1</v>
      </c>
      <c r="DZ35" t="s">
        <v>3</v>
      </c>
      <c r="EA35" t="s">
        <v>3</v>
      </c>
      <c r="EB35" t="s">
        <v>3</v>
      </c>
      <c r="EC35" t="s">
        <v>3</v>
      </c>
      <c r="EE35">
        <v>35525962</v>
      </c>
      <c r="EF35">
        <v>3</v>
      </c>
      <c r="EG35" t="s">
        <v>19</v>
      </c>
      <c r="EH35">
        <v>0</v>
      </c>
      <c r="EI35" t="s">
        <v>3</v>
      </c>
      <c r="EJ35">
        <v>2</v>
      </c>
      <c r="EK35">
        <v>108001</v>
      </c>
      <c r="EL35" t="s">
        <v>59</v>
      </c>
      <c r="EM35" t="s">
        <v>60</v>
      </c>
      <c r="EO35" t="s">
        <v>3</v>
      </c>
      <c r="EQ35">
        <v>0</v>
      </c>
      <c r="ER35">
        <v>256.45</v>
      </c>
      <c r="ES35">
        <v>64.62</v>
      </c>
      <c r="ET35">
        <v>39.93</v>
      </c>
      <c r="EU35">
        <v>2.4300000000000002</v>
      </c>
      <c r="EV35">
        <v>151.9</v>
      </c>
      <c r="EW35">
        <v>16.16</v>
      </c>
      <c r="EX35">
        <v>0.18</v>
      </c>
      <c r="EY35">
        <v>0</v>
      </c>
      <c r="FQ35">
        <v>0</v>
      </c>
      <c r="FR35">
        <f t="shared" si="52"/>
        <v>0</v>
      </c>
      <c r="FS35">
        <v>0</v>
      </c>
      <c r="FX35">
        <v>95</v>
      </c>
      <c r="FY35">
        <v>65</v>
      </c>
      <c r="GA35" t="s">
        <v>3</v>
      </c>
      <c r="GD35">
        <v>1</v>
      </c>
      <c r="GF35">
        <v>1418499886</v>
      </c>
      <c r="GG35">
        <v>2</v>
      </c>
      <c r="GH35">
        <v>1</v>
      </c>
      <c r="GI35">
        <v>2</v>
      </c>
      <c r="GJ35">
        <v>0</v>
      </c>
      <c r="GK35">
        <v>0</v>
      </c>
      <c r="GL35">
        <f t="shared" si="53"/>
        <v>0</v>
      </c>
      <c r="GM35">
        <f t="shared" si="54"/>
        <v>51064.24</v>
      </c>
      <c r="GN35">
        <f t="shared" si="55"/>
        <v>0</v>
      </c>
      <c r="GO35">
        <f t="shared" si="56"/>
        <v>51064.24</v>
      </c>
      <c r="GP35">
        <f t="shared" si="57"/>
        <v>0</v>
      </c>
      <c r="GR35">
        <v>0</v>
      </c>
      <c r="GS35">
        <v>3</v>
      </c>
      <c r="GT35">
        <v>0</v>
      </c>
      <c r="GU35" t="s">
        <v>3</v>
      </c>
      <c r="GV35">
        <f t="shared" si="58"/>
        <v>0</v>
      </c>
      <c r="GW35">
        <v>1</v>
      </c>
      <c r="GX35">
        <f t="shared" si="59"/>
        <v>0</v>
      </c>
      <c r="HA35">
        <v>0</v>
      </c>
      <c r="HB35">
        <v>0</v>
      </c>
      <c r="HC35">
        <f t="shared" si="60"/>
        <v>0</v>
      </c>
      <c r="HE35" t="s">
        <v>3</v>
      </c>
      <c r="HF35" t="s">
        <v>3</v>
      </c>
      <c r="IK35">
        <v>0</v>
      </c>
    </row>
    <row r="36" spans="1:245">
      <c r="A36">
        <v>17</v>
      </c>
      <c r="B36">
        <v>1</v>
      </c>
      <c r="E36" t="s">
        <v>61</v>
      </c>
      <c r="F36" t="s">
        <v>62</v>
      </c>
      <c r="G36" t="s">
        <v>63</v>
      </c>
      <c r="H36" t="s">
        <v>64</v>
      </c>
      <c r="I36">
        <f>ROUND(400/10,9)</f>
        <v>40</v>
      </c>
      <c r="J36">
        <v>0</v>
      </c>
      <c r="O36">
        <f t="shared" si="21"/>
        <v>3213.28</v>
      </c>
      <c r="P36">
        <f t="shared" si="22"/>
        <v>3213.28</v>
      </c>
      <c r="Q36">
        <f t="shared" si="23"/>
        <v>0</v>
      </c>
      <c r="R36">
        <f t="shared" si="24"/>
        <v>0</v>
      </c>
      <c r="S36">
        <f t="shared" si="25"/>
        <v>0</v>
      </c>
      <c r="T36">
        <f t="shared" si="26"/>
        <v>0</v>
      </c>
      <c r="U36">
        <f t="shared" si="27"/>
        <v>0</v>
      </c>
      <c r="V36">
        <f t="shared" si="28"/>
        <v>0</v>
      </c>
      <c r="W36">
        <f t="shared" si="29"/>
        <v>40.4</v>
      </c>
      <c r="X36">
        <f t="shared" si="30"/>
        <v>0</v>
      </c>
      <c r="Y36">
        <f t="shared" si="31"/>
        <v>0</v>
      </c>
      <c r="AA36">
        <v>36168115</v>
      </c>
      <c r="AB36">
        <f t="shared" si="32"/>
        <v>22.13</v>
      </c>
      <c r="AC36">
        <f t="shared" si="33"/>
        <v>22.13</v>
      </c>
      <c r="AD36">
        <f t="shared" si="34"/>
        <v>0</v>
      </c>
      <c r="AE36">
        <f t="shared" si="35"/>
        <v>0</v>
      </c>
      <c r="AF36">
        <f t="shared" si="36"/>
        <v>0</v>
      </c>
      <c r="AG36">
        <f t="shared" si="37"/>
        <v>0</v>
      </c>
      <c r="AH36">
        <f t="shared" si="38"/>
        <v>0</v>
      </c>
      <c r="AI36">
        <f t="shared" si="39"/>
        <v>0</v>
      </c>
      <c r="AJ36">
        <f t="shared" si="40"/>
        <v>1.01</v>
      </c>
      <c r="AK36">
        <v>22.13</v>
      </c>
      <c r="AL36">
        <v>22.13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1.01</v>
      </c>
      <c r="AT36">
        <v>0</v>
      </c>
      <c r="AU36">
        <v>0</v>
      </c>
      <c r="AV36">
        <v>1</v>
      </c>
      <c r="AW36">
        <v>1</v>
      </c>
      <c r="AZ36">
        <v>1</v>
      </c>
      <c r="BA36">
        <v>1</v>
      </c>
      <c r="BB36">
        <v>1</v>
      </c>
      <c r="BC36">
        <v>3.63</v>
      </c>
      <c r="BD36" t="s">
        <v>3</v>
      </c>
      <c r="BE36" t="s">
        <v>3</v>
      </c>
      <c r="BF36" t="s">
        <v>3</v>
      </c>
      <c r="BG36" t="s">
        <v>3</v>
      </c>
      <c r="BH36">
        <v>3</v>
      </c>
      <c r="BI36">
        <v>1</v>
      </c>
      <c r="BJ36" t="s">
        <v>65</v>
      </c>
      <c r="BM36">
        <v>500001</v>
      </c>
      <c r="BN36">
        <v>0</v>
      </c>
      <c r="BO36" t="s">
        <v>62</v>
      </c>
      <c r="BP36">
        <v>1</v>
      </c>
      <c r="BQ36">
        <v>8</v>
      </c>
      <c r="BR36">
        <v>0</v>
      </c>
      <c r="BS36">
        <v>1</v>
      </c>
      <c r="BT36">
        <v>1</v>
      </c>
      <c r="BU36">
        <v>1</v>
      </c>
      <c r="BV36">
        <v>1</v>
      </c>
      <c r="BW36">
        <v>1</v>
      </c>
      <c r="BX36">
        <v>1</v>
      </c>
      <c r="BY36" t="s">
        <v>3</v>
      </c>
      <c r="BZ36">
        <v>0</v>
      </c>
      <c r="CA36">
        <v>0</v>
      </c>
      <c r="CE36">
        <v>0</v>
      </c>
      <c r="CF36">
        <v>0</v>
      </c>
      <c r="CG36">
        <v>0</v>
      </c>
      <c r="CM36">
        <v>0</v>
      </c>
      <c r="CN36" t="s">
        <v>3</v>
      </c>
      <c r="CO36">
        <v>0</v>
      </c>
      <c r="CP36">
        <f t="shared" si="41"/>
        <v>3213.28</v>
      </c>
      <c r="CQ36">
        <f t="shared" si="42"/>
        <v>80.33189999999999</v>
      </c>
      <c r="CR36">
        <f t="shared" si="43"/>
        <v>0</v>
      </c>
      <c r="CS36">
        <f t="shared" si="44"/>
        <v>0</v>
      </c>
      <c r="CT36">
        <f t="shared" si="45"/>
        <v>0</v>
      </c>
      <c r="CU36">
        <f t="shared" si="46"/>
        <v>0</v>
      </c>
      <c r="CV36">
        <f t="shared" si="47"/>
        <v>0</v>
      </c>
      <c r="CW36">
        <f t="shared" si="48"/>
        <v>0</v>
      </c>
      <c r="CX36">
        <f t="shared" si="49"/>
        <v>1.01</v>
      </c>
      <c r="CY36">
        <f t="shared" si="50"/>
        <v>0</v>
      </c>
      <c r="CZ36">
        <f t="shared" si="51"/>
        <v>0</v>
      </c>
      <c r="DC36" t="s">
        <v>3</v>
      </c>
      <c r="DD36" t="s">
        <v>3</v>
      </c>
      <c r="DE36" t="s">
        <v>3</v>
      </c>
      <c r="DF36" t="s">
        <v>3</v>
      </c>
      <c r="DG36" t="s">
        <v>3</v>
      </c>
      <c r="DH36" t="s">
        <v>3</v>
      </c>
      <c r="DI36" t="s">
        <v>3</v>
      </c>
      <c r="DJ36" t="s">
        <v>3</v>
      </c>
      <c r="DK36" t="s">
        <v>3</v>
      </c>
      <c r="DL36" t="s">
        <v>3</v>
      </c>
      <c r="DM36" t="s">
        <v>3</v>
      </c>
      <c r="DN36">
        <v>0</v>
      </c>
      <c r="DO36">
        <v>0</v>
      </c>
      <c r="DP36">
        <v>1</v>
      </c>
      <c r="DQ36">
        <v>1</v>
      </c>
      <c r="DU36">
        <v>1003</v>
      </c>
      <c r="DV36" t="s">
        <v>64</v>
      </c>
      <c r="DW36" t="s">
        <v>64</v>
      </c>
      <c r="DX36">
        <v>10</v>
      </c>
      <c r="DZ36" t="s">
        <v>3</v>
      </c>
      <c r="EA36" t="s">
        <v>3</v>
      </c>
      <c r="EB36" t="s">
        <v>3</v>
      </c>
      <c r="EC36" t="s">
        <v>3</v>
      </c>
      <c r="EE36">
        <v>35526012</v>
      </c>
      <c r="EF36">
        <v>8</v>
      </c>
      <c r="EG36" t="s">
        <v>66</v>
      </c>
      <c r="EH36">
        <v>0</v>
      </c>
      <c r="EI36" t="s">
        <v>3</v>
      </c>
      <c r="EJ36">
        <v>1</v>
      </c>
      <c r="EK36">
        <v>500001</v>
      </c>
      <c r="EL36" t="s">
        <v>67</v>
      </c>
      <c r="EM36" t="s">
        <v>68</v>
      </c>
      <c r="EO36" t="s">
        <v>3</v>
      </c>
      <c r="EQ36">
        <v>0</v>
      </c>
      <c r="ER36">
        <v>22.13</v>
      </c>
      <c r="ES36">
        <v>22.13</v>
      </c>
      <c r="ET36">
        <v>0</v>
      </c>
      <c r="EU36">
        <v>0</v>
      </c>
      <c r="EV36">
        <v>0</v>
      </c>
      <c r="EW36">
        <v>0</v>
      </c>
      <c r="EX36">
        <v>0</v>
      </c>
      <c r="EY36">
        <v>0</v>
      </c>
      <c r="FQ36">
        <v>0</v>
      </c>
      <c r="FR36">
        <f t="shared" si="52"/>
        <v>0</v>
      </c>
      <c r="FS36">
        <v>0</v>
      </c>
      <c r="FX36">
        <v>0</v>
      </c>
      <c r="FY36">
        <v>0</v>
      </c>
      <c r="GA36" t="s">
        <v>3</v>
      </c>
      <c r="GD36">
        <v>1</v>
      </c>
      <c r="GF36">
        <v>-1004436641</v>
      </c>
      <c r="GG36">
        <v>2</v>
      </c>
      <c r="GH36">
        <v>1</v>
      </c>
      <c r="GI36">
        <v>2</v>
      </c>
      <c r="GJ36">
        <v>0</v>
      </c>
      <c r="GK36">
        <v>0</v>
      </c>
      <c r="GL36">
        <f t="shared" si="53"/>
        <v>0</v>
      </c>
      <c r="GM36">
        <f t="shared" si="54"/>
        <v>3213.28</v>
      </c>
      <c r="GN36">
        <f t="shared" si="55"/>
        <v>3213.28</v>
      </c>
      <c r="GO36">
        <f t="shared" si="56"/>
        <v>0</v>
      </c>
      <c r="GP36">
        <f t="shared" si="57"/>
        <v>0</v>
      </c>
      <c r="GR36">
        <v>0</v>
      </c>
      <c r="GS36">
        <v>3</v>
      </c>
      <c r="GT36">
        <v>0</v>
      </c>
      <c r="GU36" t="s">
        <v>3</v>
      </c>
      <c r="GV36">
        <f t="shared" si="58"/>
        <v>0</v>
      </c>
      <c r="GW36">
        <v>1</v>
      </c>
      <c r="GX36">
        <f t="shared" si="59"/>
        <v>0</v>
      </c>
      <c r="HA36">
        <v>0</v>
      </c>
      <c r="HB36">
        <v>0</v>
      </c>
      <c r="HC36">
        <f t="shared" si="60"/>
        <v>0</v>
      </c>
      <c r="HE36" t="s">
        <v>3</v>
      </c>
      <c r="HF36" t="s">
        <v>3</v>
      </c>
      <c r="IK36">
        <v>0</v>
      </c>
    </row>
    <row r="37" spans="1:245">
      <c r="A37">
        <v>17</v>
      </c>
      <c r="B37">
        <v>1</v>
      </c>
      <c r="E37" t="s">
        <v>69</v>
      </c>
      <c r="F37" t="s">
        <v>70</v>
      </c>
      <c r="G37" t="s">
        <v>71</v>
      </c>
      <c r="H37" t="s">
        <v>72</v>
      </c>
      <c r="I37">
        <f>ROUND(4.1/100,9)</f>
        <v>4.1000000000000002E-2</v>
      </c>
      <c r="J37">
        <v>0</v>
      </c>
      <c r="O37">
        <f t="shared" si="21"/>
        <v>9.3800000000000008</v>
      </c>
      <c r="P37">
        <f t="shared" si="22"/>
        <v>9.3800000000000008</v>
      </c>
      <c r="Q37">
        <f t="shared" si="23"/>
        <v>0</v>
      </c>
      <c r="R37">
        <f t="shared" si="24"/>
        <v>0</v>
      </c>
      <c r="S37">
        <f t="shared" si="25"/>
        <v>0</v>
      </c>
      <c r="T37">
        <f t="shared" si="26"/>
        <v>0</v>
      </c>
      <c r="U37">
        <f t="shared" si="27"/>
        <v>0</v>
      </c>
      <c r="V37">
        <f t="shared" si="28"/>
        <v>0</v>
      </c>
      <c r="W37">
        <f t="shared" si="29"/>
        <v>0</v>
      </c>
      <c r="X37">
        <f t="shared" si="30"/>
        <v>0</v>
      </c>
      <c r="Y37">
        <f t="shared" si="31"/>
        <v>0</v>
      </c>
      <c r="AA37">
        <v>36168115</v>
      </c>
      <c r="AB37">
        <f t="shared" si="32"/>
        <v>228.74</v>
      </c>
      <c r="AC37">
        <f t="shared" si="33"/>
        <v>228.74</v>
      </c>
      <c r="AD37">
        <f t="shared" si="34"/>
        <v>0</v>
      </c>
      <c r="AE37">
        <f t="shared" si="35"/>
        <v>0</v>
      </c>
      <c r="AF37">
        <f t="shared" si="36"/>
        <v>0</v>
      </c>
      <c r="AG37">
        <f t="shared" si="37"/>
        <v>0</v>
      </c>
      <c r="AH37">
        <f t="shared" si="38"/>
        <v>0</v>
      </c>
      <c r="AI37">
        <f t="shared" si="39"/>
        <v>0</v>
      </c>
      <c r="AJ37">
        <f t="shared" si="40"/>
        <v>0</v>
      </c>
      <c r="AK37">
        <v>228.74</v>
      </c>
      <c r="AL37">
        <v>228.74</v>
      </c>
      <c r="AM37">
        <v>0</v>
      </c>
      <c r="AN37">
        <v>0</v>
      </c>
      <c r="AO37">
        <v>0</v>
      </c>
      <c r="AP37">
        <v>0</v>
      </c>
      <c r="AQ37">
        <v>0</v>
      </c>
      <c r="AR37">
        <v>0</v>
      </c>
      <c r="AS37">
        <v>0</v>
      </c>
      <c r="AT37">
        <v>0</v>
      </c>
      <c r="AU37">
        <v>0</v>
      </c>
      <c r="AV37">
        <v>1</v>
      </c>
      <c r="AW37">
        <v>1</v>
      </c>
      <c r="AZ37">
        <v>1</v>
      </c>
      <c r="BA37">
        <v>1</v>
      </c>
      <c r="BB37">
        <v>1</v>
      </c>
      <c r="BC37">
        <v>1</v>
      </c>
      <c r="BD37" t="s">
        <v>3</v>
      </c>
      <c r="BE37" t="s">
        <v>3</v>
      </c>
      <c r="BF37" t="s">
        <v>3</v>
      </c>
      <c r="BG37" t="s">
        <v>3</v>
      </c>
      <c r="BH37">
        <v>3</v>
      </c>
      <c r="BI37">
        <v>2</v>
      </c>
      <c r="BJ37" t="s">
        <v>73</v>
      </c>
      <c r="BM37">
        <v>500002</v>
      </c>
      <c r="BN37">
        <v>0</v>
      </c>
      <c r="BO37" t="s">
        <v>3</v>
      </c>
      <c r="BP37">
        <v>0</v>
      </c>
      <c r="BQ37">
        <v>12</v>
      </c>
      <c r="BR37">
        <v>0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 t="s">
        <v>3</v>
      </c>
      <c r="BZ37">
        <v>0</v>
      </c>
      <c r="CA37">
        <v>0</v>
      </c>
      <c r="CE37">
        <v>0</v>
      </c>
      <c r="CF37">
        <v>0</v>
      </c>
      <c r="CG37">
        <v>0</v>
      </c>
      <c r="CM37">
        <v>0</v>
      </c>
      <c r="CN37" t="s">
        <v>3</v>
      </c>
      <c r="CO37">
        <v>0</v>
      </c>
      <c r="CP37">
        <f t="shared" si="41"/>
        <v>9.3800000000000008</v>
      </c>
      <c r="CQ37">
        <f t="shared" si="42"/>
        <v>228.74</v>
      </c>
      <c r="CR37">
        <f t="shared" si="43"/>
        <v>0</v>
      </c>
      <c r="CS37">
        <f t="shared" si="44"/>
        <v>0</v>
      </c>
      <c r="CT37">
        <f t="shared" si="45"/>
        <v>0</v>
      </c>
      <c r="CU37">
        <f t="shared" si="46"/>
        <v>0</v>
      </c>
      <c r="CV37">
        <f t="shared" si="47"/>
        <v>0</v>
      </c>
      <c r="CW37">
        <f t="shared" si="48"/>
        <v>0</v>
      </c>
      <c r="CX37">
        <f t="shared" si="49"/>
        <v>0</v>
      </c>
      <c r="CY37">
        <f t="shared" si="50"/>
        <v>0</v>
      </c>
      <c r="CZ37">
        <f t="shared" si="51"/>
        <v>0</v>
      </c>
      <c r="DC37" t="s">
        <v>3</v>
      </c>
      <c r="DD37" t="s">
        <v>3</v>
      </c>
      <c r="DE37" t="s">
        <v>3</v>
      </c>
      <c r="DF37" t="s">
        <v>3</v>
      </c>
      <c r="DG37" t="s">
        <v>3</v>
      </c>
      <c r="DH37" t="s">
        <v>3</v>
      </c>
      <c r="DI37" t="s">
        <v>3</v>
      </c>
      <c r="DJ37" t="s">
        <v>3</v>
      </c>
      <c r="DK37" t="s">
        <v>3</v>
      </c>
      <c r="DL37" t="s">
        <v>3</v>
      </c>
      <c r="DM37" t="s">
        <v>3</v>
      </c>
      <c r="DN37">
        <v>0</v>
      </c>
      <c r="DO37">
        <v>0</v>
      </c>
      <c r="DP37">
        <v>1</v>
      </c>
      <c r="DQ37">
        <v>1</v>
      </c>
      <c r="DU37">
        <v>1010</v>
      </c>
      <c r="DV37" t="s">
        <v>72</v>
      </c>
      <c r="DW37" t="s">
        <v>72</v>
      </c>
      <c r="DX37">
        <v>100</v>
      </c>
      <c r="DZ37" t="s">
        <v>3</v>
      </c>
      <c r="EA37" t="s">
        <v>3</v>
      </c>
      <c r="EB37" t="s">
        <v>3</v>
      </c>
      <c r="EC37" t="s">
        <v>3</v>
      </c>
      <c r="EE37">
        <v>35526013</v>
      </c>
      <c r="EF37">
        <v>12</v>
      </c>
      <c r="EG37" t="s">
        <v>42</v>
      </c>
      <c r="EH37">
        <v>0</v>
      </c>
      <c r="EI37" t="s">
        <v>3</v>
      </c>
      <c r="EJ37">
        <v>2</v>
      </c>
      <c r="EK37">
        <v>500002</v>
      </c>
      <c r="EL37" t="s">
        <v>43</v>
      </c>
      <c r="EM37" t="s">
        <v>44</v>
      </c>
      <c r="EO37" t="s">
        <v>3</v>
      </c>
      <c r="EQ37">
        <v>0</v>
      </c>
      <c r="ER37">
        <v>228.74</v>
      </c>
      <c r="ES37">
        <v>228.74</v>
      </c>
      <c r="ET37">
        <v>0</v>
      </c>
      <c r="EU37">
        <v>0</v>
      </c>
      <c r="EV37">
        <v>0</v>
      </c>
      <c r="EW37">
        <v>0</v>
      </c>
      <c r="EX37">
        <v>0</v>
      </c>
      <c r="EY37">
        <v>0</v>
      </c>
      <c r="FQ37">
        <v>0</v>
      </c>
      <c r="FR37">
        <f t="shared" si="52"/>
        <v>0</v>
      </c>
      <c r="FS37">
        <v>0</v>
      </c>
      <c r="FX37">
        <v>0</v>
      </c>
      <c r="FY37">
        <v>0</v>
      </c>
      <c r="GA37" t="s">
        <v>74</v>
      </c>
      <c r="GD37">
        <v>1</v>
      </c>
      <c r="GE37">
        <v>228.74</v>
      </c>
      <c r="GF37">
        <v>-1844712007</v>
      </c>
      <c r="GG37">
        <v>2</v>
      </c>
      <c r="GH37">
        <v>1</v>
      </c>
      <c r="GI37">
        <v>-2</v>
      </c>
      <c r="GJ37">
        <v>0</v>
      </c>
      <c r="GK37">
        <v>0</v>
      </c>
      <c r="GL37">
        <f t="shared" si="53"/>
        <v>0</v>
      </c>
      <c r="GM37">
        <f t="shared" si="54"/>
        <v>9.3800000000000008</v>
      </c>
      <c r="GN37">
        <f t="shared" si="55"/>
        <v>0</v>
      </c>
      <c r="GO37">
        <f t="shared" si="56"/>
        <v>9.3800000000000008</v>
      </c>
      <c r="GP37">
        <f t="shared" si="57"/>
        <v>0</v>
      </c>
      <c r="GR37">
        <v>3</v>
      </c>
      <c r="GS37">
        <v>5</v>
      </c>
      <c r="GT37">
        <v>0</v>
      </c>
      <c r="GU37" t="s">
        <v>3</v>
      </c>
      <c r="GV37">
        <f t="shared" si="58"/>
        <v>0</v>
      </c>
      <c r="GW37">
        <v>1</v>
      </c>
      <c r="GX37">
        <f t="shared" si="59"/>
        <v>0</v>
      </c>
      <c r="HA37">
        <v>0</v>
      </c>
      <c r="HB37">
        <v>0</v>
      </c>
      <c r="HC37">
        <f t="shared" si="60"/>
        <v>0</v>
      </c>
      <c r="HE37" t="s">
        <v>3</v>
      </c>
      <c r="HF37" t="s">
        <v>3</v>
      </c>
      <c r="IK37">
        <v>0</v>
      </c>
    </row>
    <row r="38" spans="1:245">
      <c r="A38">
        <v>17</v>
      </c>
      <c r="B38">
        <v>1</v>
      </c>
      <c r="E38" t="s">
        <v>75</v>
      </c>
      <c r="F38" t="s">
        <v>76</v>
      </c>
      <c r="G38" t="s">
        <v>77</v>
      </c>
      <c r="H38" t="s">
        <v>78</v>
      </c>
      <c r="I38">
        <v>400</v>
      </c>
      <c r="J38">
        <v>0</v>
      </c>
      <c r="O38">
        <f t="shared" si="21"/>
        <v>14536</v>
      </c>
      <c r="P38">
        <f t="shared" si="22"/>
        <v>14536</v>
      </c>
      <c r="Q38">
        <f t="shared" si="23"/>
        <v>0</v>
      </c>
      <c r="R38">
        <f t="shared" si="24"/>
        <v>0</v>
      </c>
      <c r="S38">
        <f t="shared" si="25"/>
        <v>0</v>
      </c>
      <c r="T38">
        <f t="shared" si="26"/>
        <v>0</v>
      </c>
      <c r="U38">
        <f t="shared" si="27"/>
        <v>0</v>
      </c>
      <c r="V38">
        <f t="shared" si="28"/>
        <v>0</v>
      </c>
      <c r="W38">
        <f t="shared" si="29"/>
        <v>0</v>
      </c>
      <c r="X38">
        <f t="shared" si="30"/>
        <v>0</v>
      </c>
      <c r="Y38">
        <f t="shared" si="31"/>
        <v>0</v>
      </c>
      <c r="AA38">
        <v>36168115</v>
      </c>
      <c r="AB38">
        <f t="shared" si="32"/>
        <v>36.340000000000003</v>
      </c>
      <c r="AC38">
        <f t="shared" si="33"/>
        <v>36.340000000000003</v>
      </c>
      <c r="AD38">
        <f t="shared" si="34"/>
        <v>0</v>
      </c>
      <c r="AE38">
        <f t="shared" si="35"/>
        <v>0</v>
      </c>
      <c r="AF38">
        <f t="shared" si="36"/>
        <v>0</v>
      </c>
      <c r="AG38">
        <f t="shared" si="37"/>
        <v>0</v>
      </c>
      <c r="AH38">
        <f t="shared" si="38"/>
        <v>0</v>
      </c>
      <c r="AI38">
        <f t="shared" si="39"/>
        <v>0</v>
      </c>
      <c r="AJ38">
        <f t="shared" si="40"/>
        <v>0</v>
      </c>
      <c r="AK38">
        <v>36.340000000000003</v>
      </c>
      <c r="AL38">
        <v>36.340000000000003</v>
      </c>
      <c r="AM38">
        <v>0</v>
      </c>
      <c r="AN38">
        <v>0</v>
      </c>
      <c r="AO38">
        <v>0</v>
      </c>
      <c r="AP38">
        <v>0</v>
      </c>
      <c r="AQ38">
        <v>0</v>
      </c>
      <c r="AR38">
        <v>0</v>
      </c>
      <c r="AS38">
        <v>0</v>
      </c>
      <c r="AT38">
        <v>0</v>
      </c>
      <c r="AU38">
        <v>0</v>
      </c>
      <c r="AV38">
        <v>1</v>
      </c>
      <c r="AW38">
        <v>1</v>
      </c>
      <c r="AZ38">
        <v>1</v>
      </c>
      <c r="BA38">
        <v>1</v>
      </c>
      <c r="BB38">
        <v>1</v>
      </c>
      <c r="BC38">
        <v>1</v>
      </c>
      <c r="BD38" t="s">
        <v>3</v>
      </c>
      <c r="BE38" t="s">
        <v>3</v>
      </c>
      <c r="BF38" t="s">
        <v>3</v>
      </c>
      <c r="BG38" t="s">
        <v>3</v>
      </c>
      <c r="BH38">
        <v>3</v>
      </c>
      <c r="BI38">
        <v>2</v>
      </c>
      <c r="BJ38" t="s">
        <v>79</v>
      </c>
      <c r="BM38">
        <v>500002</v>
      </c>
      <c r="BN38">
        <v>0</v>
      </c>
      <c r="BO38" t="s">
        <v>3</v>
      </c>
      <c r="BP38">
        <v>0</v>
      </c>
      <c r="BQ38">
        <v>12</v>
      </c>
      <c r="BR38">
        <v>0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 t="s">
        <v>3</v>
      </c>
      <c r="BZ38">
        <v>0</v>
      </c>
      <c r="CA38">
        <v>0</v>
      </c>
      <c r="CE38">
        <v>0</v>
      </c>
      <c r="CF38">
        <v>0</v>
      </c>
      <c r="CG38">
        <v>0</v>
      </c>
      <c r="CM38">
        <v>0</v>
      </c>
      <c r="CN38" t="s">
        <v>3</v>
      </c>
      <c r="CO38">
        <v>0</v>
      </c>
      <c r="CP38">
        <f t="shared" si="41"/>
        <v>14536</v>
      </c>
      <c r="CQ38">
        <f t="shared" si="42"/>
        <v>36.340000000000003</v>
      </c>
      <c r="CR38">
        <f t="shared" si="43"/>
        <v>0</v>
      </c>
      <c r="CS38">
        <f t="shared" si="44"/>
        <v>0</v>
      </c>
      <c r="CT38">
        <f t="shared" si="45"/>
        <v>0</v>
      </c>
      <c r="CU38">
        <f t="shared" si="46"/>
        <v>0</v>
      </c>
      <c r="CV38">
        <f t="shared" si="47"/>
        <v>0</v>
      </c>
      <c r="CW38">
        <f t="shared" si="48"/>
        <v>0</v>
      </c>
      <c r="CX38">
        <f t="shared" si="49"/>
        <v>0</v>
      </c>
      <c r="CY38">
        <f t="shared" si="50"/>
        <v>0</v>
      </c>
      <c r="CZ38">
        <f t="shared" si="51"/>
        <v>0</v>
      </c>
      <c r="DC38" t="s">
        <v>3</v>
      </c>
      <c r="DD38" t="s">
        <v>3</v>
      </c>
      <c r="DE38" t="s">
        <v>3</v>
      </c>
      <c r="DF38" t="s">
        <v>3</v>
      </c>
      <c r="DG38" t="s">
        <v>3</v>
      </c>
      <c r="DH38" t="s">
        <v>3</v>
      </c>
      <c r="DI38" t="s">
        <v>3</v>
      </c>
      <c r="DJ38" t="s">
        <v>3</v>
      </c>
      <c r="DK38" t="s">
        <v>3</v>
      </c>
      <c r="DL38" t="s">
        <v>3</v>
      </c>
      <c r="DM38" t="s">
        <v>3</v>
      </c>
      <c r="DN38">
        <v>0</v>
      </c>
      <c r="DO38">
        <v>0</v>
      </c>
      <c r="DP38">
        <v>1</v>
      </c>
      <c r="DQ38">
        <v>1</v>
      </c>
      <c r="DU38">
        <v>1003</v>
      </c>
      <c r="DV38" t="s">
        <v>78</v>
      </c>
      <c r="DW38" t="s">
        <v>78</v>
      </c>
      <c r="DX38">
        <v>1</v>
      </c>
      <c r="DZ38" t="s">
        <v>3</v>
      </c>
      <c r="EA38" t="s">
        <v>3</v>
      </c>
      <c r="EB38" t="s">
        <v>3</v>
      </c>
      <c r="EC38" t="s">
        <v>3</v>
      </c>
      <c r="EE38">
        <v>35526013</v>
      </c>
      <c r="EF38">
        <v>12</v>
      </c>
      <c r="EG38" t="s">
        <v>42</v>
      </c>
      <c r="EH38">
        <v>0</v>
      </c>
      <c r="EI38" t="s">
        <v>3</v>
      </c>
      <c r="EJ38">
        <v>2</v>
      </c>
      <c r="EK38">
        <v>500002</v>
      </c>
      <c r="EL38" t="s">
        <v>43</v>
      </c>
      <c r="EM38" t="s">
        <v>44</v>
      </c>
      <c r="EO38" t="s">
        <v>3</v>
      </c>
      <c r="EQ38">
        <v>0</v>
      </c>
      <c r="ER38">
        <v>36.340000000000003</v>
      </c>
      <c r="ES38">
        <v>36.340000000000003</v>
      </c>
      <c r="ET38">
        <v>0</v>
      </c>
      <c r="EU38">
        <v>0</v>
      </c>
      <c r="EV38">
        <v>0</v>
      </c>
      <c r="EW38">
        <v>0</v>
      </c>
      <c r="EX38">
        <v>0</v>
      </c>
      <c r="EY38">
        <v>0</v>
      </c>
      <c r="FQ38">
        <v>0</v>
      </c>
      <c r="FR38">
        <f t="shared" si="52"/>
        <v>0</v>
      </c>
      <c r="FS38">
        <v>0</v>
      </c>
      <c r="FX38">
        <v>0</v>
      </c>
      <c r="FY38">
        <v>0</v>
      </c>
      <c r="GA38" t="s">
        <v>80</v>
      </c>
      <c r="GD38">
        <v>1</v>
      </c>
      <c r="GE38">
        <v>36.340000000000003</v>
      </c>
      <c r="GF38">
        <v>52476646</v>
      </c>
      <c r="GG38">
        <v>2</v>
      </c>
      <c r="GH38">
        <v>1</v>
      </c>
      <c r="GI38">
        <v>-2</v>
      </c>
      <c r="GJ38">
        <v>0</v>
      </c>
      <c r="GK38">
        <v>0</v>
      </c>
      <c r="GL38">
        <f t="shared" si="53"/>
        <v>0</v>
      </c>
      <c r="GM38">
        <f t="shared" si="54"/>
        <v>14536</v>
      </c>
      <c r="GN38">
        <f t="shared" si="55"/>
        <v>0</v>
      </c>
      <c r="GO38">
        <f t="shared" si="56"/>
        <v>14536</v>
      </c>
      <c r="GP38">
        <f t="shared" si="57"/>
        <v>0</v>
      </c>
      <c r="GR38">
        <v>3</v>
      </c>
      <c r="GS38">
        <v>5</v>
      </c>
      <c r="GT38">
        <v>0</v>
      </c>
      <c r="GU38" t="s">
        <v>3</v>
      </c>
      <c r="GV38">
        <f t="shared" si="58"/>
        <v>0</v>
      </c>
      <c r="GW38">
        <v>1</v>
      </c>
      <c r="GX38">
        <f t="shared" si="59"/>
        <v>0</v>
      </c>
      <c r="HA38">
        <v>0</v>
      </c>
      <c r="HB38">
        <v>0</v>
      </c>
      <c r="HC38">
        <f t="shared" si="60"/>
        <v>0</v>
      </c>
      <c r="HE38" t="s">
        <v>3</v>
      </c>
      <c r="HF38" t="s">
        <v>3</v>
      </c>
      <c r="IK38">
        <v>0</v>
      </c>
    </row>
    <row r="40" spans="1:245">
      <c r="A40" s="2">
        <v>51</v>
      </c>
      <c r="B40" s="2">
        <f>B24</f>
        <v>1</v>
      </c>
      <c r="C40" s="2">
        <f>A24</f>
        <v>4</v>
      </c>
      <c r="D40" s="2">
        <f>ROW(A24)</f>
        <v>24</v>
      </c>
      <c r="E40" s="2"/>
      <c r="F40" s="2" t="str">
        <f>IF(F24&lt;&gt;"",F24,"")</f>
        <v>Новый раздел</v>
      </c>
      <c r="G40" s="2" t="str">
        <f>IF(G24&lt;&gt;"",G24,"")</f>
        <v>монтажные работы</v>
      </c>
      <c r="H40" s="2">
        <v>0</v>
      </c>
      <c r="I40" s="2"/>
      <c r="J40" s="2"/>
      <c r="K40" s="2"/>
      <c r="L40" s="2"/>
      <c r="M40" s="2"/>
      <c r="N40" s="2"/>
      <c r="O40" s="2">
        <f t="shared" ref="O40:T40" si="61">ROUND(AB40,2)</f>
        <v>96001.85</v>
      </c>
      <c r="P40" s="2">
        <f t="shared" si="61"/>
        <v>64239.13</v>
      </c>
      <c r="Q40" s="2">
        <f t="shared" si="61"/>
        <v>1485.45</v>
      </c>
      <c r="R40" s="2">
        <f t="shared" si="61"/>
        <v>294.42</v>
      </c>
      <c r="S40" s="2">
        <f t="shared" si="61"/>
        <v>30277.27</v>
      </c>
      <c r="T40" s="2">
        <f t="shared" si="61"/>
        <v>0</v>
      </c>
      <c r="U40" s="2">
        <f>AH40</f>
        <v>100.55000000000001</v>
      </c>
      <c r="V40" s="2">
        <f>AI40</f>
        <v>0.72</v>
      </c>
      <c r="W40" s="2">
        <f>ROUND(AJ40,2)</f>
        <v>1183.43</v>
      </c>
      <c r="X40" s="2">
        <f>ROUND(AK40,2)</f>
        <v>27262.15</v>
      </c>
      <c r="Y40" s="2">
        <f>ROUND(AL40,2)</f>
        <v>19277.939999999999</v>
      </c>
      <c r="Z40" s="2"/>
      <c r="AA40" s="2"/>
      <c r="AB40" s="2">
        <f>ROUND(SUMIF(AA28:AA38,"=36168115",O28:O38),2)</f>
        <v>96001.85</v>
      </c>
      <c r="AC40" s="2">
        <f>ROUND(SUMIF(AA28:AA38,"=36168115",P28:P38),2)</f>
        <v>64239.13</v>
      </c>
      <c r="AD40" s="2">
        <f>ROUND(SUMIF(AA28:AA38,"=36168115",Q28:Q38),2)</f>
        <v>1485.45</v>
      </c>
      <c r="AE40" s="2">
        <f>ROUND(SUMIF(AA28:AA38,"=36168115",R28:R38),2)</f>
        <v>294.42</v>
      </c>
      <c r="AF40" s="2">
        <f>ROUND(SUMIF(AA28:AA38,"=36168115",S28:S38),2)</f>
        <v>30277.27</v>
      </c>
      <c r="AG40" s="2">
        <f>ROUND(SUMIF(AA28:AA38,"=36168115",T28:T38),2)</f>
        <v>0</v>
      </c>
      <c r="AH40" s="2">
        <f>SUMIF(AA28:AA38,"=36168115",U28:U38)</f>
        <v>100.55000000000001</v>
      </c>
      <c r="AI40" s="2">
        <f>SUMIF(AA28:AA38,"=36168115",V28:V38)</f>
        <v>0.72</v>
      </c>
      <c r="AJ40" s="2">
        <f>ROUND(SUMIF(AA28:AA38,"=36168115",W28:W38),2)</f>
        <v>1183.43</v>
      </c>
      <c r="AK40" s="2">
        <f>ROUND(SUMIF(AA28:AA38,"=36168115",X28:X38),2)</f>
        <v>27262.15</v>
      </c>
      <c r="AL40" s="2">
        <f>ROUND(SUMIF(AA28:AA38,"=36168115",Y28:Y38),2)</f>
        <v>19277.939999999999</v>
      </c>
      <c r="AM40" s="2"/>
      <c r="AN40" s="2"/>
      <c r="AO40" s="2">
        <f t="shared" ref="AO40:BD40" si="62">ROUND(BX40,2)</f>
        <v>0</v>
      </c>
      <c r="AP40" s="2">
        <f t="shared" si="62"/>
        <v>0</v>
      </c>
      <c r="AQ40" s="2">
        <f t="shared" si="62"/>
        <v>0</v>
      </c>
      <c r="AR40" s="2">
        <f t="shared" si="62"/>
        <v>142541.94</v>
      </c>
      <c r="AS40" s="2">
        <f t="shared" si="62"/>
        <v>3213.28</v>
      </c>
      <c r="AT40" s="2">
        <f t="shared" si="62"/>
        <v>139328.66</v>
      </c>
      <c r="AU40" s="2">
        <f t="shared" si="62"/>
        <v>0</v>
      </c>
      <c r="AV40" s="2">
        <f t="shared" si="62"/>
        <v>64239.13</v>
      </c>
      <c r="AW40" s="2">
        <f t="shared" si="62"/>
        <v>64239.13</v>
      </c>
      <c r="AX40" s="2">
        <f t="shared" si="62"/>
        <v>0</v>
      </c>
      <c r="AY40" s="2">
        <f t="shared" si="62"/>
        <v>64239.13</v>
      </c>
      <c r="AZ40" s="2">
        <f t="shared" si="62"/>
        <v>0</v>
      </c>
      <c r="BA40" s="2">
        <f t="shared" si="62"/>
        <v>0</v>
      </c>
      <c r="BB40" s="2">
        <f t="shared" si="62"/>
        <v>0</v>
      </c>
      <c r="BC40" s="2">
        <f t="shared" si="62"/>
        <v>0</v>
      </c>
      <c r="BD40" s="2">
        <f t="shared" si="62"/>
        <v>0</v>
      </c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>
        <f>ROUND(SUMIF(AA28:AA38,"=36168115",FQ28:FQ38),2)</f>
        <v>0</v>
      </c>
      <c r="BY40" s="2">
        <f>ROUND(SUMIF(AA28:AA38,"=36168115",FR28:FR38),2)</f>
        <v>0</v>
      </c>
      <c r="BZ40" s="2">
        <f>ROUND(SUMIF(AA28:AA38,"=36168115",GL28:GL38),2)</f>
        <v>0</v>
      </c>
      <c r="CA40" s="2">
        <f>ROUND(SUMIF(AA28:AA38,"=36168115",GM28:GM38),2)</f>
        <v>142541.94</v>
      </c>
      <c r="CB40" s="2">
        <f>ROUND(SUMIF(AA28:AA38,"=36168115",GN28:GN38),2)</f>
        <v>3213.28</v>
      </c>
      <c r="CC40" s="2">
        <f>ROUND(SUMIF(AA28:AA38,"=36168115",GO28:GO38),2)</f>
        <v>139328.66</v>
      </c>
      <c r="CD40" s="2">
        <f>ROUND(SUMIF(AA28:AA38,"=36168115",GP28:GP38),2)</f>
        <v>0</v>
      </c>
      <c r="CE40" s="2">
        <f>AC40-BX40</f>
        <v>64239.13</v>
      </c>
      <c r="CF40" s="2">
        <f>AC40-BY40</f>
        <v>64239.13</v>
      </c>
      <c r="CG40" s="2">
        <f>BX40-BZ40</f>
        <v>0</v>
      </c>
      <c r="CH40" s="2">
        <f>AC40-BX40-BY40+BZ40</f>
        <v>64239.13</v>
      </c>
      <c r="CI40" s="2">
        <f>BY40-BZ40</f>
        <v>0</v>
      </c>
      <c r="CJ40" s="2">
        <f>ROUND(SUMIF(AA28:AA38,"=36168115",GX28:GX38),2)</f>
        <v>0</v>
      </c>
      <c r="CK40" s="2">
        <f>ROUND(SUMIF(AA28:AA38,"=36168115",GY28:GY38),2)</f>
        <v>0</v>
      </c>
      <c r="CL40" s="2">
        <f>ROUND(SUMIF(AA28:AA38,"=36168115",GZ28:GZ38),2)</f>
        <v>0</v>
      </c>
      <c r="CM40" s="2">
        <f>ROUND(SUMIF(AA28:AA38,"=36168115",HD28:HD38),2)</f>
        <v>0</v>
      </c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>
        <v>0</v>
      </c>
    </row>
    <row r="42" spans="1:245">
      <c r="A42" s="4">
        <v>50</v>
      </c>
      <c r="B42" s="4">
        <v>0</v>
      </c>
      <c r="C42" s="4">
        <v>0</v>
      </c>
      <c r="D42" s="4">
        <v>1</v>
      </c>
      <c r="E42" s="4">
        <v>201</v>
      </c>
      <c r="F42" s="4">
        <f>ROUND(Source!O40,O42)</f>
        <v>96001.85</v>
      </c>
      <c r="G42" s="4" t="s">
        <v>81</v>
      </c>
      <c r="H42" s="4" t="s">
        <v>82</v>
      </c>
      <c r="I42" s="4"/>
      <c r="J42" s="4"/>
      <c r="K42" s="4">
        <v>201</v>
      </c>
      <c r="L42" s="4">
        <v>1</v>
      </c>
      <c r="M42" s="4">
        <v>3</v>
      </c>
      <c r="N42" s="4" t="s">
        <v>3</v>
      </c>
      <c r="O42" s="4">
        <v>2</v>
      </c>
      <c r="P42" s="4"/>
      <c r="Q42" s="4"/>
      <c r="R42" s="4"/>
      <c r="S42" s="4"/>
      <c r="T42" s="4"/>
      <c r="U42" s="4"/>
      <c r="V42" s="4"/>
      <c r="W42" s="4"/>
    </row>
    <row r="43" spans="1:245">
      <c r="A43" s="4">
        <v>50</v>
      </c>
      <c r="B43" s="4">
        <v>0</v>
      </c>
      <c r="C43" s="4">
        <v>0</v>
      </c>
      <c r="D43" s="4">
        <v>1</v>
      </c>
      <c r="E43" s="4">
        <v>202</v>
      </c>
      <c r="F43" s="4">
        <f>ROUND(Source!P40,O43)</f>
        <v>64239.13</v>
      </c>
      <c r="G43" s="4" t="s">
        <v>83</v>
      </c>
      <c r="H43" s="4" t="s">
        <v>84</v>
      </c>
      <c r="I43" s="4"/>
      <c r="J43" s="4"/>
      <c r="K43" s="4">
        <v>202</v>
      </c>
      <c r="L43" s="4">
        <v>2</v>
      </c>
      <c r="M43" s="4">
        <v>3</v>
      </c>
      <c r="N43" s="4" t="s">
        <v>3</v>
      </c>
      <c r="O43" s="4">
        <v>2</v>
      </c>
      <c r="P43" s="4"/>
      <c r="Q43" s="4"/>
      <c r="R43" s="4"/>
      <c r="S43" s="4"/>
      <c r="T43" s="4"/>
      <c r="U43" s="4"/>
      <c r="V43" s="4"/>
      <c r="W43" s="4"/>
    </row>
    <row r="44" spans="1:245">
      <c r="A44" s="4">
        <v>50</v>
      </c>
      <c r="B44" s="4">
        <v>0</v>
      </c>
      <c r="C44" s="4">
        <v>0</v>
      </c>
      <c r="D44" s="4">
        <v>1</v>
      </c>
      <c r="E44" s="4">
        <v>222</v>
      </c>
      <c r="F44" s="4">
        <f>ROUND(Source!AO40,O44)</f>
        <v>0</v>
      </c>
      <c r="G44" s="4" t="s">
        <v>85</v>
      </c>
      <c r="H44" s="4" t="s">
        <v>86</v>
      </c>
      <c r="I44" s="4"/>
      <c r="J44" s="4"/>
      <c r="K44" s="4">
        <v>222</v>
      </c>
      <c r="L44" s="4">
        <v>3</v>
      </c>
      <c r="M44" s="4">
        <v>3</v>
      </c>
      <c r="N44" s="4" t="s">
        <v>3</v>
      </c>
      <c r="O44" s="4">
        <v>2</v>
      </c>
      <c r="P44" s="4"/>
      <c r="Q44" s="4"/>
      <c r="R44" s="4"/>
      <c r="S44" s="4"/>
      <c r="T44" s="4"/>
      <c r="U44" s="4"/>
      <c r="V44" s="4"/>
      <c r="W44" s="4"/>
    </row>
    <row r="45" spans="1:245">
      <c r="A45" s="4">
        <v>50</v>
      </c>
      <c r="B45" s="4">
        <v>0</v>
      </c>
      <c r="C45" s="4">
        <v>0</v>
      </c>
      <c r="D45" s="4">
        <v>1</v>
      </c>
      <c r="E45" s="4">
        <v>225</v>
      </c>
      <c r="F45" s="4">
        <f>ROUND(Source!AV40,O45)</f>
        <v>64239.13</v>
      </c>
      <c r="G45" s="4" t="s">
        <v>87</v>
      </c>
      <c r="H45" s="4" t="s">
        <v>88</v>
      </c>
      <c r="I45" s="4"/>
      <c r="J45" s="4"/>
      <c r="K45" s="4">
        <v>225</v>
      </c>
      <c r="L45" s="4">
        <v>4</v>
      </c>
      <c r="M45" s="4">
        <v>3</v>
      </c>
      <c r="N45" s="4" t="s">
        <v>3</v>
      </c>
      <c r="O45" s="4">
        <v>2</v>
      </c>
      <c r="P45" s="4"/>
      <c r="Q45" s="4"/>
      <c r="R45" s="4"/>
      <c r="S45" s="4"/>
      <c r="T45" s="4"/>
      <c r="U45" s="4"/>
      <c r="V45" s="4"/>
      <c r="W45" s="4"/>
    </row>
    <row r="46" spans="1:245">
      <c r="A46" s="4">
        <v>50</v>
      </c>
      <c r="B46" s="4">
        <v>0</v>
      </c>
      <c r="C46" s="4">
        <v>0</v>
      </c>
      <c r="D46" s="4">
        <v>1</v>
      </c>
      <c r="E46" s="4">
        <v>226</v>
      </c>
      <c r="F46" s="4">
        <f>ROUND(Source!AW40,O46)</f>
        <v>64239.13</v>
      </c>
      <c r="G46" s="4" t="s">
        <v>89</v>
      </c>
      <c r="H46" s="4" t="s">
        <v>90</v>
      </c>
      <c r="I46" s="4"/>
      <c r="J46" s="4"/>
      <c r="K46" s="4">
        <v>226</v>
      </c>
      <c r="L46" s="4">
        <v>5</v>
      </c>
      <c r="M46" s="4">
        <v>3</v>
      </c>
      <c r="N46" s="4" t="s">
        <v>3</v>
      </c>
      <c r="O46" s="4">
        <v>2</v>
      </c>
      <c r="P46" s="4"/>
      <c r="Q46" s="4"/>
      <c r="R46" s="4"/>
      <c r="S46" s="4"/>
      <c r="T46" s="4"/>
      <c r="U46" s="4"/>
      <c r="V46" s="4"/>
      <c r="W46" s="4"/>
    </row>
    <row r="47" spans="1:245">
      <c r="A47" s="4">
        <v>50</v>
      </c>
      <c r="B47" s="4">
        <v>0</v>
      </c>
      <c r="C47" s="4">
        <v>0</v>
      </c>
      <c r="D47" s="4">
        <v>1</v>
      </c>
      <c r="E47" s="4">
        <v>227</v>
      </c>
      <c r="F47" s="4">
        <f>ROUND(Source!AX40,O47)</f>
        <v>0</v>
      </c>
      <c r="G47" s="4" t="s">
        <v>91</v>
      </c>
      <c r="H47" s="4" t="s">
        <v>92</v>
      </c>
      <c r="I47" s="4"/>
      <c r="J47" s="4"/>
      <c r="K47" s="4">
        <v>227</v>
      </c>
      <c r="L47" s="4">
        <v>6</v>
      </c>
      <c r="M47" s="4">
        <v>3</v>
      </c>
      <c r="N47" s="4" t="s">
        <v>3</v>
      </c>
      <c r="O47" s="4">
        <v>2</v>
      </c>
      <c r="P47" s="4"/>
      <c r="Q47" s="4"/>
      <c r="R47" s="4"/>
      <c r="S47" s="4"/>
      <c r="T47" s="4"/>
      <c r="U47" s="4"/>
      <c r="V47" s="4"/>
      <c r="W47" s="4"/>
    </row>
    <row r="48" spans="1:245">
      <c r="A48" s="4">
        <v>50</v>
      </c>
      <c r="B48" s="4">
        <v>0</v>
      </c>
      <c r="C48" s="4">
        <v>0</v>
      </c>
      <c r="D48" s="4">
        <v>1</v>
      </c>
      <c r="E48" s="4">
        <v>228</v>
      </c>
      <c r="F48" s="4">
        <f>ROUND(Source!AY40,O48)</f>
        <v>64239.13</v>
      </c>
      <c r="G48" s="4" t="s">
        <v>93</v>
      </c>
      <c r="H48" s="4" t="s">
        <v>94</v>
      </c>
      <c r="I48" s="4"/>
      <c r="J48" s="4"/>
      <c r="K48" s="4">
        <v>228</v>
      </c>
      <c r="L48" s="4">
        <v>7</v>
      </c>
      <c r="M48" s="4">
        <v>3</v>
      </c>
      <c r="N48" s="4" t="s">
        <v>3</v>
      </c>
      <c r="O48" s="4">
        <v>2</v>
      </c>
      <c r="P48" s="4"/>
      <c r="Q48" s="4"/>
      <c r="R48" s="4"/>
      <c r="S48" s="4"/>
      <c r="T48" s="4"/>
      <c r="U48" s="4"/>
      <c r="V48" s="4"/>
      <c r="W48" s="4"/>
    </row>
    <row r="49" spans="1:23">
      <c r="A49" s="4">
        <v>50</v>
      </c>
      <c r="B49" s="4">
        <v>0</v>
      </c>
      <c r="C49" s="4">
        <v>0</v>
      </c>
      <c r="D49" s="4">
        <v>1</v>
      </c>
      <c r="E49" s="4">
        <v>216</v>
      </c>
      <c r="F49" s="4">
        <f>ROUND(Source!AP40,O49)</f>
        <v>0</v>
      </c>
      <c r="G49" s="4" t="s">
        <v>95</v>
      </c>
      <c r="H49" s="4" t="s">
        <v>96</v>
      </c>
      <c r="I49" s="4"/>
      <c r="J49" s="4"/>
      <c r="K49" s="4">
        <v>216</v>
      </c>
      <c r="L49" s="4">
        <v>8</v>
      </c>
      <c r="M49" s="4">
        <v>3</v>
      </c>
      <c r="N49" s="4" t="s">
        <v>3</v>
      </c>
      <c r="O49" s="4">
        <v>2</v>
      </c>
      <c r="P49" s="4"/>
      <c r="Q49" s="4"/>
      <c r="R49" s="4"/>
      <c r="S49" s="4"/>
      <c r="T49" s="4"/>
      <c r="U49" s="4"/>
      <c r="V49" s="4"/>
      <c r="W49" s="4"/>
    </row>
    <row r="50" spans="1:23">
      <c r="A50" s="4">
        <v>50</v>
      </c>
      <c r="B50" s="4">
        <v>0</v>
      </c>
      <c r="C50" s="4">
        <v>0</v>
      </c>
      <c r="D50" s="4">
        <v>1</v>
      </c>
      <c r="E50" s="4">
        <v>223</v>
      </c>
      <c r="F50" s="4">
        <f>ROUND(Source!AQ40,O50)</f>
        <v>0</v>
      </c>
      <c r="G50" s="4" t="s">
        <v>97</v>
      </c>
      <c r="H50" s="4" t="s">
        <v>98</v>
      </c>
      <c r="I50" s="4"/>
      <c r="J50" s="4"/>
      <c r="K50" s="4">
        <v>223</v>
      </c>
      <c r="L50" s="4">
        <v>9</v>
      </c>
      <c r="M50" s="4">
        <v>3</v>
      </c>
      <c r="N50" s="4" t="s">
        <v>3</v>
      </c>
      <c r="O50" s="4">
        <v>2</v>
      </c>
      <c r="P50" s="4"/>
      <c r="Q50" s="4"/>
      <c r="R50" s="4"/>
      <c r="S50" s="4"/>
      <c r="T50" s="4"/>
      <c r="U50" s="4"/>
      <c r="V50" s="4"/>
      <c r="W50" s="4"/>
    </row>
    <row r="51" spans="1:23">
      <c r="A51" s="4">
        <v>50</v>
      </c>
      <c r="B51" s="4">
        <v>0</v>
      </c>
      <c r="C51" s="4">
        <v>0</v>
      </c>
      <c r="D51" s="4">
        <v>1</v>
      </c>
      <c r="E51" s="4">
        <v>229</v>
      </c>
      <c r="F51" s="4">
        <f>ROUND(Source!AZ40,O51)</f>
        <v>0</v>
      </c>
      <c r="G51" s="4" t="s">
        <v>99</v>
      </c>
      <c r="H51" s="4" t="s">
        <v>100</v>
      </c>
      <c r="I51" s="4"/>
      <c r="J51" s="4"/>
      <c r="K51" s="4">
        <v>229</v>
      </c>
      <c r="L51" s="4">
        <v>10</v>
      </c>
      <c r="M51" s="4">
        <v>3</v>
      </c>
      <c r="N51" s="4" t="s">
        <v>3</v>
      </c>
      <c r="O51" s="4">
        <v>2</v>
      </c>
      <c r="P51" s="4"/>
      <c r="Q51" s="4"/>
      <c r="R51" s="4"/>
      <c r="S51" s="4"/>
      <c r="T51" s="4"/>
      <c r="U51" s="4"/>
      <c r="V51" s="4"/>
      <c r="W51" s="4"/>
    </row>
    <row r="52" spans="1:23">
      <c r="A52" s="4">
        <v>50</v>
      </c>
      <c r="B52" s="4">
        <v>0</v>
      </c>
      <c r="C52" s="4">
        <v>0</v>
      </c>
      <c r="D52" s="4">
        <v>1</v>
      </c>
      <c r="E52" s="4">
        <v>203</v>
      </c>
      <c r="F52" s="4">
        <f>ROUND(Source!Q40,O52)</f>
        <v>1485.45</v>
      </c>
      <c r="G52" s="4" t="s">
        <v>101</v>
      </c>
      <c r="H52" s="4" t="s">
        <v>102</v>
      </c>
      <c r="I52" s="4"/>
      <c r="J52" s="4"/>
      <c r="K52" s="4">
        <v>203</v>
      </c>
      <c r="L52" s="4">
        <v>11</v>
      </c>
      <c r="M52" s="4">
        <v>3</v>
      </c>
      <c r="N52" s="4" t="s">
        <v>3</v>
      </c>
      <c r="O52" s="4">
        <v>2</v>
      </c>
      <c r="P52" s="4"/>
      <c r="Q52" s="4"/>
      <c r="R52" s="4"/>
      <c r="S52" s="4"/>
      <c r="T52" s="4"/>
      <c r="U52" s="4"/>
      <c r="V52" s="4"/>
      <c r="W52" s="4"/>
    </row>
    <row r="53" spans="1:23">
      <c r="A53" s="4">
        <v>50</v>
      </c>
      <c r="B53" s="4">
        <v>0</v>
      </c>
      <c r="C53" s="4">
        <v>0</v>
      </c>
      <c r="D53" s="4">
        <v>1</v>
      </c>
      <c r="E53" s="4">
        <v>231</v>
      </c>
      <c r="F53" s="4">
        <f>ROUND(Source!BB40,O53)</f>
        <v>0</v>
      </c>
      <c r="G53" s="4" t="s">
        <v>103</v>
      </c>
      <c r="H53" s="4" t="s">
        <v>104</v>
      </c>
      <c r="I53" s="4"/>
      <c r="J53" s="4"/>
      <c r="K53" s="4">
        <v>231</v>
      </c>
      <c r="L53" s="4">
        <v>12</v>
      </c>
      <c r="M53" s="4">
        <v>3</v>
      </c>
      <c r="N53" s="4" t="s">
        <v>3</v>
      </c>
      <c r="O53" s="4">
        <v>2</v>
      </c>
      <c r="P53" s="4"/>
      <c r="Q53" s="4"/>
      <c r="R53" s="4"/>
      <c r="S53" s="4"/>
      <c r="T53" s="4"/>
      <c r="U53" s="4"/>
      <c r="V53" s="4"/>
      <c r="W53" s="4"/>
    </row>
    <row r="54" spans="1:23">
      <c r="A54" s="4">
        <v>50</v>
      </c>
      <c r="B54" s="4">
        <v>0</v>
      </c>
      <c r="C54" s="4">
        <v>0</v>
      </c>
      <c r="D54" s="4">
        <v>1</v>
      </c>
      <c r="E54" s="4">
        <v>204</v>
      </c>
      <c r="F54" s="4">
        <f>ROUND(Source!R40,O54)</f>
        <v>294.42</v>
      </c>
      <c r="G54" s="4" t="s">
        <v>105</v>
      </c>
      <c r="H54" s="4" t="s">
        <v>106</v>
      </c>
      <c r="I54" s="4"/>
      <c r="J54" s="4"/>
      <c r="K54" s="4">
        <v>204</v>
      </c>
      <c r="L54" s="4">
        <v>13</v>
      </c>
      <c r="M54" s="4">
        <v>3</v>
      </c>
      <c r="N54" s="4" t="s">
        <v>3</v>
      </c>
      <c r="O54" s="4">
        <v>2</v>
      </c>
      <c r="P54" s="4"/>
      <c r="Q54" s="4"/>
      <c r="R54" s="4"/>
      <c r="S54" s="4"/>
      <c r="T54" s="4"/>
      <c r="U54" s="4"/>
      <c r="V54" s="4"/>
      <c r="W54" s="4"/>
    </row>
    <row r="55" spans="1:23">
      <c r="A55" s="4">
        <v>50</v>
      </c>
      <c r="B55" s="4">
        <v>0</v>
      </c>
      <c r="C55" s="4">
        <v>0</v>
      </c>
      <c r="D55" s="4">
        <v>1</v>
      </c>
      <c r="E55" s="4">
        <v>205</v>
      </c>
      <c r="F55" s="4">
        <f>ROUND(Source!S40,O55)</f>
        <v>30277.27</v>
      </c>
      <c r="G55" s="4" t="s">
        <v>107</v>
      </c>
      <c r="H55" s="4" t="s">
        <v>108</v>
      </c>
      <c r="I55" s="4"/>
      <c r="J55" s="4"/>
      <c r="K55" s="4">
        <v>205</v>
      </c>
      <c r="L55" s="4">
        <v>14</v>
      </c>
      <c r="M55" s="4">
        <v>3</v>
      </c>
      <c r="N55" s="4" t="s">
        <v>3</v>
      </c>
      <c r="O55" s="4">
        <v>2</v>
      </c>
      <c r="P55" s="4"/>
      <c r="Q55" s="4"/>
      <c r="R55" s="4"/>
      <c r="S55" s="4"/>
      <c r="T55" s="4"/>
      <c r="U55" s="4"/>
      <c r="V55" s="4"/>
      <c r="W55" s="4"/>
    </row>
    <row r="56" spans="1:23">
      <c r="A56" s="4">
        <v>50</v>
      </c>
      <c r="B56" s="4">
        <v>0</v>
      </c>
      <c r="C56" s="4">
        <v>0</v>
      </c>
      <c r="D56" s="4">
        <v>1</v>
      </c>
      <c r="E56" s="4">
        <v>232</v>
      </c>
      <c r="F56" s="4">
        <f>ROUND(Source!BC40,O56)</f>
        <v>0</v>
      </c>
      <c r="G56" s="4" t="s">
        <v>109</v>
      </c>
      <c r="H56" s="4" t="s">
        <v>110</v>
      </c>
      <c r="I56" s="4"/>
      <c r="J56" s="4"/>
      <c r="K56" s="4">
        <v>232</v>
      </c>
      <c r="L56" s="4">
        <v>15</v>
      </c>
      <c r="M56" s="4">
        <v>3</v>
      </c>
      <c r="N56" s="4" t="s">
        <v>3</v>
      </c>
      <c r="O56" s="4">
        <v>2</v>
      </c>
      <c r="P56" s="4"/>
      <c r="Q56" s="4"/>
      <c r="R56" s="4"/>
      <c r="S56" s="4"/>
      <c r="T56" s="4"/>
      <c r="U56" s="4"/>
      <c r="V56" s="4"/>
      <c r="W56" s="4"/>
    </row>
    <row r="57" spans="1:23">
      <c r="A57" s="4">
        <v>50</v>
      </c>
      <c r="B57" s="4">
        <v>0</v>
      </c>
      <c r="C57" s="4">
        <v>0</v>
      </c>
      <c r="D57" s="4">
        <v>1</v>
      </c>
      <c r="E57" s="4">
        <v>214</v>
      </c>
      <c r="F57" s="4">
        <f>ROUND(Source!AS40,O57)</f>
        <v>3213.28</v>
      </c>
      <c r="G57" s="4" t="s">
        <v>111</v>
      </c>
      <c r="H57" s="4" t="s">
        <v>112</v>
      </c>
      <c r="I57" s="4"/>
      <c r="J57" s="4"/>
      <c r="K57" s="4">
        <v>214</v>
      </c>
      <c r="L57" s="4">
        <v>16</v>
      </c>
      <c r="M57" s="4">
        <v>3</v>
      </c>
      <c r="N57" s="4" t="s">
        <v>3</v>
      </c>
      <c r="O57" s="4">
        <v>2</v>
      </c>
      <c r="P57" s="4"/>
      <c r="Q57" s="4"/>
      <c r="R57" s="4"/>
      <c r="S57" s="4"/>
      <c r="T57" s="4"/>
      <c r="U57" s="4"/>
      <c r="V57" s="4"/>
      <c r="W57" s="4"/>
    </row>
    <row r="58" spans="1:23">
      <c r="A58" s="4">
        <v>50</v>
      </c>
      <c r="B58" s="4">
        <v>0</v>
      </c>
      <c r="C58" s="4">
        <v>0</v>
      </c>
      <c r="D58" s="4">
        <v>1</v>
      </c>
      <c r="E58" s="4">
        <v>215</v>
      </c>
      <c r="F58" s="4">
        <f>ROUND(Source!AT40,O58)</f>
        <v>139328.66</v>
      </c>
      <c r="G58" s="4" t="s">
        <v>113</v>
      </c>
      <c r="H58" s="4" t="s">
        <v>114</v>
      </c>
      <c r="I58" s="4"/>
      <c r="J58" s="4"/>
      <c r="K58" s="4">
        <v>215</v>
      </c>
      <c r="L58" s="4">
        <v>17</v>
      </c>
      <c r="M58" s="4">
        <v>3</v>
      </c>
      <c r="N58" s="4" t="s">
        <v>3</v>
      </c>
      <c r="O58" s="4">
        <v>2</v>
      </c>
      <c r="P58" s="4"/>
      <c r="Q58" s="4"/>
      <c r="R58" s="4"/>
      <c r="S58" s="4"/>
      <c r="T58" s="4"/>
      <c r="U58" s="4"/>
      <c r="V58" s="4"/>
      <c r="W58" s="4"/>
    </row>
    <row r="59" spans="1:23">
      <c r="A59" s="4">
        <v>50</v>
      </c>
      <c r="B59" s="4">
        <v>0</v>
      </c>
      <c r="C59" s="4">
        <v>0</v>
      </c>
      <c r="D59" s="4">
        <v>1</v>
      </c>
      <c r="E59" s="4">
        <v>217</v>
      </c>
      <c r="F59" s="4">
        <f>ROUND(Source!AU40,O59)</f>
        <v>0</v>
      </c>
      <c r="G59" s="4" t="s">
        <v>115</v>
      </c>
      <c r="H59" s="4" t="s">
        <v>116</v>
      </c>
      <c r="I59" s="4"/>
      <c r="J59" s="4"/>
      <c r="K59" s="4">
        <v>217</v>
      </c>
      <c r="L59" s="4">
        <v>18</v>
      </c>
      <c r="M59" s="4">
        <v>3</v>
      </c>
      <c r="N59" s="4" t="s">
        <v>3</v>
      </c>
      <c r="O59" s="4">
        <v>2</v>
      </c>
      <c r="P59" s="4"/>
      <c r="Q59" s="4"/>
      <c r="R59" s="4"/>
      <c r="S59" s="4"/>
      <c r="T59" s="4"/>
      <c r="U59" s="4"/>
      <c r="V59" s="4"/>
      <c r="W59" s="4"/>
    </row>
    <row r="60" spans="1:23">
      <c r="A60" s="4">
        <v>50</v>
      </c>
      <c r="B60" s="4">
        <v>0</v>
      </c>
      <c r="C60" s="4">
        <v>0</v>
      </c>
      <c r="D60" s="4">
        <v>1</v>
      </c>
      <c r="E60" s="4">
        <v>230</v>
      </c>
      <c r="F60" s="4">
        <f>ROUND(Source!BA40,O60)</f>
        <v>0</v>
      </c>
      <c r="G60" s="4" t="s">
        <v>117</v>
      </c>
      <c r="H60" s="4" t="s">
        <v>118</v>
      </c>
      <c r="I60" s="4"/>
      <c r="J60" s="4"/>
      <c r="K60" s="4">
        <v>230</v>
      </c>
      <c r="L60" s="4">
        <v>19</v>
      </c>
      <c r="M60" s="4">
        <v>3</v>
      </c>
      <c r="N60" s="4" t="s">
        <v>3</v>
      </c>
      <c r="O60" s="4">
        <v>2</v>
      </c>
      <c r="P60" s="4"/>
      <c r="Q60" s="4"/>
      <c r="R60" s="4"/>
      <c r="S60" s="4"/>
      <c r="T60" s="4"/>
      <c r="U60" s="4"/>
      <c r="V60" s="4"/>
      <c r="W60" s="4"/>
    </row>
    <row r="61" spans="1:23">
      <c r="A61" s="4">
        <v>50</v>
      </c>
      <c r="B61" s="4">
        <v>0</v>
      </c>
      <c r="C61" s="4">
        <v>0</v>
      </c>
      <c r="D61" s="4">
        <v>1</v>
      </c>
      <c r="E61" s="4">
        <v>206</v>
      </c>
      <c r="F61" s="4">
        <f>ROUND(Source!T40,O61)</f>
        <v>0</v>
      </c>
      <c r="G61" s="4" t="s">
        <v>119</v>
      </c>
      <c r="H61" s="4" t="s">
        <v>120</v>
      </c>
      <c r="I61" s="4"/>
      <c r="J61" s="4"/>
      <c r="K61" s="4">
        <v>206</v>
      </c>
      <c r="L61" s="4">
        <v>20</v>
      </c>
      <c r="M61" s="4">
        <v>3</v>
      </c>
      <c r="N61" s="4" t="s">
        <v>3</v>
      </c>
      <c r="O61" s="4">
        <v>2</v>
      </c>
      <c r="P61" s="4"/>
      <c r="Q61" s="4"/>
      <c r="R61" s="4"/>
      <c r="S61" s="4"/>
      <c r="T61" s="4"/>
      <c r="U61" s="4"/>
      <c r="V61" s="4"/>
      <c r="W61" s="4"/>
    </row>
    <row r="62" spans="1:23">
      <c r="A62" s="4">
        <v>50</v>
      </c>
      <c r="B62" s="4">
        <v>0</v>
      </c>
      <c r="C62" s="4">
        <v>0</v>
      </c>
      <c r="D62" s="4">
        <v>1</v>
      </c>
      <c r="E62" s="4">
        <v>207</v>
      </c>
      <c r="F62" s="4">
        <f>Source!U40</f>
        <v>100.55000000000001</v>
      </c>
      <c r="G62" s="4" t="s">
        <v>121</v>
      </c>
      <c r="H62" s="4" t="s">
        <v>122</v>
      </c>
      <c r="I62" s="4"/>
      <c r="J62" s="4"/>
      <c r="K62" s="4">
        <v>207</v>
      </c>
      <c r="L62" s="4">
        <v>21</v>
      </c>
      <c r="M62" s="4">
        <v>3</v>
      </c>
      <c r="N62" s="4" t="s">
        <v>3</v>
      </c>
      <c r="O62" s="4">
        <v>-1</v>
      </c>
      <c r="P62" s="4"/>
      <c r="Q62" s="4"/>
      <c r="R62" s="4"/>
      <c r="S62" s="4"/>
      <c r="T62" s="4"/>
      <c r="U62" s="4"/>
      <c r="V62" s="4"/>
      <c r="W62" s="4"/>
    </row>
    <row r="63" spans="1:23">
      <c r="A63" s="4">
        <v>50</v>
      </c>
      <c r="B63" s="4">
        <v>0</v>
      </c>
      <c r="C63" s="4">
        <v>0</v>
      </c>
      <c r="D63" s="4">
        <v>1</v>
      </c>
      <c r="E63" s="4">
        <v>208</v>
      </c>
      <c r="F63" s="4">
        <f>Source!V40</f>
        <v>0.72</v>
      </c>
      <c r="G63" s="4" t="s">
        <v>123</v>
      </c>
      <c r="H63" s="4" t="s">
        <v>124</v>
      </c>
      <c r="I63" s="4"/>
      <c r="J63" s="4"/>
      <c r="K63" s="4">
        <v>208</v>
      </c>
      <c r="L63" s="4">
        <v>22</v>
      </c>
      <c r="M63" s="4">
        <v>3</v>
      </c>
      <c r="N63" s="4" t="s">
        <v>3</v>
      </c>
      <c r="O63" s="4">
        <v>-1</v>
      </c>
      <c r="P63" s="4"/>
      <c r="Q63" s="4"/>
      <c r="R63" s="4"/>
      <c r="S63" s="4"/>
      <c r="T63" s="4"/>
      <c r="U63" s="4"/>
      <c r="V63" s="4"/>
      <c r="W63" s="4"/>
    </row>
    <row r="64" spans="1:23">
      <c r="A64" s="4">
        <v>50</v>
      </c>
      <c r="B64" s="4">
        <v>0</v>
      </c>
      <c r="C64" s="4">
        <v>0</v>
      </c>
      <c r="D64" s="4">
        <v>1</v>
      </c>
      <c r="E64" s="4">
        <v>209</v>
      </c>
      <c r="F64" s="4">
        <f>ROUND(Source!W40,O64)</f>
        <v>1183.43</v>
      </c>
      <c r="G64" s="4" t="s">
        <v>125</v>
      </c>
      <c r="H64" s="4" t="s">
        <v>126</v>
      </c>
      <c r="I64" s="4"/>
      <c r="J64" s="4"/>
      <c r="K64" s="4">
        <v>209</v>
      </c>
      <c r="L64" s="4">
        <v>23</v>
      </c>
      <c r="M64" s="4">
        <v>3</v>
      </c>
      <c r="N64" s="4" t="s">
        <v>3</v>
      </c>
      <c r="O64" s="4">
        <v>2</v>
      </c>
      <c r="P64" s="4"/>
      <c r="Q64" s="4"/>
      <c r="R64" s="4"/>
      <c r="S64" s="4"/>
      <c r="T64" s="4"/>
      <c r="U64" s="4"/>
      <c r="V64" s="4"/>
      <c r="W64" s="4"/>
    </row>
    <row r="65" spans="1:206">
      <c r="A65" s="4">
        <v>50</v>
      </c>
      <c r="B65" s="4">
        <v>0</v>
      </c>
      <c r="C65" s="4">
        <v>0</v>
      </c>
      <c r="D65" s="4">
        <v>1</v>
      </c>
      <c r="E65" s="4">
        <v>233</v>
      </c>
      <c r="F65" s="4">
        <f>ROUND(Source!BD40,O65)</f>
        <v>0</v>
      </c>
      <c r="G65" s="4" t="s">
        <v>127</v>
      </c>
      <c r="H65" s="4" t="s">
        <v>128</v>
      </c>
      <c r="I65" s="4"/>
      <c r="J65" s="4"/>
      <c r="K65" s="4">
        <v>233</v>
      </c>
      <c r="L65" s="4">
        <v>24</v>
      </c>
      <c r="M65" s="4">
        <v>3</v>
      </c>
      <c r="N65" s="4" t="s">
        <v>3</v>
      </c>
      <c r="O65" s="4">
        <v>2</v>
      </c>
      <c r="P65" s="4"/>
      <c r="Q65" s="4"/>
      <c r="R65" s="4"/>
      <c r="S65" s="4"/>
      <c r="T65" s="4"/>
      <c r="U65" s="4"/>
      <c r="V65" s="4"/>
      <c r="W65" s="4"/>
    </row>
    <row r="66" spans="1:206">
      <c r="A66" s="4">
        <v>50</v>
      </c>
      <c r="B66" s="4">
        <v>0</v>
      </c>
      <c r="C66" s="4">
        <v>0</v>
      </c>
      <c r="D66" s="4">
        <v>1</v>
      </c>
      <c r="E66" s="4">
        <v>210</v>
      </c>
      <c r="F66" s="4">
        <f>ROUND(Source!X40,O66)</f>
        <v>27262.15</v>
      </c>
      <c r="G66" s="4" t="s">
        <v>129</v>
      </c>
      <c r="H66" s="4" t="s">
        <v>130</v>
      </c>
      <c r="I66" s="4"/>
      <c r="J66" s="4"/>
      <c r="K66" s="4">
        <v>210</v>
      </c>
      <c r="L66" s="4">
        <v>25</v>
      </c>
      <c r="M66" s="4">
        <v>3</v>
      </c>
      <c r="N66" s="4" t="s">
        <v>3</v>
      </c>
      <c r="O66" s="4">
        <v>2</v>
      </c>
      <c r="P66" s="4"/>
      <c r="Q66" s="4"/>
      <c r="R66" s="4"/>
      <c r="S66" s="4"/>
      <c r="T66" s="4"/>
      <c r="U66" s="4"/>
      <c r="V66" s="4"/>
      <c r="W66" s="4"/>
    </row>
    <row r="67" spans="1:206">
      <c r="A67" s="4">
        <v>50</v>
      </c>
      <c r="B67" s="4">
        <v>0</v>
      </c>
      <c r="C67" s="4">
        <v>0</v>
      </c>
      <c r="D67" s="4">
        <v>1</v>
      </c>
      <c r="E67" s="4">
        <v>211</v>
      </c>
      <c r="F67" s="4">
        <f>ROUND(Source!Y40,O67)</f>
        <v>19277.939999999999</v>
      </c>
      <c r="G67" s="4" t="s">
        <v>131</v>
      </c>
      <c r="H67" s="4" t="s">
        <v>132</v>
      </c>
      <c r="I67" s="4"/>
      <c r="J67" s="4"/>
      <c r="K67" s="4">
        <v>211</v>
      </c>
      <c r="L67" s="4">
        <v>26</v>
      </c>
      <c r="M67" s="4">
        <v>3</v>
      </c>
      <c r="N67" s="4" t="s">
        <v>3</v>
      </c>
      <c r="O67" s="4">
        <v>2</v>
      </c>
      <c r="P67" s="4"/>
      <c r="Q67" s="4"/>
      <c r="R67" s="4"/>
      <c r="S67" s="4"/>
      <c r="T67" s="4"/>
      <c r="U67" s="4"/>
      <c r="V67" s="4"/>
      <c r="W67" s="4"/>
    </row>
    <row r="68" spans="1:206">
      <c r="A68" s="4">
        <v>50</v>
      </c>
      <c r="B68" s="4">
        <v>0</v>
      </c>
      <c r="C68" s="4">
        <v>0</v>
      </c>
      <c r="D68" s="4">
        <v>1</v>
      </c>
      <c r="E68" s="4">
        <v>224</v>
      </c>
      <c r="F68" s="4">
        <f>ROUND(Source!AR40,O68)</f>
        <v>142541.94</v>
      </c>
      <c r="G68" s="4" t="s">
        <v>133</v>
      </c>
      <c r="H68" s="4" t="s">
        <v>134</v>
      </c>
      <c r="I68" s="4"/>
      <c r="J68" s="4"/>
      <c r="K68" s="4">
        <v>224</v>
      </c>
      <c r="L68" s="4">
        <v>27</v>
      </c>
      <c r="M68" s="4">
        <v>3</v>
      </c>
      <c r="N68" s="4" t="s">
        <v>3</v>
      </c>
      <c r="O68" s="4">
        <v>2</v>
      </c>
      <c r="P68" s="4"/>
      <c r="Q68" s="4"/>
      <c r="R68" s="4"/>
      <c r="S68" s="4"/>
      <c r="T68" s="4"/>
      <c r="U68" s="4"/>
      <c r="V68" s="4"/>
      <c r="W68" s="4"/>
    </row>
    <row r="70" spans="1:206">
      <c r="A70" s="1">
        <v>4</v>
      </c>
      <c r="B70" s="1">
        <v>1</v>
      </c>
      <c r="C70" s="1"/>
      <c r="D70" s="1">
        <f>ROW(A74)</f>
        <v>74</v>
      </c>
      <c r="E70" s="1"/>
      <c r="F70" s="1" t="s">
        <v>12</v>
      </c>
      <c r="G70" s="1" t="s">
        <v>135</v>
      </c>
      <c r="H70" s="1" t="s">
        <v>3</v>
      </c>
      <c r="I70" s="1">
        <v>0</v>
      </c>
      <c r="J70" s="1"/>
      <c r="K70" s="1">
        <v>0</v>
      </c>
      <c r="L70" s="1"/>
      <c r="M70" s="1" t="s">
        <v>3</v>
      </c>
      <c r="N70" s="1"/>
      <c r="O70" s="1"/>
      <c r="P70" s="1"/>
      <c r="Q70" s="1"/>
      <c r="R70" s="1"/>
      <c r="S70" s="1">
        <v>0</v>
      </c>
      <c r="T70" s="1"/>
      <c r="U70" s="1" t="s">
        <v>3</v>
      </c>
      <c r="V70" s="1">
        <v>0</v>
      </c>
      <c r="W70" s="1"/>
      <c r="X70" s="1"/>
      <c r="Y70" s="1"/>
      <c r="Z70" s="1"/>
      <c r="AA70" s="1"/>
      <c r="AB70" s="1" t="s">
        <v>3</v>
      </c>
      <c r="AC70" s="1" t="s">
        <v>3</v>
      </c>
      <c r="AD70" s="1" t="s">
        <v>3</v>
      </c>
      <c r="AE70" s="1" t="s">
        <v>3</v>
      </c>
      <c r="AF70" s="1" t="s">
        <v>3</v>
      </c>
      <c r="AG70" s="1" t="s">
        <v>3</v>
      </c>
      <c r="AH70" s="1"/>
      <c r="AI70" s="1"/>
      <c r="AJ70" s="1"/>
      <c r="AK70" s="1"/>
      <c r="AL70" s="1"/>
      <c r="AM70" s="1"/>
      <c r="AN70" s="1"/>
      <c r="AO70" s="1"/>
      <c r="AP70" s="1" t="s">
        <v>3</v>
      </c>
      <c r="AQ70" s="1" t="s">
        <v>3</v>
      </c>
      <c r="AR70" s="1" t="s">
        <v>3</v>
      </c>
      <c r="AS70" s="1"/>
      <c r="AT70" s="1"/>
      <c r="AU70" s="1"/>
      <c r="AV70" s="1"/>
      <c r="AW70" s="1"/>
      <c r="AX70" s="1"/>
      <c r="AY70" s="1"/>
      <c r="AZ70" s="1" t="s">
        <v>3</v>
      </c>
      <c r="BA70" s="1"/>
      <c r="BB70" s="1" t="s">
        <v>3</v>
      </c>
      <c r="BC70" s="1" t="s">
        <v>3</v>
      </c>
      <c r="BD70" s="1" t="s">
        <v>3</v>
      </c>
      <c r="BE70" s="1" t="s">
        <v>3</v>
      </c>
      <c r="BF70" s="1" t="s">
        <v>3</v>
      </c>
      <c r="BG70" s="1" t="s">
        <v>3</v>
      </c>
      <c r="BH70" s="1" t="s">
        <v>3</v>
      </c>
      <c r="BI70" s="1" t="s">
        <v>3</v>
      </c>
      <c r="BJ70" s="1" t="s">
        <v>3</v>
      </c>
      <c r="BK70" s="1" t="s">
        <v>3</v>
      </c>
      <c r="BL70" s="1" t="s">
        <v>3</v>
      </c>
      <c r="BM70" s="1" t="s">
        <v>3</v>
      </c>
      <c r="BN70" s="1" t="s">
        <v>3</v>
      </c>
      <c r="BO70" s="1" t="s">
        <v>3</v>
      </c>
      <c r="BP70" s="1" t="s">
        <v>3</v>
      </c>
      <c r="BQ70" s="1"/>
      <c r="BR70" s="1"/>
      <c r="BS70" s="1"/>
      <c r="BT70" s="1"/>
      <c r="BU70" s="1"/>
      <c r="BV70" s="1"/>
      <c r="BW70" s="1"/>
      <c r="BX70" s="1">
        <v>0</v>
      </c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>
        <v>0</v>
      </c>
    </row>
    <row r="72" spans="1:206">
      <c r="A72" s="2">
        <v>52</v>
      </c>
      <c r="B72" s="2">
        <f t="shared" ref="B72:G72" si="63">B74</f>
        <v>1</v>
      </c>
      <c r="C72" s="2">
        <f t="shared" si="63"/>
        <v>4</v>
      </c>
      <c r="D72" s="2">
        <f t="shared" si="63"/>
        <v>70</v>
      </c>
      <c r="E72" s="2">
        <f t="shared" si="63"/>
        <v>0</v>
      </c>
      <c r="F72" s="2" t="str">
        <f t="shared" si="63"/>
        <v>Новый раздел</v>
      </c>
      <c r="G72" s="2" t="str">
        <f t="shared" si="63"/>
        <v>пуско-наладочные работы</v>
      </c>
      <c r="H72" s="2"/>
      <c r="I72" s="2"/>
      <c r="J72" s="2"/>
      <c r="K72" s="2"/>
      <c r="L72" s="2"/>
      <c r="M72" s="2"/>
      <c r="N72" s="2"/>
      <c r="O72" s="2">
        <f t="shared" ref="O72:AT72" si="64">O74</f>
        <v>0</v>
      </c>
      <c r="P72" s="2">
        <f t="shared" si="64"/>
        <v>0</v>
      </c>
      <c r="Q72" s="2">
        <f t="shared" si="64"/>
        <v>0</v>
      </c>
      <c r="R72" s="2">
        <f t="shared" si="64"/>
        <v>0</v>
      </c>
      <c r="S72" s="2">
        <f t="shared" si="64"/>
        <v>0</v>
      </c>
      <c r="T72" s="2">
        <f t="shared" si="64"/>
        <v>0</v>
      </c>
      <c r="U72" s="2">
        <f t="shared" si="64"/>
        <v>0</v>
      </c>
      <c r="V72" s="2">
        <f t="shared" si="64"/>
        <v>0</v>
      </c>
      <c r="W72" s="2">
        <f t="shared" si="64"/>
        <v>0</v>
      </c>
      <c r="X72" s="2">
        <f t="shared" si="64"/>
        <v>0</v>
      </c>
      <c r="Y72" s="2">
        <f t="shared" si="64"/>
        <v>0</v>
      </c>
      <c r="Z72" s="2">
        <f t="shared" si="64"/>
        <v>0</v>
      </c>
      <c r="AA72" s="2">
        <f t="shared" si="64"/>
        <v>0</v>
      </c>
      <c r="AB72" s="2">
        <f t="shared" si="64"/>
        <v>0</v>
      </c>
      <c r="AC72" s="2">
        <f t="shared" si="64"/>
        <v>0</v>
      </c>
      <c r="AD72" s="2">
        <f t="shared" si="64"/>
        <v>0</v>
      </c>
      <c r="AE72" s="2">
        <f t="shared" si="64"/>
        <v>0</v>
      </c>
      <c r="AF72" s="2">
        <f t="shared" si="64"/>
        <v>0</v>
      </c>
      <c r="AG72" s="2">
        <f t="shared" si="64"/>
        <v>0</v>
      </c>
      <c r="AH72" s="2">
        <f t="shared" si="64"/>
        <v>0</v>
      </c>
      <c r="AI72" s="2">
        <f t="shared" si="64"/>
        <v>0</v>
      </c>
      <c r="AJ72" s="2">
        <f t="shared" si="64"/>
        <v>0</v>
      </c>
      <c r="AK72" s="2">
        <f t="shared" si="64"/>
        <v>0</v>
      </c>
      <c r="AL72" s="2">
        <f t="shared" si="64"/>
        <v>0</v>
      </c>
      <c r="AM72" s="2">
        <f t="shared" si="64"/>
        <v>0</v>
      </c>
      <c r="AN72" s="2">
        <f t="shared" si="64"/>
        <v>0</v>
      </c>
      <c r="AO72" s="2">
        <f t="shared" si="64"/>
        <v>0</v>
      </c>
      <c r="AP72" s="2">
        <f t="shared" si="64"/>
        <v>0</v>
      </c>
      <c r="AQ72" s="2">
        <f t="shared" si="64"/>
        <v>0</v>
      </c>
      <c r="AR72" s="2">
        <f t="shared" si="64"/>
        <v>0</v>
      </c>
      <c r="AS72" s="2">
        <f t="shared" si="64"/>
        <v>0</v>
      </c>
      <c r="AT72" s="2">
        <f t="shared" si="64"/>
        <v>0</v>
      </c>
      <c r="AU72" s="2">
        <f t="shared" ref="AU72:BZ72" si="65">AU74</f>
        <v>0</v>
      </c>
      <c r="AV72" s="2">
        <f t="shared" si="65"/>
        <v>0</v>
      </c>
      <c r="AW72" s="2">
        <f t="shared" si="65"/>
        <v>0</v>
      </c>
      <c r="AX72" s="2">
        <f t="shared" si="65"/>
        <v>0</v>
      </c>
      <c r="AY72" s="2">
        <f t="shared" si="65"/>
        <v>0</v>
      </c>
      <c r="AZ72" s="2">
        <f t="shared" si="65"/>
        <v>0</v>
      </c>
      <c r="BA72" s="2">
        <f t="shared" si="65"/>
        <v>0</v>
      </c>
      <c r="BB72" s="2">
        <f t="shared" si="65"/>
        <v>0</v>
      </c>
      <c r="BC72" s="2">
        <f t="shared" si="65"/>
        <v>0</v>
      </c>
      <c r="BD72" s="2">
        <f t="shared" si="65"/>
        <v>0</v>
      </c>
      <c r="BE72" s="2">
        <f t="shared" si="65"/>
        <v>0</v>
      </c>
      <c r="BF72" s="2">
        <f t="shared" si="65"/>
        <v>0</v>
      </c>
      <c r="BG72" s="2">
        <f t="shared" si="65"/>
        <v>0</v>
      </c>
      <c r="BH72" s="2">
        <f t="shared" si="65"/>
        <v>0</v>
      </c>
      <c r="BI72" s="2">
        <f t="shared" si="65"/>
        <v>0</v>
      </c>
      <c r="BJ72" s="2">
        <f t="shared" si="65"/>
        <v>0</v>
      </c>
      <c r="BK72" s="2">
        <f t="shared" si="65"/>
        <v>0</v>
      </c>
      <c r="BL72" s="2">
        <f t="shared" si="65"/>
        <v>0</v>
      </c>
      <c r="BM72" s="2">
        <f t="shared" si="65"/>
        <v>0</v>
      </c>
      <c r="BN72" s="2">
        <f t="shared" si="65"/>
        <v>0</v>
      </c>
      <c r="BO72" s="2">
        <f t="shared" si="65"/>
        <v>0</v>
      </c>
      <c r="BP72" s="2">
        <f t="shared" si="65"/>
        <v>0</v>
      </c>
      <c r="BQ72" s="2">
        <f t="shared" si="65"/>
        <v>0</v>
      </c>
      <c r="BR72" s="2">
        <f t="shared" si="65"/>
        <v>0</v>
      </c>
      <c r="BS72" s="2">
        <f t="shared" si="65"/>
        <v>0</v>
      </c>
      <c r="BT72" s="2">
        <f t="shared" si="65"/>
        <v>0</v>
      </c>
      <c r="BU72" s="2">
        <f t="shared" si="65"/>
        <v>0</v>
      </c>
      <c r="BV72" s="2">
        <f t="shared" si="65"/>
        <v>0</v>
      </c>
      <c r="BW72" s="2">
        <f t="shared" si="65"/>
        <v>0</v>
      </c>
      <c r="BX72" s="2">
        <f t="shared" si="65"/>
        <v>0</v>
      </c>
      <c r="BY72" s="2">
        <f t="shared" si="65"/>
        <v>0</v>
      </c>
      <c r="BZ72" s="2">
        <f t="shared" si="65"/>
        <v>0</v>
      </c>
      <c r="CA72" s="2">
        <f t="shared" ref="CA72:DF72" si="66">CA74</f>
        <v>0</v>
      </c>
      <c r="CB72" s="2">
        <f t="shared" si="66"/>
        <v>0</v>
      </c>
      <c r="CC72" s="2">
        <f t="shared" si="66"/>
        <v>0</v>
      </c>
      <c r="CD72" s="2">
        <f t="shared" si="66"/>
        <v>0</v>
      </c>
      <c r="CE72" s="2">
        <f t="shared" si="66"/>
        <v>0</v>
      </c>
      <c r="CF72" s="2">
        <f t="shared" si="66"/>
        <v>0</v>
      </c>
      <c r="CG72" s="2">
        <f t="shared" si="66"/>
        <v>0</v>
      </c>
      <c r="CH72" s="2">
        <f t="shared" si="66"/>
        <v>0</v>
      </c>
      <c r="CI72" s="2">
        <f t="shared" si="66"/>
        <v>0</v>
      </c>
      <c r="CJ72" s="2">
        <f t="shared" si="66"/>
        <v>0</v>
      </c>
      <c r="CK72" s="2">
        <f t="shared" si="66"/>
        <v>0</v>
      </c>
      <c r="CL72" s="2">
        <f t="shared" si="66"/>
        <v>0</v>
      </c>
      <c r="CM72" s="2">
        <f t="shared" si="66"/>
        <v>0</v>
      </c>
      <c r="CN72" s="2">
        <f t="shared" si="66"/>
        <v>0</v>
      </c>
      <c r="CO72" s="2">
        <f t="shared" si="66"/>
        <v>0</v>
      </c>
      <c r="CP72" s="2">
        <f t="shared" si="66"/>
        <v>0</v>
      </c>
      <c r="CQ72" s="2">
        <f t="shared" si="66"/>
        <v>0</v>
      </c>
      <c r="CR72" s="2">
        <f t="shared" si="66"/>
        <v>0</v>
      </c>
      <c r="CS72" s="2">
        <f t="shared" si="66"/>
        <v>0</v>
      </c>
      <c r="CT72" s="2">
        <f t="shared" si="66"/>
        <v>0</v>
      </c>
      <c r="CU72" s="2">
        <f t="shared" si="66"/>
        <v>0</v>
      </c>
      <c r="CV72" s="2">
        <f t="shared" si="66"/>
        <v>0</v>
      </c>
      <c r="CW72" s="2">
        <f t="shared" si="66"/>
        <v>0</v>
      </c>
      <c r="CX72" s="2">
        <f t="shared" si="66"/>
        <v>0</v>
      </c>
      <c r="CY72" s="2">
        <f t="shared" si="66"/>
        <v>0</v>
      </c>
      <c r="CZ72" s="2">
        <f t="shared" si="66"/>
        <v>0</v>
      </c>
      <c r="DA72" s="2">
        <f t="shared" si="66"/>
        <v>0</v>
      </c>
      <c r="DB72" s="2">
        <f t="shared" si="66"/>
        <v>0</v>
      </c>
      <c r="DC72" s="2">
        <f t="shared" si="66"/>
        <v>0</v>
      </c>
      <c r="DD72" s="2">
        <f t="shared" si="66"/>
        <v>0</v>
      </c>
      <c r="DE72" s="2">
        <f t="shared" si="66"/>
        <v>0</v>
      </c>
      <c r="DF72" s="2">
        <f t="shared" si="66"/>
        <v>0</v>
      </c>
      <c r="DG72" s="3">
        <f t="shared" ref="DG72:EL72" si="67">DG74</f>
        <v>0</v>
      </c>
      <c r="DH72" s="3">
        <f t="shared" si="67"/>
        <v>0</v>
      </c>
      <c r="DI72" s="3">
        <f t="shared" si="67"/>
        <v>0</v>
      </c>
      <c r="DJ72" s="3">
        <f t="shared" si="67"/>
        <v>0</v>
      </c>
      <c r="DK72" s="3">
        <f t="shared" si="67"/>
        <v>0</v>
      </c>
      <c r="DL72" s="3">
        <f t="shared" si="67"/>
        <v>0</v>
      </c>
      <c r="DM72" s="3">
        <f t="shared" si="67"/>
        <v>0</v>
      </c>
      <c r="DN72" s="3">
        <f t="shared" si="67"/>
        <v>0</v>
      </c>
      <c r="DO72" s="3">
        <f t="shared" si="67"/>
        <v>0</v>
      </c>
      <c r="DP72" s="3">
        <f t="shared" si="67"/>
        <v>0</v>
      </c>
      <c r="DQ72" s="3">
        <f t="shared" si="67"/>
        <v>0</v>
      </c>
      <c r="DR72" s="3">
        <f t="shared" si="67"/>
        <v>0</v>
      </c>
      <c r="DS72" s="3">
        <f t="shared" si="67"/>
        <v>0</v>
      </c>
      <c r="DT72" s="3">
        <f t="shared" si="67"/>
        <v>0</v>
      </c>
      <c r="DU72" s="3">
        <f t="shared" si="67"/>
        <v>0</v>
      </c>
      <c r="DV72" s="3">
        <f t="shared" si="67"/>
        <v>0</v>
      </c>
      <c r="DW72" s="3">
        <f t="shared" si="67"/>
        <v>0</v>
      </c>
      <c r="DX72" s="3">
        <f t="shared" si="67"/>
        <v>0</v>
      </c>
      <c r="DY72" s="3">
        <f t="shared" si="67"/>
        <v>0</v>
      </c>
      <c r="DZ72" s="3">
        <f t="shared" si="67"/>
        <v>0</v>
      </c>
      <c r="EA72" s="3">
        <f t="shared" si="67"/>
        <v>0</v>
      </c>
      <c r="EB72" s="3">
        <f t="shared" si="67"/>
        <v>0</v>
      </c>
      <c r="EC72" s="3">
        <f t="shared" si="67"/>
        <v>0</v>
      </c>
      <c r="ED72" s="3">
        <f t="shared" si="67"/>
        <v>0</v>
      </c>
      <c r="EE72" s="3">
        <f t="shared" si="67"/>
        <v>0</v>
      </c>
      <c r="EF72" s="3">
        <f t="shared" si="67"/>
        <v>0</v>
      </c>
      <c r="EG72" s="3">
        <f t="shared" si="67"/>
        <v>0</v>
      </c>
      <c r="EH72" s="3">
        <f t="shared" si="67"/>
        <v>0</v>
      </c>
      <c r="EI72" s="3">
        <f t="shared" si="67"/>
        <v>0</v>
      </c>
      <c r="EJ72" s="3">
        <f t="shared" si="67"/>
        <v>0</v>
      </c>
      <c r="EK72" s="3">
        <f t="shared" si="67"/>
        <v>0</v>
      </c>
      <c r="EL72" s="3">
        <f t="shared" si="67"/>
        <v>0</v>
      </c>
      <c r="EM72" s="3">
        <f t="shared" ref="EM72:FR72" si="68">EM74</f>
        <v>0</v>
      </c>
      <c r="EN72" s="3">
        <f t="shared" si="68"/>
        <v>0</v>
      </c>
      <c r="EO72" s="3">
        <f t="shared" si="68"/>
        <v>0</v>
      </c>
      <c r="EP72" s="3">
        <f t="shared" si="68"/>
        <v>0</v>
      </c>
      <c r="EQ72" s="3">
        <f t="shared" si="68"/>
        <v>0</v>
      </c>
      <c r="ER72" s="3">
        <f t="shared" si="68"/>
        <v>0</v>
      </c>
      <c r="ES72" s="3">
        <f t="shared" si="68"/>
        <v>0</v>
      </c>
      <c r="ET72" s="3">
        <f t="shared" si="68"/>
        <v>0</v>
      </c>
      <c r="EU72" s="3">
        <f t="shared" si="68"/>
        <v>0</v>
      </c>
      <c r="EV72" s="3">
        <f t="shared" si="68"/>
        <v>0</v>
      </c>
      <c r="EW72" s="3">
        <f t="shared" si="68"/>
        <v>0</v>
      </c>
      <c r="EX72" s="3">
        <f t="shared" si="68"/>
        <v>0</v>
      </c>
      <c r="EY72" s="3">
        <f t="shared" si="68"/>
        <v>0</v>
      </c>
      <c r="EZ72" s="3">
        <f t="shared" si="68"/>
        <v>0</v>
      </c>
      <c r="FA72" s="3">
        <f t="shared" si="68"/>
        <v>0</v>
      </c>
      <c r="FB72" s="3">
        <f t="shared" si="68"/>
        <v>0</v>
      </c>
      <c r="FC72" s="3">
        <f t="shared" si="68"/>
        <v>0</v>
      </c>
      <c r="FD72" s="3">
        <f t="shared" si="68"/>
        <v>0</v>
      </c>
      <c r="FE72" s="3">
        <f t="shared" si="68"/>
        <v>0</v>
      </c>
      <c r="FF72" s="3">
        <f t="shared" si="68"/>
        <v>0</v>
      </c>
      <c r="FG72" s="3">
        <f t="shared" si="68"/>
        <v>0</v>
      </c>
      <c r="FH72" s="3">
        <f t="shared" si="68"/>
        <v>0</v>
      </c>
      <c r="FI72" s="3">
        <f t="shared" si="68"/>
        <v>0</v>
      </c>
      <c r="FJ72" s="3">
        <f t="shared" si="68"/>
        <v>0</v>
      </c>
      <c r="FK72" s="3">
        <f t="shared" si="68"/>
        <v>0</v>
      </c>
      <c r="FL72" s="3">
        <f t="shared" si="68"/>
        <v>0</v>
      </c>
      <c r="FM72" s="3">
        <f t="shared" si="68"/>
        <v>0</v>
      </c>
      <c r="FN72" s="3">
        <f t="shared" si="68"/>
        <v>0</v>
      </c>
      <c r="FO72" s="3">
        <f t="shared" si="68"/>
        <v>0</v>
      </c>
      <c r="FP72" s="3">
        <f t="shared" si="68"/>
        <v>0</v>
      </c>
      <c r="FQ72" s="3">
        <f t="shared" si="68"/>
        <v>0</v>
      </c>
      <c r="FR72" s="3">
        <f t="shared" si="68"/>
        <v>0</v>
      </c>
      <c r="FS72" s="3">
        <f t="shared" ref="FS72:GX72" si="69">FS74</f>
        <v>0</v>
      </c>
      <c r="FT72" s="3">
        <f t="shared" si="69"/>
        <v>0</v>
      </c>
      <c r="FU72" s="3">
        <f t="shared" si="69"/>
        <v>0</v>
      </c>
      <c r="FV72" s="3">
        <f t="shared" si="69"/>
        <v>0</v>
      </c>
      <c r="FW72" s="3">
        <f t="shared" si="69"/>
        <v>0</v>
      </c>
      <c r="FX72" s="3">
        <f t="shared" si="69"/>
        <v>0</v>
      </c>
      <c r="FY72" s="3">
        <f t="shared" si="69"/>
        <v>0</v>
      </c>
      <c r="FZ72" s="3">
        <f t="shared" si="69"/>
        <v>0</v>
      </c>
      <c r="GA72" s="3">
        <f t="shared" si="69"/>
        <v>0</v>
      </c>
      <c r="GB72" s="3">
        <f t="shared" si="69"/>
        <v>0</v>
      </c>
      <c r="GC72" s="3">
        <f t="shared" si="69"/>
        <v>0</v>
      </c>
      <c r="GD72" s="3">
        <f t="shared" si="69"/>
        <v>0</v>
      </c>
      <c r="GE72" s="3">
        <f t="shared" si="69"/>
        <v>0</v>
      </c>
      <c r="GF72" s="3">
        <f t="shared" si="69"/>
        <v>0</v>
      </c>
      <c r="GG72" s="3">
        <f t="shared" si="69"/>
        <v>0</v>
      </c>
      <c r="GH72" s="3">
        <f t="shared" si="69"/>
        <v>0</v>
      </c>
      <c r="GI72" s="3">
        <f t="shared" si="69"/>
        <v>0</v>
      </c>
      <c r="GJ72" s="3">
        <f t="shared" si="69"/>
        <v>0</v>
      </c>
      <c r="GK72" s="3">
        <f t="shared" si="69"/>
        <v>0</v>
      </c>
      <c r="GL72" s="3">
        <f t="shared" si="69"/>
        <v>0</v>
      </c>
      <c r="GM72" s="3">
        <f t="shared" si="69"/>
        <v>0</v>
      </c>
      <c r="GN72" s="3">
        <f t="shared" si="69"/>
        <v>0</v>
      </c>
      <c r="GO72" s="3">
        <f t="shared" si="69"/>
        <v>0</v>
      </c>
      <c r="GP72" s="3">
        <f t="shared" si="69"/>
        <v>0</v>
      </c>
      <c r="GQ72" s="3">
        <f t="shared" si="69"/>
        <v>0</v>
      </c>
      <c r="GR72" s="3">
        <f t="shared" si="69"/>
        <v>0</v>
      </c>
      <c r="GS72" s="3">
        <f t="shared" si="69"/>
        <v>0</v>
      </c>
      <c r="GT72" s="3">
        <f t="shared" si="69"/>
        <v>0</v>
      </c>
      <c r="GU72" s="3">
        <f t="shared" si="69"/>
        <v>0</v>
      </c>
      <c r="GV72" s="3">
        <f t="shared" si="69"/>
        <v>0</v>
      </c>
      <c r="GW72" s="3">
        <f t="shared" si="69"/>
        <v>0</v>
      </c>
      <c r="GX72" s="3">
        <f t="shared" si="69"/>
        <v>0</v>
      </c>
    </row>
    <row r="74" spans="1:206">
      <c r="A74" s="2">
        <v>51</v>
      </c>
      <c r="B74" s="2">
        <f>B70</f>
        <v>1</v>
      </c>
      <c r="C74" s="2">
        <f>A70</f>
        <v>4</v>
      </c>
      <c r="D74" s="2">
        <f>ROW(A70)</f>
        <v>70</v>
      </c>
      <c r="E74" s="2"/>
      <c r="F74" s="2" t="str">
        <f>IF(F70&lt;&gt;"",F70,"")</f>
        <v>Новый раздел</v>
      </c>
      <c r="G74" s="2" t="str">
        <f>IF(G70&lt;&gt;"",G70,"")</f>
        <v>пуско-наладочные работы</v>
      </c>
      <c r="H74" s="2">
        <v>0</v>
      </c>
      <c r="I74" s="2"/>
      <c r="J74" s="2"/>
      <c r="K74" s="2"/>
      <c r="L74" s="2"/>
      <c r="M74" s="2"/>
      <c r="N74" s="2"/>
      <c r="O74" s="2">
        <f t="shared" ref="O74:T74" si="70">ROUND(AB74,2)</f>
        <v>0</v>
      </c>
      <c r="P74" s="2">
        <f t="shared" si="70"/>
        <v>0</v>
      </c>
      <c r="Q74" s="2">
        <f t="shared" si="70"/>
        <v>0</v>
      </c>
      <c r="R74" s="2">
        <f t="shared" si="70"/>
        <v>0</v>
      </c>
      <c r="S74" s="2">
        <f t="shared" si="70"/>
        <v>0</v>
      </c>
      <c r="T74" s="2">
        <f t="shared" si="70"/>
        <v>0</v>
      </c>
      <c r="U74" s="2">
        <f>AH74</f>
        <v>0</v>
      </c>
      <c r="V74" s="2">
        <f>AI74</f>
        <v>0</v>
      </c>
      <c r="W74" s="2">
        <f>ROUND(AJ74,2)</f>
        <v>0</v>
      </c>
      <c r="X74" s="2">
        <f>ROUND(AK74,2)</f>
        <v>0</v>
      </c>
      <c r="Y74" s="2">
        <f>ROUND(AL74,2)</f>
        <v>0</v>
      </c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>
        <f t="shared" ref="AO74:BD74" si="71">ROUND(BX74,2)</f>
        <v>0</v>
      </c>
      <c r="AP74" s="2">
        <f t="shared" si="71"/>
        <v>0</v>
      </c>
      <c r="AQ74" s="2">
        <f t="shared" si="71"/>
        <v>0</v>
      </c>
      <c r="AR74" s="2">
        <f t="shared" si="71"/>
        <v>0</v>
      </c>
      <c r="AS74" s="2">
        <f t="shared" si="71"/>
        <v>0</v>
      </c>
      <c r="AT74" s="2">
        <f t="shared" si="71"/>
        <v>0</v>
      </c>
      <c r="AU74" s="2">
        <f t="shared" si="71"/>
        <v>0</v>
      </c>
      <c r="AV74" s="2">
        <f t="shared" si="71"/>
        <v>0</v>
      </c>
      <c r="AW74" s="2">
        <f t="shared" si="71"/>
        <v>0</v>
      </c>
      <c r="AX74" s="2">
        <f t="shared" si="71"/>
        <v>0</v>
      </c>
      <c r="AY74" s="2">
        <f t="shared" si="71"/>
        <v>0</v>
      </c>
      <c r="AZ74" s="2">
        <f t="shared" si="71"/>
        <v>0</v>
      </c>
      <c r="BA74" s="2">
        <f t="shared" si="71"/>
        <v>0</v>
      </c>
      <c r="BB74" s="2">
        <f t="shared" si="71"/>
        <v>0</v>
      </c>
      <c r="BC74" s="2">
        <f t="shared" si="71"/>
        <v>0</v>
      </c>
      <c r="BD74" s="2">
        <f t="shared" si="71"/>
        <v>0</v>
      </c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>
        <v>0</v>
      </c>
    </row>
    <row r="76" spans="1:206">
      <c r="A76" s="4">
        <v>50</v>
      </c>
      <c r="B76" s="4">
        <v>0</v>
      </c>
      <c r="C76" s="4">
        <v>0</v>
      </c>
      <c r="D76" s="4">
        <v>1</v>
      </c>
      <c r="E76" s="4">
        <v>201</v>
      </c>
      <c r="F76" s="4">
        <f>ROUND(Source!O74,O76)</f>
        <v>0</v>
      </c>
      <c r="G76" s="4" t="s">
        <v>81</v>
      </c>
      <c r="H76" s="4" t="s">
        <v>82</v>
      </c>
      <c r="I76" s="4"/>
      <c r="J76" s="4"/>
      <c r="K76" s="4">
        <v>201</v>
      </c>
      <c r="L76" s="4">
        <v>1</v>
      </c>
      <c r="M76" s="4">
        <v>3</v>
      </c>
      <c r="N76" s="4" t="s">
        <v>3</v>
      </c>
      <c r="O76" s="4">
        <v>2</v>
      </c>
      <c r="P76" s="4"/>
      <c r="Q76" s="4"/>
      <c r="R76" s="4"/>
      <c r="S76" s="4"/>
      <c r="T76" s="4"/>
      <c r="U76" s="4"/>
      <c r="V76" s="4"/>
      <c r="W76" s="4"/>
    </row>
    <row r="77" spans="1:206">
      <c r="A77" s="4">
        <v>50</v>
      </c>
      <c r="B77" s="4">
        <v>0</v>
      </c>
      <c r="C77" s="4">
        <v>0</v>
      </c>
      <c r="D77" s="4">
        <v>1</v>
      </c>
      <c r="E77" s="4">
        <v>202</v>
      </c>
      <c r="F77" s="4">
        <f>ROUND(Source!P74,O77)</f>
        <v>0</v>
      </c>
      <c r="G77" s="4" t="s">
        <v>83</v>
      </c>
      <c r="H77" s="4" t="s">
        <v>84</v>
      </c>
      <c r="I77" s="4"/>
      <c r="J77" s="4"/>
      <c r="K77" s="4">
        <v>202</v>
      </c>
      <c r="L77" s="4">
        <v>2</v>
      </c>
      <c r="M77" s="4">
        <v>3</v>
      </c>
      <c r="N77" s="4" t="s">
        <v>3</v>
      </c>
      <c r="O77" s="4">
        <v>2</v>
      </c>
      <c r="P77" s="4"/>
      <c r="Q77" s="4"/>
      <c r="R77" s="4"/>
      <c r="S77" s="4"/>
      <c r="T77" s="4"/>
      <c r="U77" s="4"/>
      <c r="V77" s="4"/>
      <c r="W77" s="4"/>
    </row>
    <row r="78" spans="1:206">
      <c r="A78" s="4">
        <v>50</v>
      </c>
      <c r="B78" s="4">
        <v>0</v>
      </c>
      <c r="C78" s="4">
        <v>0</v>
      </c>
      <c r="D78" s="4">
        <v>1</v>
      </c>
      <c r="E78" s="4">
        <v>222</v>
      </c>
      <c r="F78" s="4">
        <f>ROUND(Source!AO74,O78)</f>
        <v>0</v>
      </c>
      <c r="G78" s="4" t="s">
        <v>85</v>
      </c>
      <c r="H78" s="4" t="s">
        <v>86</v>
      </c>
      <c r="I78" s="4"/>
      <c r="J78" s="4"/>
      <c r="K78" s="4">
        <v>222</v>
      </c>
      <c r="L78" s="4">
        <v>3</v>
      </c>
      <c r="M78" s="4">
        <v>3</v>
      </c>
      <c r="N78" s="4" t="s">
        <v>3</v>
      </c>
      <c r="O78" s="4">
        <v>2</v>
      </c>
      <c r="P78" s="4"/>
      <c r="Q78" s="4"/>
      <c r="R78" s="4"/>
      <c r="S78" s="4"/>
      <c r="T78" s="4"/>
      <c r="U78" s="4"/>
      <c r="V78" s="4"/>
      <c r="W78" s="4"/>
    </row>
    <row r="79" spans="1:206">
      <c r="A79" s="4">
        <v>50</v>
      </c>
      <c r="B79" s="4">
        <v>0</v>
      </c>
      <c r="C79" s="4">
        <v>0</v>
      </c>
      <c r="D79" s="4">
        <v>1</v>
      </c>
      <c r="E79" s="4">
        <v>225</v>
      </c>
      <c r="F79" s="4">
        <f>ROUND(Source!AV74,O79)</f>
        <v>0</v>
      </c>
      <c r="G79" s="4" t="s">
        <v>87</v>
      </c>
      <c r="H79" s="4" t="s">
        <v>88</v>
      </c>
      <c r="I79" s="4"/>
      <c r="J79" s="4"/>
      <c r="K79" s="4">
        <v>225</v>
      </c>
      <c r="L79" s="4">
        <v>4</v>
      </c>
      <c r="M79" s="4">
        <v>3</v>
      </c>
      <c r="N79" s="4" t="s">
        <v>3</v>
      </c>
      <c r="O79" s="4">
        <v>2</v>
      </c>
      <c r="P79" s="4"/>
      <c r="Q79" s="4"/>
      <c r="R79" s="4"/>
      <c r="S79" s="4"/>
      <c r="T79" s="4"/>
      <c r="U79" s="4"/>
      <c r="V79" s="4"/>
      <c r="W79" s="4"/>
    </row>
    <row r="80" spans="1:206">
      <c r="A80" s="4">
        <v>50</v>
      </c>
      <c r="B80" s="4">
        <v>0</v>
      </c>
      <c r="C80" s="4">
        <v>0</v>
      </c>
      <c r="D80" s="4">
        <v>1</v>
      </c>
      <c r="E80" s="4">
        <v>226</v>
      </c>
      <c r="F80" s="4">
        <f>ROUND(Source!AW74,O80)</f>
        <v>0</v>
      </c>
      <c r="G80" s="4" t="s">
        <v>89</v>
      </c>
      <c r="H80" s="4" t="s">
        <v>90</v>
      </c>
      <c r="I80" s="4"/>
      <c r="J80" s="4"/>
      <c r="K80" s="4">
        <v>226</v>
      </c>
      <c r="L80" s="4">
        <v>5</v>
      </c>
      <c r="M80" s="4">
        <v>3</v>
      </c>
      <c r="N80" s="4" t="s">
        <v>3</v>
      </c>
      <c r="O80" s="4">
        <v>2</v>
      </c>
      <c r="P80" s="4"/>
      <c r="Q80" s="4"/>
      <c r="R80" s="4"/>
      <c r="S80" s="4"/>
      <c r="T80" s="4"/>
      <c r="U80" s="4"/>
      <c r="V80" s="4"/>
      <c r="W80" s="4"/>
    </row>
    <row r="81" spans="1:23">
      <c r="A81" s="4">
        <v>50</v>
      </c>
      <c r="B81" s="4">
        <v>0</v>
      </c>
      <c r="C81" s="4">
        <v>0</v>
      </c>
      <c r="D81" s="4">
        <v>1</v>
      </c>
      <c r="E81" s="4">
        <v>227</v>
      </c>
      <c r="F81" s="4">
        <f>ROUND(Source!AX74,O81)</f>
        <v>0</v>
      </c>
      <c r="G81" s="4" t="s">
        <v>91</v>
      </c>
      <c r="H81" s="4" t="s">
        <v>92</v>
      </c>
      <c r="I81" s="4"/>
      <c r="J81" s="4"/>
      <c r="K81" s="4">
        <v>227</v>
      </c>
      <c r="L81" s="4">
        <v>6</v>
      </c>
      <c r="M81" s="4">
        <v>3</v>
      </c>
      <c r="N81" s="4" t="s">
        <v>3</v>
      </c>
      <c r="O81" s="4">
        <v>2</v>
      </c>
      <c r="P81" s="4"/>
      <c r="Q81" s="4"/>
      <c r="R81" s="4"/>
      <c r="S81" s="4"/>
      <c r="T81" s="4"/>
      <c r="U81" s="4"/>
      <c r="V81" s="4"/>
      <c r="W81" s="4"/>
    </row>
    <row r="82" spans="1:23">
      <c r="A82" s="4">
        <v>50</v>
      </c>
      <c r="B82" s="4">
        <v>0</v>
      </c>
      <c r="C82" s="4">
        <v>0</v>
      </c>
      <c r="D82" s="4">
        <v>1</v>
      </c>
      <c r="E82" s="4">
        <v>228</v>
      </c>
      <c r="F82" s="4">
        <f>ROUND(Source!AY74,O82)</f>
        <v>0</v>
      </c>
      <c r="G82" s="4" t="s">
        <v>93</v>
      </c>
      <c r="H82" s="4" t="s">
        <v>94</v>
      </c>
      <c r="I82" s="4"/>
      <c r="J82" s="4"/>
      <c r="K82" s="4">
        <v>228</v>
      </c>
      <c r="L82" s="4">
        <v>7</v>
      </c>
      <c r="M82" s="4">
        <v>3</v>
      </c>
      <c r="N82" s="4" t="s">
        <v>3</v>
      </c>
      <c r="O82" s="4">
        <v>2</v>
      </c>
      <c r="P82" s="4"/>
      <c r="Q82" s="4"/>
      <c r="R82" s="4"/>
      <c r="S82" s="4"/>
      <c r="T82" s="4"/>
      <c r="U82" s="4"/>
      <c r="V82" s="4"/>
      <c r="W82" s="4"/>
    </row>
    <row r="83" spans="1:23">
      <c r="A83" s="4">
        <v>50</v>
      </c>
      <c r="B83" s="4">
        <v>0</v>
      </c>
      <c r="C83" s="4">
        <v>0</v>
      </c>
      <c r="D83" s="4">
        <v>1</v>
      </c>
      <c r="E83" s="4">
        <v>216</v>
      </c>
      <c r="F83" s="4">
        <f>ROUND(Source!AP74,O83)</f>
        <v>0</v>
      </c>
      <c r="G83" s="4" t="s">
        <v>95</v>
      </c>
      <c r="H83" s="4" t="s">
        <v>96</v>
      </c>
      <c r="I83" s="4"/>
      <c r="J83" s="4"/>
      <c r="K83" s="4">
        <v>216</v>
      </c>
      <c r="L83" s="4">
        <v>8</v>
      </c>
      <c r="M83" s="4">
        <v>3</v>
      </c>
      <c r="N83" s="4" t="s">
        <v>3</v>
      </c>
      <c r="O83" s="4">
        <v>2</v>
      </c>
      <c r="P83" s="4"/>
      <c r="Q83" s="4"/>
      <c r="R83" s="4"/>
      <c r="S83" s="4"/>
      <c r="T83" s="4"/>
      <c r="U83" s="4"/>
      <c r="V83" s="4"/>
      <c r="W83" s="4"/>
    </row>
    <row r="84" spans="1:23">
      <c r="A84" s="4">
        <v>50</v>
      </c>
      <c r="B84" s="4">
        <v>0</v>
      </c>
      <c r="C84" s="4">
        <v>0</v>
      </c>
      <c r="D84" s="4">
        <v>1</v>
      </c>
      <c r="E84" s="4">
        <v>223</v>
      </c>
      <c r="F84" s="4">
        <f>ROUND(Source!AQ74,O84)</f>
        <v>0</v>
      </c>
      <c r="G84" s="4" t="s">
        <v>97</v>
      </c>
      <c r="H84" s="4" t="s">
        <v>98</v>
      </c>
      <c r="I84" s="4"/>
      <c r="J84" s="4"/>
      <c r="K84" s="4">
        <v>223</v>
      </c>
      <c r="L84" s="4">
        <v>9</v>
      </c>
      <c r="M84" s="4">
        <v>3</v>
      </c>
      <c r="N84" s="4" t="s">
        <v>3</v>
      </c>
      <c r="O84" s="4">
        <v>2</v>
      </c>
      <c r="P84" s="4"/>
      <c r="Q84" s="4"/>
      <c r="R84" s="4"/>
      <c r="S84" s="4"/>
      <c r="T84" s="4"/>
      <c r="U84" s="4"/>
      <c r="V84" s="4"/>
      <c r="W84" s="4"/>
    </row>
    <row r="85" spans="1:23">
      <c r="A85" s="4">
        <v>50</v>
      </c>
      <c r="B85" s="4">
        <v>0</v>
      </c>
      <c r="C85" s="4">
        <v>0</v>
      </c>
      <c r="D85" s="4">
        <v>1</v>
      </c>
      <c r="E85" s="4">
        <v>229</v>
      </c>
      <c r="F85" s="4">
        <f>ROUND(Source!AZ74,O85)</f>
        <v>0</v>
      </c>
      <c r="G85" s="4" t="s">
        <v>99</v>
      </c>
      <c r="H85" s="4" t="s">
        <v>100</v>
      </c>
      <c r="I85" s="4"/>
      <c r="J85" s="4"/>
      <c r="K85" s="4">
        <v>229</v>
      </c>
      <c r="L85" s="4">
        <v>10</v>
      </c>
      <c r="M85" s="4">
        <v>3</v>
      </c>
      <c r="N85" s="4" t="s">
        <v>3</v>
      </c>
      <c r="O85" s="4">
        <v>2</v>
      </c>
      <c r="P85" s="4"/>
      <c r="Q85" s="4"/>
      <c r="R85" s="4"/>
      <c r="S85" s="4"/>
      <c r="T85" s="4"/>
      <c r="U85" s="4"/>
      <c r="V85" s="4"/>
      <c r="W85" s="4"/>
    </row>
    <row r="86" spans="1:23">
      <c r="A86" s="4">
        <v>50</v>
      </c>
      <c r="B86" s="4">
        <v>0</v>
      </c>
      <c r="C86" s="4">
        <v>0</v>
      </c>
      <c r="D86" s="4">
        <v>1</v>
      </c>
      <c r="E86" s="4">
        <v>203</v>
      </c>
      <c r="F86" s="4">
        <f>ROUND(Source!Q74,O86)</f>
        <v>0</v>
      </c>
      <c r="G86" s="4" t="s">
        <v>101</v>
      </c>
      <c r="H86" s="4" t="s">
        <v>102</v>
      </c>
      <c r="I86" s="4"/>
      <c r="J86" s="4"/>
      <c r="K86" s="4">
        <v>203</v>
      </c>
      <c r="L86" s="4">
        <v>11</v>
      </c>
      <c r="M86" s="4">
        <v>3</v>
      </c>
      <c r="N86" s="4" t="s">
        <v>3</v>
      </c>
      <c r="O86" s="4">
        <v>2</v>
      </c>
      <c r="P86" s="4"/>
      <c r="Q86" s="4"/>
      <c r="R86" s="4"/>
      <c r="S86" s="4"/>
      <c r="T86" s="4"/>
      <c r="U86" s="4"/>
      <c r="V86" s="4"/>
      <c r="W86" s="4"/>
    </row>
    <row r="87" spans="1:23">
      <c r="A87" s="4">
        <v>50</v>
      </c>
      <c r="B87" s="4">
        <v>0</v>
      </c>
      <c r="C87" s="4">
        <v>0</v>
      </c>
      <c r="D87" s="4">
        <v>1</v>
      </c>
      <c r="E87" s="4">
        <v>231</v>
      </c>
      <c r="F87" s="4">
        <f>ROUND(Source!BB74,O87)</f>
        <v>0</v>
      </c>
      <c r="G87" s="4" t="s">
        <v>103</v>
      </c>
      <c r="H87" s="4" t="s">
        <v>104</v>
      </c>
      <c r="I87" s="4"/>
      <c r="J87" s="4"/>
      <c r="K87" s="4">
        <v>231</v>
      </c>
      <c r="L87" s="4">
        <v>12</v>
      </c>
      <c r="M87" s="4">
        <v>3</v>
      </c>
      <c r="N87" s="4" t="s">
        <v>3</v>
      </c>
      <c r="O87" s="4">
        <v>2</v>
      </c>
      <c r="P87" s="4"/>
      <c r="Q87" s="4"/>
      <c r="R87" s="4"/>
      <c r="S87" s="4"/>
      <c r="T87" s="4"/>
      <c r="U87" s="4"/>
      <c r="V87" s="4"/>
      <c r="W87" s="4"/>
    </row>
    <row r="88" spans="1:23">
      <c r="A88" s="4">
        <v>50</v>
      </c>
      <c r="B88" s="4">
        <v>0</v>
      </c>
      <c r="C88" s="4">
        <v>0</v>
      </c>
      <c r="D88" s="4">
        <v>1</v>
      </c>
      <c r="E88" s="4">
        <v>204</v>
      </c>
      <c r="F88" s="4">
        <f>ROUND(Source!R74,O88)</f>
        <v>0</v>
      </c>
      <c r="G88" s="4" t="s">
        <v>105</v>
      </c>
      <c r="H88" s="4" t="s">
        <v>106</v>
      </c>
      <c r="I88" s="4"/>
      <c r="J88" s="4"/>
      <c r="K88" s="4">
        <v>204</v>
      </c>
      <c r="L88" s="4">
        <v>13</v>
      </c>
      <c r="M88" s="4">
        <v>3</v>
      </c>
      <c r="N88" s="4" t="s">
        <v>3</v>
      </c>
      <c r="O88" s="4">
        <v>2</v>
      </c>
      <c r="P88" s="4"/>
      <c r="Q88" s="4"/>
      <c r="R88" s="4"/>
      <c r="S88" s="4"/>
      <c r="T88" s="4"/>
      <c r="U88" s="4"/>
      <c r="V88" s="4"/>
      <c r="W88" s="4"/>
    </row>
    <row r="89" spans="1:23">
      <c r="A89" s="4">
        <v>50</v>
      </c>
      <c r="B89" s="4">
        <v>0</v>
      </c>
      <c r="C89" s="4">
        <v>0</v>
      </c>
      <c r="D89" s="4">
        <v>1</v>
      </c>
      <c r="E89" s="4">
        <v>205</v>
      </c>
      <c r="F89" s="4">
        <f>ROUND(Source!S74,O89)</f>
        <v>0</v>
      </c>
      <c r="G89" s="4" t="s">
        <v>107</v>
      </c>
      <c r="H89" s="4" t="s">
        <v>108</v>
      </c>
      <c r="I89" s="4"/>
      <c r="J89" s="4"/>
      <c r="K89" s="4">
        <v>205</v>
      </c>
      <c r="L89" s="4">
        <v>14</v>
      </c>
      <c r="M89" s="4">
        <v>3</v>
      </c>
      <c r="N89" s="4" t="s">
        <v>3</v>
      </c>
      <c r="O89" s="4">
        <v>2</v>
      </c>
      <c r="P89" s="4"/>
      <c r="Q89" s="4"/>
      <c r="R89" s="4"/>
      <c r="S89" s="4"/>
      <c r="T89" s="4"/>
      <c r="U89" s="4"/>
      <c r="V89" s="4"/>
      <c r="W89" s="4"/>
    </row>
    <row r="90" spans="1:23">
      <c r="A90" s="4">
        <v>50</v>
      </c>
      <c r="B90" s="4">
        <v>0</v>
      </c>
      <c r="C90" s="4">
        <v>0</v>
      </c>
      <c r="D90" s="4">
        <v>1</v>
      </c>
      <c r="E90" s="4">
        <v>232</v>
      </c>
      <c r="F90" s="4">
        <f>ROUND(Source!BC74,O90)</f>
        <v>0</v>
      </c>
      <c r="G90" s="4" t="s">
        <v>109</v>
      </c>
      <c r="H90" s="4" t="s">
        <v>110</v>
      </c>
      <c r="I90" s="4"/>
      <c r="J90" s="4"/>
      <c r="K90" s="4">
        <v>232</v>
      </c>
      <c r="L90" s="4">
        <v>15</v>
      </c>
      <c r="M90" s="4">
        <v>3</v>
      </c>
      <c r="N90" s="4" t="s">
        <v>3</v>
      </c>
      <c r="O90" s="4">
        <v>2</v>
      </c>
      <c r="P90" s="4"/>
      <c r="Q90" s="4"/>
      <c r="R90" s="4"/>
      <c r="S90" s="4"/>
      <c r="T90" s="4"/>
      <c r="U90" s="4"/>
      <c r="V90" s="4"/>
      <c r="W90" s="4"/>
    </row>
    <row r="91" spans="1:23">
      <c r="A91" s="4">
        <v>50</v>
      </c>
      <c r="B91" s="4">
        <v>0</v>
      </c>
      <c r="C91" s="4">
        <v>0</v>
      </c>
      <c r="D91" s="4">
        <v>1</v>
      </c>
      <c r="E91" s="4">
        <v>214</v>
      </c>
      <c r="F91" s="4">
        <f>ROUND(Source!AS74,O91)</f>
        <v>0</v>
      </c>
      <c r="G91" s="4" t="s">
        <v>111</v>
      </c>
      <c r="H91" s="4" t="s">
        <v>112</v>
      </c>
      <c r="I91" s="4"/>
      <c r="J91" s="4"/>
      <c r="K91" s="4">
        <v>214</v>
      </c>
      <c r="L91" s="4">
        <v>16</v>
      </c>
      <c r="M91" s="4">
        <v>3</v>
      </c>
      <c r="N91" s="4" t="s">
        <v>3</v>
      </c>
      <c r="O91" s="4">
        <v>2</v>
      </c>
      <c r="P91" s="4"/>
      <c r="Q91" s="4"/>
      <c r="R91" s="4"/>
      <c r="S91" s="4"/>
      <c r="T91" s="4"/>
      <c r="U91" s="4"/>
      <c r="V91" s="4"/>
      <c r="W91" s="4"/>
    </row>
    <row r="92" spans="1:23">
      <c r="A92" s="4">
        <v>50</v>
      </c>
      <c r="B92" s="4">
        <v>0</v>
      </c>
      <c r="C92" s="4">
        <v>0</v>
      </c>
      <c r="D92" s="4">
        <v>1</v>
      </c>
      <c r="E92" s="4">
        <v>215</v>
      </c>
      <c r="F92" s="4">
        <f>ROUND(Source!AT74,O92)</f>
        <v>0</v>
      </c>
      <c r="G92" s="4" t="s">
        <v>113</v>
      </c>
      <c r="H92" s="4" t="s">
        <v>114</v>
      </c>
      <c r="I92" s="4"/>
      <c r="J92" s="4"/>
      <c r="K92" s="4">
        <v>215</v>
      </c>
      <c r="L92" s="4">
        <v>17</v>
      </c>
      <c r="M92" s="4">
        <v>3</v>
      </c>
      <c r="N92" s="4" t="s">
        <v>3</v>
      </c>
      <c r="O92" s="4">
        <v>2</v>
      </c>
      <c r="P92" s="4"/>
      <c r="Q92" s="4"/>
      <c r="R92" s="4"/>
      <c r="S92" s="4"/>
      <c r="T92" s="4"/>
      <c r="U92" s="4"/>
      <c r="V92" s="4"/>
      <c r="W92" s="4"/>
    </row>
    <row r="93" spans="1:23">
      <c r="A93" s="4">
        <v>50</v>
      </c>
      <c r="B93" s="4">
        <v>0</v>
      </c>
      <c r="C93" s="4">
        <v>0</v>
      </c>
      <c r="D93" s="4">
        <v>1</v>
      </c>
      <c r="E93" s="4">
        <v>217</v>
      </c>
      <c r="F93" s="4">
        <f>ROUND(Source!AU74,O93)</f>
        <v>0</v>
      </c>
      <c r="G93" s="4" t="s">
        <v>115</v>
      </c>
      <c r="H93" s="4" t="s">
        <v>116</v>
      </c>
      <c r="I93" s="4"/>
      <c r="J93" s="4"/>
      <c r="K93" s="4">
        <v>217</v>
      </c>
      <c r="L93" s="4">
        <v>18</v>
      </c>
      <c r="M93" s="4">
        <v>3</v>
      </c>
      <c r="N93" s="4" t="s">
        <v>3</v>
      </c>
      <c r="O93" s="4">
        <v>2</v>
      </c>
      <c r="P93" s="4"/>
      <c r="Q93" s="4"/>
      <c r="R93" s="4"/>
      <c r="S93" s="4"/>
      <c r="T93" s="4"/>
      <c r="U93" s="4"/>
      <c r="V93" s="4"/>
      <c r="W93" s="4"/>
    </row>
    <row r="94" spans="1:23">
      <c r="A94" s="4">
        <v>50</v>
      </c>
      <c r="B94" s="4">
        <v>0</v>
      </c>
      <c r="C94" s="4">
        <v>0</v>
      </c>
      <c r="D94" s="4">
        <v>1</v>
      </c>
      <c r="E94" s="4">
        <v>230</v>
      </c>
      <c r="F94" s="4">
        <f>ROUND(Source!BA74,O94)</f>
        <v>0</v>
      </c>
      <c r="G94" s="4" t="s">
        <v>117</v>
      </c>
      <c r="H94" s="4" t="s">
        <v>118</v>
      </c>
      <c r="I94" s="4"/>
      <c r="J94" s="4"/>
      <c r="K94" s="4">
        <v>230</v>
      </c>
      <c r="L94" s="4">
        <v>19</v>
      </c>
      <c r="M94" s="4">
        <v>3</v>
      </c>
      <c r="N94" s="4" t="s">
        <v>3</v>
      </c>
      <c r="O94" s="4">
        <v>2</v>
      </c>
      <c r="P94" s="4"/>
      <c r="Q94" s="4"/>
      <c r="R94" s="4"/>
      <c r="S94" s="4"/>
      <c r="T94" s="4"/>
      <c r="U94" s="4"/>
      <c r="V94" s="4"/>
      <c r="W94" s="4"/>
    </row>
    <row r="95" spans="1:23">
      <c r="A95" s="4">
        <v>50</v>
      </c>
      <c r="B95" s="4">
        <v>0</v>
      </c>
      <c r="C95" s="4">
        <v>0</v>
      </c>
      <c r="D95" s="4">
        <v>1</v>
      </c>
      <c r="E95" s="4">
        <v>206</v>
      </c>
      <c r="F95" s="4">
        <f>ROUND(Source!T74,O95)</f>
        <v>0</v>
      </c>
      <c r="G95" s="4" t="s">
        <v>119</v>
      </c>
      <c r="H95" s="4" t="s">
        <v>120</v>
      </c>
      <c r="I95" s="4"/>
      <c r="J95" s="4"/>
      <c r="K95" s="4">
        <v>206</v>
      </c>
      <c r="L95" s="4">
        <v>20</v>
      </c>
      <c r="M95" s="4">
        <v>3</v>
      </c>
      <c r="N95" s="4" t="s">
        <v>3</v>
      </c>
      <c r="O95" s="4">
        <v>2</v>
      </c>
      <c r="P95" s="4"/>
      <c r="Q95" s="4"/>
      <c r="R95" s="4"/>
      <c r="S95" s="4"/>
      <c r="T95" s="4"/>
      <c r="U95" s="4"/>
      <c r="V95" s="4"/>
      <c r="W95" s="4"/>
    </row>
    <row r="96" spans="1:23">
      <c r="A96" s="4">
        <v>50</v>
      </c>
      <c r="B96" s="4">
        <v>0</v>
      </c>
      <c r="C96" s="4">
        <v>0</v>
      </c>
      <c r="D96" s="4">
        <v>1</v>
      </c>
      <c r="E96" s="4">
        <v>207</v>
      </c>
      <c r="F96" s="4">
        <f>Source!U74</f>
        <v>0</v>
      </c>
      <c r="G96" s="4" t="s">
        <v>121</v>
      </c>
      <c r="H96" s="4" t="s">
        <v>122</v>
      </c>
      <c r="I96" s="4"/>
      <c r="J96" s="4"/>
      <c r="K96" s="4">
        <v>207</v>
      </c>
      <c r="L96" s="4">
        <v>21</v>
      </c>
      <c r="M96" s="4">
        <v>3</v>
      </c>
      <c r="N96" s="4" t="s">
        <v>3</v>
      </c>
      <c r="O96" s="4">
        <v>-1</v>
      </c>
      <c r="P96" s="4"/>
      <c r="Q96" s="4"/>
      <c r="R96" s="4"/>
      <c r="S96" s="4"/>
      <c r="T96" s="4"/>
      <c r="U96" s="4"/>
      <c r="V96" s="4"/>
      <c r="W96" s="4"/>
    </row>
    <row r="97" spans="1:206">
      <c r="A97" s="4">
        <v>50</v>
      </c>
      <c r="B97" s="4">
        <v>0</v>
      </c>
      <c r="C97" s="4">
        <v>0</v>
      </c>
      <c r="D97" s="4">
        <v>1</v>
      </c>
      <c r="E97" s="4">
        <v>208</v>
      </c>
      <c r="F97" s="4">
        <f>Source!V74</f>
        <v>0</v>
      </c>
      <c r="G97" s="4" t="s">
        <v>123</v>
      </c>
      <c r="H97" s="4" t="s">
        <v>124</v>
      </c>
      <c r="I97" s="4"/>
      <c r="J97" s="4"/>
      <c r="K97" s="4">
        <v>208</v>
      </c>
      <c r="L97" s="4">
        <v>22</v>
      </c>
      <c r="M97" s="4">
        <v>3</v>
      </c>
      <c r="N97" s="4" t="s">
        <v>3</v>
      </c>
      <c r="O97" s="4">
        <v>-1</v>
      </c>
      <c r="P97" s="4"/>
      <c r="Q97" s="4"/>
      <c r="R97" s="4"/>
      <c r="S97" s="4"/>
      <c r="T97" s="4"/>
      <c r="U97" s="4"/>
      <c r="V97" s="4"/>
      <c r="W97" s="4"/>
    </row>
    <row r="98" spans="1:206">
      <c r="A98" s="4">
        <v>50</v>
      </c>
      <c r="B98" s="4">
        <v>0</v>
      </c>
      <c r="C98" s="4">
        <v>0</v>
      </c>
      <c r="D98" s="4">
        <v>1</v>
      </c>
      <c r="E98" s="4">
        <v>209</v>
      </c>
      <c r="F98" s="4">
        <f>ROUND(Source!W74,O98)</f>
        <v>0</v>
      </c>
      <c r="G98" s="4" t="s">
        <v>125</v>
      </c>
      <c r="H98" s="4" t="s">
        <v>126</v>
      </c>
      <c r="I98" s="4"/>
      <c r="J98" s="4"/>
      <c r="K98" s="4">
        <v>209</v>
      </c>
      <c r="L98" s="4">
        <v>23</v>
      </c>
      <c r="M98" s="4">
        <v>3</v>
      </c>
      <c r="N98" s="4" t="s">
        <v>3</v>
      </c>
      <c r="O98" s="4">
        <v>2</v>
      </c>
      <c r="P98" s="4"/>
      <c r="Q98" s="4"/>
      <c r="R98" s="4"/>
      <c r="S98" s="4"/>
      <c r="T98" s="4"/>
      <c r="U98" s="4"/>
      <c r="V98" s="4"/>
      <c r="W98" s="4"/>
    </row>
    <row r="99" spans="1:206">
      <c r="A99" s="4">
        <v>50</v>
      </c>
      <c r="B99" s="4">
        <v>0</v>
      </c>
      <c r="C99" s="4">
        <v>0</v>
      </c>
      <c r="D99" s="4">
        <v>1</v>
      </c>
      <c r="E99" s="4">
        <v>233</v>
      </c>
      <c r="F99" s="4">
        <f>ROUND(Source!BD74,O99)</f>
        <v>0</v>
      </c>
      <c r="G99" s="4" t="s">
        <v>127</v>
      </c>
      <c r="H99" s="4" t="s">
        <v>128</v>
      </c>
      <c r="I99" s="4"/>
      <c r="J99" s="4"/>
      <c r="K99" s="4">
        <v>233</v>
      </c>
      <c r="L99" s="4">
        <v>24</v>
      </c>
      <c r="M99" s="4">
        <v>3</v>
      </c>
      <c r="N99" s="4" t="s">
        <v>3</v>
      </c>
      <c r="O99" s="4">
        <v>2</v>
      </c>
      <c r="P99" s="4"/>
      <c r="Q99" s="4"/>
      <c r="R99" s="4"/>
      <c r="S99" s="4"/>
      <c r="T99" s="4"/>
      <c r="U99" s="4"/>
      <c r="V99" s="4"/>
      <c r="W99" s="4"/>
    </row>
    <row r="100" spans="1:206">
      <c r="A100" s="4">
        <v>50</v>
      </c>
      <c r="B100" s="4">
        <v>0</v>
      </c>
      <c r="C100" s="4">
        <v>0</v>
      </c>
      <c r="D100" s="4">
        <v>1</v>
      </c>
      <c r="E100" s="4">
        <v>210</v>
      </c>
      <c r="F100" s="4">
        <f>ROUND(Source!X74,O100)</f>
        <v>0</v>
      </c>
      <c r="G100" s="4" t="s">
        <v>129</v>
      </c>
      <c r="H100" s="4" t="s">
        <v>130</v>
      </c>
      <c r="I100" s="4"/>
      <c r="J100" s="4"/>
      <c r="K100" s="4">
        <v>210</v>
      </c>
      <c r="L100" s="4">
        <v>25</v>
      </c>
      <c r="M100" s="4">
        <v>3</v>
      </c>
      <c r="N100" s="4" t="s">
        <v>3</v>
      </c>
      <c r="O100" s="4">
        <v>2</v>
      </c>
      <c r="P100" s="4"/>
      <c r="Q100" s="4"/>
      <c r="R100" s="4"/>
      <c r="S100" s="4"/>
      <c r="T100" s="4"/>
      <c r="U100" s="4"/>
      <c r="V100" s="4"/>
      <c r="W100" s="4"/>
    </row>
    <row r="101" spans="1:206">
      <c r="A101" s="4">
        <v>50</v>
      </c>
      <c r="B101" s="4">
        <v>0</v>
      </c>
      <c r="C101" s="4">
        <v>0</v>
      </c>
      <c r="D101" s="4">
        <v>1</v>
      </c>
      <c r="E101" s="4">
        <v>211</v>
      </c>
      <c r="F101" s="4">
        <f>ROUND(Source!Y74,O101)</f>
        <v>0</v>
      </c>
      <c r="G101" s="4" t="s">
        <v>131</v>
      </c>
      <c r="H101" s="4" t="s">
        <v>132</v>
      </c>
      <c r="I101" s="4"/>
      <c r="J101" s="4"/>
      <c r="K101" s="4">
        <v>211</v>
      </c>
      <c r="L101" s="4">
        <v>26</v>
      </c>
      <c r="M101" s="4">
        <v>3</v>
      </c>
      <c r="N101" s="4" t="s">
        <v>3</v>
      </c>
      <c r="O101" s="4">
        <v>2</v>
      </c>
      <c r="P101" s="4"/>
      <c r="Q101" s="4"/>
      <c r="R101" s="4"/>
      <c r="S101" s="4"/>
      <c r="T101" s="4"/>
      <c r="U101" s="4"/>
      <c r="V101" s="4"/>
      <c r="W101" s="4"/>
    </row>
    <row r="102" spans="1:206">
      <c r="A102" s="4">
        <v>50</v>
      </c>
      <c r="B102" s="4">
        <v>0</v>
      </c>
      <c r="C102" s="4">
        <v>0</v>
      </c>
      <c r="D102" s="4">
        <v>1</v>
      </c>
      <c r="E102" s="4">
        <v>224</v>
      </c>
      <c r="F102" s="4">
        <f>ROUND(Source!AR74,O102)</f>
        <v>0</v>
      </c>
      <c r="G102" s="4" t="s">
        <v>133</v>
      </c>
      <c r="H102" s="4" t="s">
        <v>134</v>
      </c>
      <c r="I102" s="4"/>
      <c r="J102" s="4"/>
      <c r="K102" s="4">
        <v>224</v>
      </c>
      <c r="L102" s="4">
        <v>27</v>
      </c>
      <c r="M102" s="4">
        <v>3</v>
      </c>
      <c r="N102" s="4" t="s">
        <v>3</v>
      </c>
      <c r="O102" s="4">
        <v>2</v>
      </c>
      <c r="P102" s="4"/>
      <c r="Q102" s="4"/>
      <c r="R102" s="4"/>
      <c r="S102" s="4"/>
      <c r="T102" s="4"/>
      <c r="U102" s="4"/>
      <c r="V102" s="4"/>
      <c r="W102" s="4"/>
    </row>
    <row r="104" spans="1:206">
      <c r="A104" s="2">
        <v>51</v>
      </c>
      <c r="B104" s="2">
        <f>B20</f>
        <v>1</v>
      </c>
      <c r="C104" s="2">
        <f>A20</f>
        <v>3</v>
      </c>
      <c r="D104" s="2">
        <f>ROW(A20)</f>
        <v>20</v>
      </c>
      <c r="E104" s="2"/>
      <c r="F104" s="2" t="str">
        <f>IF(F20&lt;&gt;"",F20,"")</f>
        <v>Новая локальная смета</v>
      </c>
      <c r="G104" s="2" t="str">
        <f>IF(G20&lt;&gt;"",G20,"")</f>
        <v>Новая локальная смета</v>
      </c>
      <c r="H104" s="2">
        <v>0</v>
      </c>
      <c r="I104" s="2"/>
      <c r="J104" s="2"/>
      <c r="K104" s="2"/>
      <c r="L104" s="2"/>
      <c r="M104" s="2"/>
      <c r="N104" s="2"/>
      <c r="O104" s="2">
        <f t="shared" ref="O104:T104" si="72">ROUND(O40+O74+AB104,2)</f>
        <v>96001.85</v>
      </c>
      <c r="P104" s="2">
        <f t="shared" si="72"/>
        <v>64239.13</v>
      </c>
      <c r="Q104" s="2">
        <f t="shared" si="72"/>
        <v>1485.45</v>
      </c>
      <c r="R104" s="2">
        <f t="shared" si="72"/>
        <v>294.42</v>
      </c>
      <c r="S104" s="2">
        <f t="shared" si="72"/>
        <v>30277.27</v>
      </c>
      <c r="T104" s="2">
        <f t="shared" si="72"/>
        <v>0</v>
      </c>
      <c r="U104" s="2">
        <f>U40+U74+AH104</f>
        <v>100.55000000000001</v>
      </c>
      <c r="V104" s="2">
        <f>V40+V74+AI104</f>
        <v>0.72</v>
      </c>
      <c r="W104" s="2">
        <f>ROUND(W40+W74+AJ104,2)</f>
        <v>1183.43</v>
      </c>
      <c r="X104" s="2">
        <f>ROUND(X40+X74+AK104,2)</f>
        <v>27262.15</v>
      </c>
      <c r="Y104" s="2">
        <f>ROUND(Y40+Y74+AL104,2)</f>
        <v>19277.939999999999</v>
      </c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>
        <f t="shared" ref="AO104:BD104" si="73">ROUND(AO40+AO74+BX104,2)</f>
        <v>0</v>
      </c>
      <c r="AP104" s="2">
        <f t="shared" si="73"/>
        <v>0</v>
      </c>
      <c r="AQ104" s="2">
        <f t="shared" si="73"/>
        <v>0</v>
      </c>
      <c r="AR104" s="2">
        <f t="shared" si="73"/>
        <v>142541.94</v>
      </c>
      <c r="AS104" s="2">
        <f t="shared" si="73"/>
        <v>3213.28</v>
      </c>
      <c r="AT104" s="2">
        <f t="shared" si="73"/>
        <v>139328.66</v>
      </c>
      <c r="AU104" s="2">
        <f t="shared" si="73"/>
        <v>0</v>
      </c>
      <c r="AV104" s="2">
        <f t="shared" si="73"/>
        <v>64239.13</v>
      </c>
      <c r="AW104" s="2">
        <f t="shared" si="73"/>
        <v>64239.13</v>
      </c>
      <c r="AX104" s="2">
        <f t="shared" si="73"/>
        <v>0</v>
      </c>
      <c r="AY104" s="2">
        <f t="shared" si="73"/>
        <v>64239.13</v>
      </c>
      <c r="AZ104" s="2">
        <f t="shared" si="73"/>
        <v>0</v>
      </c>
      <c r="BA104" s="2">
        <f t="shared" si="73"/>
        <v>0</v>
      </c>
      <c r="BB104" s="2">
        <f t="shared" si="73"/>
        <v>0</v>
      </c>
      <c r="BC104" s="2">
        <f t="shared" si="73"/>
        <v>0</v>
      </c>
      <c r="BD104" s="2">
        <f t="shared" si="73"/>
        <v>0</v>
      </c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>
        <v>0</v>
      </c>
    </row>
    <row r="106" spans="1:206">
      <c r="A106" s="4">
        <v>50</v>
      </c>
      <c r="B106" s="4">
        <v>0</v>
      </c>
      <c r="C106" s="4">
        <v>0</v>
      </c>
      <c r="D106" s="4">
        <v>1</v>
      </c>
      <c r="E106" s="4">
        <v>201</v>
      </c>
      <c r="F106" s="4">
        <f>ROUND(Source!O104,O106)</f>
        <v>96001.85</v>
      </c>
      <c r="G106" s="4" t="s">
        <v>81</v>
      </c>
      <c r="H106" s="4" t="s">
        <v>82</v>
      </c>
      <c r="I106" s="4"/>
      <c r="J106" s="4"/>
      <c r="K106" s="4">
        <v>201</v>
      </c>
      <c r="L106" s="4">
        <v>1</v>
      </c>
      <c r="M106" s="4">
        <v>3</v>
      </c>
      <c r="N106" s="4" t="s">
        <v>3</v>
      </c>
      <c r="O106" s="4">
        <v>2</v>
      </c>
      <c r="P106" s="4"/>
      <c r="Q106" s="4"/>
      <c r="R106" s="4"/>
      <c r="S106" s="4"/>
      <c r="T106" s="4"/>
      <c r="U106" s="4"/>
      <c r="V106" s="4"/>
      <c r="W106" s="4"/>
    </row>
    <row r="107" spans="1:206">
      <c r="A107" s="4">
        <v>50</v>
      </c>
      <c r="B107" s="4">
        <v>0</v>
      </c>
      <c r="C107" s="4">
        <v>0</v>
      </c>
      <c r="D107" s="4">
        <v>1</v>
      </c>
      <c r="E107" s="4">
        <v>202</v>
      </c>
      <c r="F107" s="4">
        <f>ROUND(Source!P104,O107)</f>
        <v>64239.13</v>
      </c>
      <c r="G107" s="4" t="s">
        <v>83</v>
      </c>
      <c r="H107" s="4" t="s">
        <v>84</v>
      </c>
      <c r="I107" s="4"/>
      <c r="J107" s="4"/>
      <c r="K107" s="4">
        <v>202</v>
      </c>
      <c r="L107" s="4">
        <v>2</v>
      </c>
      <c r="M107" s="4">
        <v>3</v>
      </c>
      <c r="N107" s="4" t="s">
        <v>3</v>
      </c>
      <c r="O107" s="4">
        <v>2</v>
      </c>
      <c r="P107" s="4"/>
      <c r="Q107" s="4"/>
      <c r="R107" s="4"/>
      <c r="S107" s="4"/>
      <c r="T107" s="4"/>
      <c r="U107" s="4"/>
      <c r="V107" s="4"/>
      <c r="W107" s="4"/>
    </row>
    <row r="108" spans="1:206">
      <c r="A108" s="4">
        <v>50</v>
      </c>
      <c r="B108" s="4">
        <v>0</v>
      </c>
      <c r="C108" s="4">
        <v>0</v>
      </c>
      <c r="D108" s="4">
        <v>1</v>
      </c>
      <c r="E108" s="4">
        <v>222</v>
      </c>
      <c r="F108" s="4">
        <f>ROUND(Source!AO104,O108)</f>
        <v>0</v>
      </c>
      <c r="G108" s="4" t="s">
        <v>85</v>
      </c>
      <c r="H108" s="4" t="s">
        <v>86</v>
      </c>
      <c r="I108" s="4"/>
      <c r="J108" s="4"/>
      <c r="K108" s="4">
        <v>222</v>
      </c>
      <c r="L108" s="4">
        <v>3</v>
      </c>
      <c r="M108" s="4">
        <v>3</v>
      </c>
      <c r="N108" s="4" t="s">
        <v>3</v>
      </c>
      <c r="O108" s="4">
        <v>2</v>
      </c>
      <c r="P108" s="4"/>
      <c r="Q108" s="4"/>
      <c r="R108" s="4"/>
      <c r="S108" s="4"/>
      <c r="T108" s="4"/>
      <c r="U108" s="4"/>
      <c r="V108" s="4"/>
      <c r="W108" s="4"/>
    </row>
    <row r="109" spans="1:206">
      <c r="A109" s="4">
        <v>50</v>
      </c>
      <c r="B109" s="4">
        <v>0</v>
      </c>
      <c r="C109" s="4">
        <v>0</v>
      </c>
      <c r="D109" s="4">
        <v>1</v>
      </c>
      <c r="E109" s="4">
        <v>225</v>
      </c>
      <c r="F109" s="4">
        <f>ROUND(Source!AV104,O109)</f>
        <v>64239.13</v>
      </c>
      <c r="G109" s="4" t="s">
        <v>87</v>
      </c>
      <c r="H109" s="4" t="s">
        <v>88</v>
      </c>
      <c r="I109" s="4"/>
      <c r="J109" s="4"/>
      <c r="K109" s="4">
        <v>225</v>
      </c>
      <c r="L109" s="4">
        <v>4</v>
      </c>
      <c r="M109" s="4">
        <v>3</v>
      </c>
      <c r="N109" s="4" t="s">
        <v>3</v>
      </c>
      <c r="O109" s="4">
        <v>2</v>
      </c>
      <c r="P109" s="4"/>
      <c r="Q109" s="4"/>
      <c r="R109" s="4"/>
      <c r="S109" s="4"/>
      <c r="T109" s="4"/>
      <c r="U109" s="4"/>
      <c r="V109" s="4"/>
      <c r="W109" s="4"/>
    </row>
    <row r="110" spans="1:206">
      <c r="A110" s="4">
        <v>50</v>
      </c>
      <c r="B110" s="4">
        <v>0</v>
      </c>
      <c r="C110" s="4">
        <v>0</v>
      </c>
      <c r="D110" s="4">
        <v>1</v>
      </c>
      <c r="E110" s="4">
        <v>226</v>
      </c>
      <c r="F110" s="4">
        <f>ROUND(Source!AW104,O110)</f>
        <v>64239.13</v>
      </c>
      <c r="G110" s="4" t="s">
        <v>89</v>
      </c>
      <c r="H110" s="4" t="s">
        <v>90</v>
      </c>
      <c r="I110" s="4"/>
      <c r="J110" s="4"/>
      <c r="K110" s="4">
        <v>226</v>
      </c>
      <c r="L110" s="4">
        <v>5</v>
      </c>
      <c r="M110" s="4">
        <v>3</v>
      </c>
      <c r="N110" s="4" t="s">
        <v>3</v>
      </c>
      <c r="O110" s="4">
        <v>2</v>
      </c>
      <c r="P110" s="4"/>
      <c r="Q110" s="4"/>
      <c r="R110" s="4"/>
      <c r="S110" s="4"/>
      <c r="T110" s="4"/>
      <c r="U110" s="4"/>
      <c r="V110" s="4"/>
      <c r="W110" s="4"/>
    </row>
    <row r="111" spans="1:206">
      <c r="A111" s="4">
        <v>50</v>
      </c>
      <c r="B111" s="4">
        <v>0</v>
      </c>
      <c r="C111" s="4">
        <v>0</v>
      </c>
      <c r="D111" s="4">
        <v>1</v>
      </c>
      <c r="E111" s="4">
        <v>227</v>
      </c>
      <c r="F111" s="4">
        <f>ROUND(Source!AX104,O111)</f>
        <v>0</v>
      </c>
      <c r="G111" s="4" t="s">
        <v>91</v>
      </c>
      <c r="H111" s="4" t="s">
        <v>92</v>
      </c>
      <c r="I111" s="4"/>
      <c r="J111" s="4"/>
      <c r="K111" s="4">
        <v>227</v>
      </c>
      <c r="L111" s="4">
        <v>6</v>
      </c>
      <c r="M111" s="4">
        <v>3</v>
      </c>
      <c r="N111" s="4" t="s">
        <v>3</v>
      </c>
      <c r="O111" s="4">
        <v>2</v>
      </c>
      <c r="P111" s="4"/>
      <c r="Q111" s="4"/>
      <c r="R111" s="4"/>
      <c r="S111" s="4"/>
      <c r="T111" s="4"/>
      <c r="U111" s="4"/>
      <c r="V111" s="4"/>
      <c r="W111" s="4"/>
    </row>
    <row r="112" spans="1:206">
      <c r="A112" s="4">
        <v>50</v>
      </c>
      <c r="B112" s="4">
        <v>0</v>
      </c>
      <c r="C112" s="4">
        <v>0</v>
      </c>
      <c r="D112" s="4">
        <v>1</v>
      </c>
      <c r="E112" s="4">
        <v>228</v>
      </c>
      <c r="F112" s="4">
        <f>ROUND(Source!AY104,O112)</f>
        <v>64239.13</v>
      </c>
      <c r="G112" s="4" t="s">
        <v>93</v>
      </c>
      <c r="H112" s="4" t="s">
        <v>94</v>
      </c>
      <c r="I112" s="4"/>
      <c r="J112" s="4"/>
      <c r="K112" s="4">
        <v>228</v>
      </c>
      <c r="L112" s="4">
        <v>7</v>
      </c>
      <c r="M112" s="4">
        <v>3</v>
      </c>
      <c r="N112" s="4" t="s">
        <v>3</v>
      </c>
      <c r="O112" s="4">
        <v>2</v>
      </c>
      <c r="P112" s="4"/>
      <c r="Q112" s="4"/>
      <c r="R112" s="4"/>
      <c r="S112" s="4"/>
      <c r="T112" s="4"/>
      <c r="U112" s="4"/>
      <c r="V112" s="4"/>
      <c r="W112" s="4"/>
    </row>
    <row r="113" spans="1:23">
      <c r="A113" s="4">
        <v>50</v>
      </c>
      <c r="B113" s="4">
        <v>0</v>
      </c>
      <c r="C113" s="4">
        <v>0</v>
      </c>
      <c r="D113" s="4">
        <v>1</v>
      </c>
      <c r="E113" s="4">
        <v>216</v>
      </c>
      <c r="F113" s="4">
        <f>ROUND(Source!AP104,O113)</f>
        <v>0</v>
      </c>
      <c r="G113" s="4" t="s">
        <v>95</v>
      </c>
      <c r="H113" s="4" t="s">
        <v>96</v>
      </c>
      <c r="I113" s="4"/>
      <c r="J113" s="4"/>
      <c r="K113" s="4">
        <v>216</v>
      </c>
      <c r="L113" s="4">
        <v>8</v>
      </c>
      <c r="M113" s="4">
        <v>3</v>
      </c>
      <c r="N113" s="4" t="s">
        <v>3</v>
      </c>
      <c r="O113" s="4">
        <v>2</v>
      </c>
      <c r="P113" s="4"/>
      <c r="Q113" s="4"/>
      <c r="R113" s="4"/>
      <c r="S113" s="4"/>
      <c r="T113" s="4"/>
      <c r="U113" s="4"/>
      <c r="V113" s="4"/>
      <c r="W113" s="4"/>
    </row>
    <row r="114" spans="1:23">
      <c r="A114" s="4">
        <v>50</v>
      </c>
      <c r="B114" s="4">
        <v>0</v>
      </c>
      <c r="C114" s="4">
        <v>0</v>
      </c>
      <c r="D114" s="4">
        <v>1</v>
      </c>
      <c r="E114" s="4">
        <v>223</v>
      </c>
      <c r="F114" s="4">
        <f>ROUND(Source!AQ104,O114)</f>
        <v>0</v>
      </c>
      <c r="G114" s="4" t="s">
        <v>97</v>
      </c>
      <c r="H114" s="4" t="s">
        <v>98</v>
      </c>
      <c r="I114" s="4"/>
      <c r="J114" s="4"/>
      <c r="K114" s="4">
        <v>223</v>
      </c>
      <c r="L114" s="4">
        <v>9</v>
      </c>
      <c r="M114" s="4">
        <v>3</v>
      </c>
      <c r="N114" s="4" t="s">
        <v>3</v>
      </c>
      <c r="O114" s="4">
        <v>2</v>
      </c>
      <c r="P114" s="4"/>
      <c r="Q114" s="4"/>
      <c r="R114" s="4"/>
      <c r="S114" s="4"/>
      <c r="T114" s="4"/>
      <c r="U114" s="4"/>
      <c r="V114" s="4"/>
      <c r="W114" s="4"/>
    </row>
    <row r="115" spans="1:23">
      <c r="A115" s="4">
        <v>50</v>
      </c>
      <c r="B115" s="4">
        <v>0</v>
      </c>
      <c r="C115" s="4">
        <v>0</v>
      </c>
      <c r="D115" s="4">
        <v>1</v>
      </c>
      <c r="E115" s="4">
        <v>229</v>
      </c>
      <c r="F115" s="4">
        <f>ROUND(Source!AZ104,O115)</f>
        <v>0</v>
      </c>
      <c r="G115" s="4" t="s">
        <v>99</v>
      </c>
      <c r="H115" s="4" t="s">
        <v>100</v>
      </c>
      <c r="I115" s="4"/>
      <c r="J115" s="4"/>
      <c r="K115" s="4">
        <v>229</v>
      </c>
      <c r="L115" s="4">
        <v>10</v>
      </c>
      <c r="M115" s="4">
        <v>3</v>
      </c>
      <c r="N115" s="4" t="s">
        <v>3</v>
      </c>
      <c r="O115" s="4">
        <v>2</v>
      </c>
      <c r="P115" s="4"/>
      <c r="Q115" s="4"/>
      <c r="R115" s="4"/>
      <c r="S115" s="4"/>
      <c r="T115" s="4"/>
      <c r="U115" s="4"/>
      <c r="V115" s="4"/>
      <c r="W115" s="4"/>
    </row>
    <row r="116" spans="1:23">
      <c r="A116" s="4">
        <v>50</v>
      </c>
      <c r="B116" s="4">
        <v>0</v>
      </c>
      <c r="C116" s="4">
        <v>0</v>
      </c>
      <c r="D116" s="4">
        <v>1</v>
      </c>
      <c r="E116" s="4">
        <v>203</v>
      </c>
      <c r="F116" s="4">
        <f>ROUND(Source!Q104,O116)</f>
        <v>1485.45</v>
      </c>
      <c r="G116" s="4" t="s">
        <v>101</v>
      </c>
      <c r="H116" s="4" t="s">
        <v>102</v>
      </c>
      <c r="I116" s="4"/>
      <c r="J116" s="4"/>
      <c r="K116" s="4">
        <v>203</v>
      </c>
      <c r="L116" s="4">
        <v>11</v>
      </c>
      <c r="M116" s="4">
        <v>3</v>
      </c>
      <c r="N116" s="4" t="s">
        <v>3</v>
      </c>
      <c r="O116" s="4">
        <v>2</v>
      </c>
      <c r="P116" s="4"/>
      <c r="Q116" s="4"/>
      <c r="R116" s="4"/>
      <c r="S116" s="4"/>
      <c r="T116" s="4"/>
      <c r="U116" s="4"/>
      <c r="V116" s="4"/>
      <c r="W116" s="4"/>
    </row>
    <row r="117" spans="1:23">
      <c r="A117" s="4">
        <v>50</v>
      </c>
      <c r="B117" s="4">
        <v>0</v>
      </c>
      <c r="C117" s="4">
        <v>0</v>
      </c>
      <c r="D117" s="4">
        <v>1</v>
      </c>
      <c r="E117" s="4">
        <v>231</v>
      </c>
      <c r="F117" s="4">
        <f>ROUND(Source!BB104,O117)</f>
        <v>0</v>
      </c>
      <c r="G117" s="4" t="s">
        <v>103</v>
      </c>
      <c r="H117" s="4" t="s">
        <v>104</v>
      </c>
      <c r="I117" s="4"/>
      <c r="J117" s="4"/>
      <c r="K117" s="4">
        <v>231</v>
      </c>
      <c r="L117" s="4">
        <v>12</v>
      </c>
      <c r="M117" s="4">
        <v>3</v>
      </c>
      <c r="N117" s="4" t="s">
        <v>3</v>
      </c>
      <c r="O117" s="4">
        <v>2</v>
      </c>
      <c r="P117" s="4"/>
      <c r="Q117" s="4"/>
      <c r="R117" s="4"/>
      <c r="S117" s="4"/>
      <c r="T117" s="4"/>
      <c r="U117" s="4"/>
      <c r="V117" s="4"/>
      <c r="W117" s="4"/>
    </row>
    <row r="118" spans="1:23">
      <c r="A118" s="4">
        <v>50</v>
      </c>
      <c r="B118" s="4">
        <v>0</v>
      </c>
      <c r="C118" s="4">
        <v>0</v>
      </c>
      <c r="D118" s="4">
        <v>1</v>
      </c>
      <c r="E118" s="4">
        <v>204</v>
      </c>
      <c r="F118" s="4">
        <f>ROUND(Source!R104,O118)</f>
        <v>294.42</v>
      </c>
      <c r="G118" s="4" t="s">
        <v>105</v>
      </c>
      <c r="H118" s="4" t="s">
        <v>106</v>
      </c>
      <c r="I118" s="4"/>
      <c r="J118" s="4"/>
      <c r="K118" s="4">
        <v>204</v>
      </c>
      <c r="L118" s="4">
        <v>13</v>
      </c>
      <c r="M118" s="4">
        <v>3</v>
      </c>
      <c r="N118" s="4" t="s">
        <v>3</v>
      </c>
      <c r="O118" s="4">
        <v>2</v>
      </c>
      <c r="P118" s="4"/>
      <c r="Q118" s="4"/>
      <c r="R118" s="4"/>
      <c r="S118" s="4"/>
      <c r="T118" s="4"/>
      <c r="U118" s="4"/>
      <c r="V118" s="4"/>
      <c r="W118" s="4"/>
    </row>
    <row r="119" spans="1:23">
      <c r="A119" s="4">
        <v>50</v>
      </c>
      <c r="B119" s="4">
        <v>0</v>
      </c>
      <c r="C119" s="4">
        <v>0</v>
      </c>
      <c r="D119" s="4">
        <v>1</v>
      </c>
      <c r="E119" s="4">
        <v>205</v>
      </c>
      <c r="F119" s="4">
        <f>ROUND(Source!S104,O119)</f>
        <v>30277.27</v>
      </c>
      <c r="G119" s="4" t="s">
        <v>107</v>
      </c>
      <c r="H119" s="4" t="s">
        <v>108</v>
      </c>
      <c r="I119" s="4"/>
      <c r="J119" s="4"/>
      <c r="K119" s="4">
        <v>205</v>
      </c>
      <c r="L119" s="4">
        <v>14</v>
      </c>
      <c r="M119" s="4">
        <v>3</v>
      </c>
      <c r="N119" s="4" t="s">
        <v>3</v>
      </c>
      <c r="O119" s="4">
        <v>2</v>
      </c>
      <c r="P119" s="4"/>
      <c r="Q119" s="4"/>
      <c r="R119" s="4"/>
      <c r="S119" s="4"/>
      <c r="T119" s="4"/>
      <c r="U119" s="4"/>
      <c r="V119" s="4"/>
      <c r="W119" s="4"/>
    </row>
    <row r="120" spans="1:23">
      <c r="A120" s="4">
        <v>50</v>
      </c>
      <c r="B120" s="4">
        <v>0</v>
      </c>
      <c r="C120" s="4">
        <v>0</v>
      </c>
      <c r="D120" s="4">
        <v>1</v>
      </c>
      <c r="E120" s="4">
        <v>232</v>
      </c>
      <c r="F120" s="4">
        <f>ROUND(Source!BC104,O120)</f>
        <v>0</v>
      </c>
      <c r="G120" s="4" t="s">
        <v>109</v>
      </c>
      <c r="H120" s="4" t="s">
        <v>110</v>
      </c>
      <c r="I120" s="4"/>
      <c r="J120" s="4"/>
      <c r="K120" s="4">
        <v>232</v>
      </c>
      <c r="L120" s="4">
        <v>15</v>
      </c>
      <c r="M120" s="4">
        <v>3</v>
      </c>
      <c r="N120" s="4" t="s">
        <v>3</v>
      </c>
      <c r="O120" s="4">
        <v>2</v>
      </c>
      <c r="P120" s="4"/>
      <c r="Q120" s="4"/>
      <c r="R120" s="4"/>
      <c r="S120" s="4"/>
      <c r="T120" s="4"/>
      <c r="U120" s="4"/>
      <c r="V120" s="4"/>
      <c r="W120" s="4"/>
    </row>
    <row r="121" spans="1:23">
      <c r="A121" s="4">
        <v>50</v>
      </c>
      <c r="B121" s="4">
        <v>0</v>
      </c>
      <c r="C121" s="4">
        <v>0</v>
      </c>
      <c r="D121" s="4">
        <v>1</v>
      </c>
      <c r="E121" s="4">
        <v>214</v>
      </c>
      <c r="F121" s="4">
        <f>ROUND(Source!AS104,O121)</f>
        <v>3213.28</v>
      </c>
      <c r="G121" s="4" t="s">
        <v>111</v>
      </c>
      <c r="H121" s="4" t="s">
        <v>112</v>
      </c>
      <c r="I121" s="4"/>
      <c r="J121" s="4"/>
      <c r="K121" s="4">
        <v>214</v>
      </c>
      <c r="L121" s="4">
        <v>16</v>
      </c>
      <c r="M121" s="4">
        <v>3</v>
      </c>
      <c r="N121" s="4" t="s">
        <v>3</v>
      </c>
      <c r="O121" s="4">
        <v>2</v>
      </c>
      <c r="P121" s="4"/>
      <c r="Q121" s="4"/>
      <c r="R121" s="4"/>
      <c r="S121" s="4"/>
      <c r="T121" s="4"/>
      <c r="U121" s="4"/>
      <c r="V121" s="4"/>
      <c r="W121" s="4"/>
    </row>
    <row r="122" spans="1:23">
      <c r="A122" s="4">
        <v>50</v>
      </c>
      <c r="B122" s="4">
        <v>0</v>
      </c>
      <c r="C122" s="4">
        <v>0</v>
      </c>
      <c r="D122" s="4">
        <v>1</v>
      </c>
      <c r="E122" s="4">
        <v>215</v>
      </c>
      <c r="F122" s="4">
        <f>ROUND(Source!AT104,O122)</f>
        <v>139328.66</v>
      </c>
      <c r="G122" s="4" t="s">
        <v>113</v>
      </c>
      <c r="H122" s="4" t="s">
        <v>114</v>
      </c>
      <c r="I122" s="4"/>
      <c r="J122" s="4"/>
      <c r="K122" s="4">
        <v>215</v>
      </c>
      <c r="L122" s="4">
        <v>17</v>
      </c>
      <c r="M122" s="4">
        <v>3</v>
      </c>
      <c r="N122" s="4" t="s">
        <v>3</v>
      </c>
      <c r="O122" s="4">
        <v>2</v>
      </c>
      <c r="P122" s="4"/>
      <c r="Q122" s="4"/>
      <c r="R122" s="4"/>
      <c r="S122" s="4"/>
      <c r="T122" s="4"/>
      <c r="U122" s="4"/>
      <c r="V122" s="4"/>
      <c r="W122" s="4"/>
    </row>
    <row r="123" spans="1:23">
      <c r="A123" s="4">
        <v>50</v>
      </c>
      <c r="B123" s="4">
        <v>0</v>
      </c>
      <c r="C123" s="4">
        <v>0</v>
      </c>
      <c r="D123" s="4">
        <v>1</v>
      </c>
      <c r="E123" s="4">
        <v>217</v>
      </c>
      <c r="F123" s="4">
        <f>ROUND(Source!AU104,O123)</f>
        <v>0</v>
      </c>
      <c r="G123" s="4" t="s">
        <v>115</v>
      </c>
      <c r="H123" s="4" t="s">
        <v>116</v>
      </c>
      <c r="I123" s="4"/>
      <c r="J123" s="4"/>
      <c r="K123" s="4">
        <v>217</v>
      </c>
      <c r="L123" s="4">
        <v>18</v>
      </c>
      <c r="M123" s="4">
        <v>3</v>
      </c>
      <c r="N123" s="4" t="s">
        <v>3</v>
      </c>
      <c r="O123" s="4">
        <v>2</v>
      </c>
      <c r="P123" s="4"/>
      <c r="Q123" s="4"/>
      <c r="R123" s="4"/>
      <c r="S123" s="4"/>
      <c r="T123" s="4"/>
      <c r="U123" s="4"/>
      <c r="V123" s="4"/>
      <c r="W123" s="4"/>
    </row>
    <row r="124" spans="1:23">
      <c r="A124" s="4">
        <v>50</v>
      </c>
      <c r="B124" s="4">
        <v>0</v>
      </c>
      <c r="C124" s="4">
        <v>0</v>
      </c>
      <c r="D124" s="4">
        <v>1</v>
      </c>
      <c r="E124" s="4">
        <v>230</v>
      </c>
      <c r="F124" s="4">
        <f>ROUND(Source!BA104,O124)</f>
        <v>0</v>
      </c>
      <c r="G124" s="4" t="s">
        <v>117</v>
      </c>
      <c r="H124" s="4" t="s">
        <v>118</v>
      </c>
      <c r="I124" s="4"/>
      <c r="J124" s="4"/>
      <c r="K124" s="4">
        <v>230</v>
      </c>
      <c r="L124" s="4">
        <v>19</v>
      </c>
      <c r="M124" s="4">
        <v>3</v>
      </c>
      <c r="N124" s="4" t="s">
        <v>3</v>
      </c>
      <c r="O124" s="4">
        <v>2</v>
      </c>
      <c r="P124" s="4"/>
      <c r="Q124" s="4"/>
      <c r="R124" s="4"/>
      <c r="S124" s="4"/>
      <c r="T124" s="4"/>
      <c r="U124" s="4"/>
      <c r="V124" s="4"/>
      <c r="W124" s="4"/>
    </row>
    <row r="125" spans="1:23">
      <c r="A125" s="4">
        <v>50</v>
      </c>
      <c r="B125" s="4">
        <v>0</v>
      </c>
      <c r="C125" s="4">
        <v>0</v>
      </c>
      <c r="D125" s="4">
        <v>1</v>
      </c>
      <c r="E125" s="4">
        <v>206</v>
      </c>
      <c r="F125" s="4">
        <f>ROUND(Source!T104,O125)</f>
        <v>0</v>
      </c>
      <c r="G125" s="4" t="s">
        <v>119</v>
      </c>
      <c r="H125" s="4" t="s">
        <v>120</v>
      </c>
      <c r="I125" s="4"/>
      <c r="J125" s="4"/>
      <c r="K125" s="4">
        <v>206</v>
      </c>
      <c r="L125" s="4">
        <v>20</v>
      </c>
      <c r="M125" s="4">
        <v>3</v>
      </c>
      <c r="N125" s="4" t="s">
        <v>3</v>
      </c>
      <c r="O125" s="4">
        <v>2</v>
      </c>
      <c r="P125" s="4"/>
      <c r="Q125" s="4"/>
      <c r="R125" s="4"/>
      <c r="S125" s="4"/>
      <c r="T125" s="4"/>
      <c r="U125" s="4"/>
      <c r="V125" s="4"/>
      <c r="W125" s="4"/>
    </row>
    <row r="126" spans="1:23">
      <c r="A126" s="4">
        <v>50</v>
      </c>
      <c r="B126" s="4">
        <v>0</v>
      </c>
      <c r="C126" s="4">
        <v>0</v>
      </c>
      <c r="D126" s="4">
        <v>1</v>
      </c>
      <c r="E126" s="4">
        <v>207</v>
      </c>
      <c r="F126" s="4">
        <f>Source!U104</f>
        <v>100.55000000000001</v>
      </c>
      <c r="G126" s="4" t="s">
        <v>121</v>
      </c>
      <c r="H126" s="4" t="s">
        <v>122</v>
      </c>
      <c r="I126" s="4"/>
      <c r="J126" s="4"/>
      <c r="K126" s="4">
        <v>207</v>
      </c>
      <c r="L126" s="4">
        <v>21</v>
      </c>
      <c r="M126" s="4">
        <v>3</v>
      </c>
      <c r="N126" s="4" t="s">
        <v>3</v>
      </c>
      <c r="O126" s="4">
        <v>-1</v>
      </c>
      <c r="P126" s="4"/>
      <c r="Q126" s="4"/>
      <c r="R126" s="4"/>
      <c r="S126" s="4"/>
      <c r="T126" s="4"/>
      <c r="U126" s="4"/>
      <c r="V126" s="4"/>
      <c r="W126" s="4"/>
    </row>
    <row r="127" spans="1:23">
      <c r="A127" s="4">
        <v>50</v>
      </c>
      <c r="B127" s="4">
        <v>0</v>
      </c>
      <c r="C127" s="4">
        <v>0</v>
      </c>
      <c r="D127" s="4">
        <v>1</v>
      </c>
      <c r="E127" s="4">
        <v>208</v>
      </c>
      <c r="F127" s="4">
        <f>Source!V104</f>
        <v>0.72</v>
      </c>
      <c r="G127" s="4" t="s">
        <v>123</v>
      </c>
      <c r="H127" s="4" t="s">
        <v>124</v>
      </c>
      <c r="I127" s="4"/>
      <c r="J127" s="4"/>
      <c r="K127" s="4">
        <v>208</v>
      </c>
      <c r="L127" s="4">
        <v>22</v>
      </c>
      <c r="M127" s="4">
        <v>3</v>
      </c>
      <c r="N127" s="4" t="s">
        <v>3</v>
      </c>
      <c r="O127" s="4">
        <v>-1</v>
      </c>
      <c r="P127" s="4"/>
      <c r="Q127" s="4"/>
      <c r="R127" s="4"/>
      <c r="S127" s="4"/>
      <c r="T127" s="4"/>
      <c r="U127" s="4"/>
      <c r="V127" s="4"/>
      <c r="W127" s="4"/>
    </row>
    <row r="128" spans="1:23">
      <c r="A128" s="4">
        <v>50</v>
      </c>
      <c r="B128" s="4">
        <v>0</v>
      </c>
      <c r="C128" s="4">
        <v>0</v>
      </c>
      <c r="D128" s="4">
        <v>1</v>
      </c>
      <c r="E128" s="4">
        <v>209</v>
      </c>
      <c r="F128" s="4">
        <f>ROUND(Source!W104,O128)</f>
        <v>1183.43</v>
      </c>
      <c r="G128" s="4" t="s">
        <v>125</v>
      </c>
      <c r="H128" s="4" t="s">
        <v>126</v>
      </c>
      <c r="I128" s="4"/>
      <c r="J128" s="4"/>
      <c r="K128" s="4">
        <v>209</v>
      </c>
      <c r="L128" s="4">
        <v>23</v>
      </c>
      <c r="M128" s="4">
        <v>3</v>
      </c>
      <c r="N128" s="4" t="s">
        <v>3</v>
      </c>
      <c r="O128" s="4">
        <v>2</v>
      </c>
      <c r="P128" s="4"/>
      <c r="Q128" s="4"/>
      <c r="R128" s="4"/>
      <c r="S128" s="4"/>
      <c r="T128" s="4"/>
      <c r="U128" s="4"/>
      <c r="V128" s="4"/>
      <c r="W128" s="4"/>
    </row>
    <row r="129" spans="1:206">
      <c r="A129" s="4">
        <v>50</v>
      </c>
      <c r="B129" s="4">
        <v>0</v>
      </c>
      <c r="C129" s="4">
        <v>0</v>
      </c>
      <c r="D129" s="4">
        <v>1</v>
      </c>
      <c r="E129" s="4">
        <v>233</v>
      </c>
      <c r="F129" s="4">
        <f>ROUND(Source!BD104,O129)</f>
        <v>0</v>
      </c>
      <c r="G129" s="4" t="s">
        <v>127</v>
      </c>
      <c r="H129" s="4" t="s">
        <v>128</v>
      </c>
      <c r="I129" s="4"/>
      <c r="J129" s="4"/>
      <c r="K129" s="4">
        <v>233</v>
      </c>
      <c r="L129" s="4">
        <v>24</v>
      </c>
      <c r="M129" s="4">
        <v>3</v>
      </c>
      <c r="N129" s="4" t="s">
        <v>3</v>
      </c>
      <c r="O129" s="4">
        <v>2</v>
      </c>
      <c r="P129" s="4"/>
      <c r="Q129" s="4"/>
      <c r="R129" s="4"/>
      <c r="S129" s="4"/>
      <c r="T129" s="4"/>
      <c r="U129" s="4"/>
      <c r="V129" s="4"/>
      <c r="W129" s="4"/>
    </row>
    <row r="130" spans="1:206">
      <c r="A130" s="4">
        <v>50</v>
      </c>
      <c r="B130" s="4">
        <v>0</v>
      </c>
      <c r="C130" s="4">
        <v>0</v>
      </c>
      <c r="D130" s="4">
        <v>1</v>
      </c>
      <c r="E130" s="4">
        <v>210</v>
      </c>
      <c r="F130" s="4">
        <f>ROUND(Source!X104,O130)</f>
        <v>27262.15</v>
      </c>
      <c r="G130" s="4" t="s">
        <v>129</v>
      </c>
      <c r="H130" s="4" t="s">
        <v>130</v>
      </c>
      <c r="I130" s="4"/>
      <c r="J130" s="4"/>
      <c r="K130" s="4">
        <v>210</v>
      </c>
      <c r="L130" s="4">
        <v>25</v>
      </c>
      <c r="M130" s="4">
        <v>3</v>
      </c>
      <c r="N130" s="4" t="s">
        <v>3</v>
      </c>
      <c r="O130" s="4">
        <v>2</v>
      </c>
      <c r="P130" s="4"/>
      <c r="Q130" s="4"/>
      <c r="R130" s="4"/>
      <c r="S130" s="4"/>
      <c r="T130" s="4"/>
      <c r="U130" s="4"/>
      <c r="V130" s="4"/>
      <c r="W130" s="4"/>
    </row>
    <row r="131" spans="1:206">
      <c r="A131" s="4">
        <v>50</v>
      </c>
      <c r="B131" s="4">
        <v>0</v>
      </c>
      <c r="C131" s="4">
        <v>0</v>
      </c>
      <c r="D131" s="4">
        <v>1</v>
      </c>
      <c r="E131" s="4">
        <v>211</v>
      </c>
      <c r="F131" s="4">
        <f>ROUND(Source!Y104,O131)</f>
        <v>19277.939999999999</v>
      </c>
      <c r="G131" s="4" t="s">
        <v>131</v>
      </c>
      <c r="H131" s="4" t="s">
        <v>132</v>
      </c>
      <c r="I131" s="4"/>
      <c r="J131" s="4"/>
      <c r="K131" s="4">
        <v>211</v>
      </c>
      <c r="L131" s="4">
        <v>27</v>
      </c>
      <c r="M131" s="4">
        <v>3</v>
      </c>
      <c r="N131" s="4" t="s">
        <v>3</v>
      </c>
      <c r="O131" s="4">
        <v>2</v>
      </c>
      <c r="P131" s="4"/>
      <c r="Q131" s="4"/>
      <c r="R131" s="4"/>
      <c r="S131" s="4"/>
      <c r="T131" s="4"/>
      <c r="U131" s="4"/>
      <c r="V131" s="4"/>
      <c r="W131" s="4"/>
    </row>
    <row r="132" spans="1:206">
      <c r="A132" s="4">
        <v>50</v>
      </c>
      <c r="B132" s="4">
        <v>0</v>
      </c>
      <c r="C132" s="4">
        <v>0</v>
      </c>
      <c r="D132" s="4">
        <v>1</v>
      </c>
      <c r="E132" s="4">
        <v>224</v>
      </c>
      <c r="F132" s="4">
        <f>ROUND(Source!AR104,O132)</f>
        <v>142541.94</v>
      </c>
      <c r="G132" s="4" t="s">
        <v>133</v>
      </c>
      <c r="H132" s="4" t="s">
        <v>134</v>
      </c>
      <c r="I132" s="4"/>
      <c r="J132" s="4"/>
      <c r="K132" s="4">
        <v>224</v>
      </c>
      <c r="L132" s="4">
        <v>28</v>
      </c>
      <c r="M132" s="4">
        <v>3</v>
      </c>
      <c r="N132" s="4" t="s">
        <v>3</v>
      </c>
      <c r="O132" s="4">
        <v>2</v>
      </c>
      <c r="P132" s="4"/>
      <c r="Q132" s="4"/>
      <c r="R132" s="4"/>
      <c r="S132" s="4"/>
      <c r="T132" s="4"/>
      <c r="U132" s="4"/>
      <c r="V132" s="4"/>
      <c r="W132" s="4"/>
    </row>
    <row r="134" spans="1:206">
      <c r="A134" s="2">
        <v>51</v>
      </c>
      <c r="B134" s="2">
        <f>B12</f>
        <v>195</v>
      </c>
      <c r="C134" s="2">
        <f>A12</f>
        <v>1</v>
      </c>
      <c r="D134" s="2">
        <f>ROW(A12)</f>
        <v>12</v>
      </c>
      <c r="E134" s="2"/>
      <c r="F134" s="2" t="str">
        <f>IF(F12&lt;&gt;"",F12,"")</f>
        <v>Новый объект</v>
      </c>
      <c r="G134" s="2" t="str">
        <f>IF(G12&lt;&gt;"",G12,"")</f>
        <v>видеонаблюдение внутренние Ильинский Погост 2020</v>
      </c>
      <c r="H134" s="2">
        <v>0</v>
      </c>
      <c r="I134" s="2"/>
      <c r="J134" s="2"/>
      <c r="K134" s="2"/>
      <c r="L134" s="2"/>
      <c r="M134" s="2"/>
      <c r="N134" s="2"/>
      <c r="O134" s="2">
        <f t="shared" ref="O134:T134" si="74">ROUND(O104,2)</f>
        <v>96001.85</v>
      </c>
      <c r="P134" s="2">
        <f t="shared" si="74"/>
        <v>64239.13</v>
      </c>
      <c r="Q134" s="2">
        <f t="shared" si="74"/>
        <v>1485.45</v>
      </c>
      <c r="R134" s="2">
        <f t="shared" si="74"/>
        <v>294.42</v>
      </c>
      <c r="S134" s="2">
        <f t="shared" si="74"/>
        <v>30277.27</v>
      </c>
      <c r="T134" s="2">
        <f t="shared" si="74"/>
        <v>0</v>
      </c>
      <c r="U134" s="2">
        <f>U104</f>
        <v>100.55000000000001</v>
      </c>
      <c r="V134" s="2">
        <f>V104</f>
        <v>0.72</v>
      </c>
      <c r="W134" s="2">
        <f>ROUND(W104,2)</f>
        <v>1183.43</v>
      </c>
      <c r="X134" s="2">
        <f>ROUND(X104,2)</f>
        <v>27262.15</v>
      </c>
      <c r="Y134" s="2">
        <f>ROUND(Y104,2)</f>
        <v>19277.939999999999</v>
      </c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>
        <f t="shared" ref="AO134:BD134" si="75">ROUND(AO104,2)</f>
        <v>0</v>
      </c>
      <c r="AP134" s="2">
        <f t="shared" si="75"/>
        <v>0</v>
      </c>
      <c r="AQ134" s="2">
        <f t="shared" si="75"/>
        <v>0</v>
      </c>
      <c r="AR134" s="2">
        <f t="shared" si="75"/>
        <v>142541.94</v>
      </c>
      <c r="AS134" s="2">
        <f t="shared" si="75"/>
        <v>3213.28</v>
      </c>
      <c r="AT134" s="2">
        <f t="shared" si="75"/>
        <v>139328.66</v>
      </c>
      <c r="AU134" s="2">
        <f t="shared" si="75"/>
        <v>0</v>
      </c>
      <c r="AV134" s="2">
        <f t="shared" si="75"/>
        <v>64239.13</v>
      </c>
      <c r="AW134" s="2">
        <f t="shared" si="75"/>
        <v>64239.13</v>
      </c>
      <c r="AX134" s="2">
        <f t="shared" si="75"/>
        <v>0</v>
      </c>
      <c r="AY134" s="2">
        <f t="shared" si="75"/>
        <v>64239.13</v>
      </c>
      <c r="AZ134" s="2">
        <f t="shared" si="75"/>
        <v>0</v>
      </c>
      <c r="BA134" s="2">
        <f t="shared" si="75"/>
        <v>0</v>
      </c>
      <c r="BB134" s="2">
        <f t="shared" si="75"/>
        <v>0</v>
      </c>
      <c r="BC134" s="2">
        <f t="shared" si="75"/>
        <v>0</v>
      </c>
      <c r="BD134" s="2">
        <f t="shared" si="75"/>
        <v>0</v>
      </c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>
        <v>0</v>
      </c>
    </row>
    <row r="136" spans="1:206">
      <c r="A136" s="4">
        <v>50</v>
      </c>
      <c r="B136" s="4">
        <v>0</v>
      </c>
      <c r="C136" s="4">
        <v>0</v>
      </c>
      <c r="D136" s="4">
        <v>1</v>
      </c>
      <c r="E136" s="4">
        <v>201</v>
      </c>
      <c r="F136" s="4">
        <f>ROUND(Source!O134,O136)</f>
        <v>96001.85</v>
      </c>
      <c r="G136" s="4" t="s">
        <v>81</v>
      </c>
      <c r="H136" s="4" t="s">
        <v>82</v>
      </c>
      <c r="I136" s="4"/>
      <c r="J136" s="4"/>
      <c r="K136" s="4">
        <v>201</v>
      </c>
      <c r="L136" s="4">
        <v>3</v>
      </c>
      <c r="M136" s="4">
        <v>3</v>
      </c>
      <c r="N136" s="4" t="s">
        <v>3</v>
      </c>
      <c r="O136" s="4">
        <v>2</v>
      </c>
      <c r="P136" s="4"/>
      <c r="Q136" s="4"/>
      <c r="R136" s="4"/>
      <c r="S136" s="4"/>
      <c r="T136" s="4"/>
      <c r="U136" s="4"/>
      <c r="V136" s="4"/>
      <c r="W136" s="4"/>
    </row>
    <row r="137" spans="1:206">
      <c r="A137" s="4">
        <v>50</v>
      </c>
      <c r="B137" s="4">
        <v>0</v>
      </c>
      <c r="C137" s="4">
        <v>0</v>
      </c>
      <c r="D137" s="4">
        <v>1</v>
      </c>
      <c r="E137" s="4">
        <v>202</v>
      </c>
      <c r="F137" s="4">
        <f>ROUND(Source!P134,O137)</f>
        <v>64239.13</v>
      </c>
      <c r="G137" s="4" t="s">
        <v>83</v>
      </c>
      <c r="H137" s="4" t="s">
        <v>84</v>
      </c>
      <c r="I137" s="4"/>
      <c r="J137" s="4"/>
      <c r="K137" s="4">
        <v>202</v>
      </c>
      <c r="L137" s="4">
        <v>4</v>
      </c>
      <c r="M137" s="4">
        <v>3</v>
      </c>
      <c r="N137" s="4" t="s">
        <v>3</v>
      </c>
      <c r="O137" s="4">
        <v>2</v>
      </c>
      <c r="P137" s="4"/>
      <c r="Q137" s="4"/>
      <c r="R137" s="4"/>
      <c r="S137" s="4"/>
      <c r="T137" s="4"/>
      <c r="U137" s="4"/>
      <c r="V137" s="4"/>
      <c r="W137" s="4"/>
    </row>
    <row r="138" spans="1:206">
      <c r="A138" s="4">
        <v>50</v>
      </c>
      <c r="B138" s="4">
        <v>0</v>
      </c>
      <c r="C138" s="4">
        <v>0</v>
      </c>
      <c r="D138" s="4">
        <v>1</v>
      </c>
      <c r="E138" s="4">
        <v>222</v>
      </c>
      <c r="F138" s="4">
        <f>ROUND(Source!AO134,O138)</f>
        <v>0</v>
      </c>
      <c r="G138" s="4" t="s">
        <v>85</v>
      </c>
      <c r="H138" s="4" t="s">
        <v>86</v>
      </c>
      <c r="I138" s="4"/>
      <c r="J138" s="4"/>
      <c r="K138" s="4">
        <v>222</v>
      </c>
      <c r="L138" s="4">
        <v>5</v>
      </c>
      <c r="M138" s="4">
        <v>3</v>
      </c>
      <c r="N138" s="4" t="s">
        <v>3</v>
      </c>
      <c r="O138" s="4">
        <v>2</v>
      </c>
      <c r="P138" s="4"/>
      <c r="Q138" s="4"/>
      <c r="R138" s="4"/>
      <c r="S138" s="4"/>
      <c r="T138" s="4"/>
      <c r="U138" s="4"/>
      <c r="V138" s="4"/>
      <c r="W138" s="4"/>
    </row>
    <row r="139" spans="1:206">
      <c r="A139" s="4">
        <v>50</v>
      </c>
      <c r="B139" s="4">
        <v>0</v>
      </c>
      <c r="C139" s="4">
        <v>0</v>
      </c>
      <c r="D139" s="4">
        <v>1</v>
      </c>
      <c r="E139" s="4">
        <v>225</v>
      </c>
      <c r="F139" s="4">
        <f>ROUND(Source!AV134,O139)</f>
        <v>64239.13</v>
      </c>
      <c r="G139" s="4" t="s">
        <v>87</v>
      </c>
      <c r="H139" s="4" t="s">
        <v>88</v>
      </c>
      <c r="I139" s="4"/>
      <c r="J139" s="4"/>
      <c r="K139" s="4">
        <v>225</v>
      </c>
      <c r="L139" s="4">
        <v>6</v>
      </c>
      <c r="M139" s="4">
        <v>3</v>
      </c>
      <c r="N139" s="4" t="s">
        <v>3</v>
      </c>
      <c r="O139" s="4">
        <v>2</v>
      </c>
      <c r="P139" s="4"/>
      <c r="Q139" s="4"/>
      <c r="R139" s="4"/>
      <c r="S139" s="4"/>
      <c r="T139" s="4"/>
      <c r="U139" s="4"/>
      <c r="V139" s="4"/>
      <c r="W139" s="4"/>
    </row>
    <row r="140" spans="1:206">
      <c r="A140" s="4">
        <v>50</v>
      </c>
      <c r="B140" s="4">
        <v>0</v>
      </c>
      <c r="C140" s="4">
        <v>0</v>
      </c>
      <c r="D140" s="4">
        <v>1</v>
      </c>
      <c r="E140" s="4">
        <v>226</v>
      </c>
      <c r="F140" s="4">
        <f>ROUND(Source!AW134,O140)</f>
        <v>64239.13</v>
      </c>
      <c r="G140" s="4" t="s">
        <v>89</v>
      </c>
      <c r="H140" s="4" t="s">
        <v>90</v>
      </c>
      <c r="I140" s="4"/>
      <c r="J140" s="4"/>
      <c r="K140" s="4">
        <v>226</v>
      </c>
      <c r="L140" s="4">
        <v>7</v>
      </c>
      <c r="M140" s="4">
        <v>3</v>
      </c>
      <c r="N140" s="4" t="s">
        <v>3</v>
      </c>
      <c r="O140" s="4">
        <v>2</v>
      </c>
      <c r="P140" s="4"/>
      <c r="Q140" s="4"/>
      <c r="R140" s="4"/>
      <c r="S140" s="4"/>
      <c r="T140" s="4"/>
      <c r="U140" s="4"/>
      <c r="V140" s="4"/>
      <c r="W140" s="4"/>
    </row>
    <row r="141" spans="1:206">
      <c r="A141" s="4">
        <v>50</v>
      </c>
      <c r="B141" s="4">
        <v>0</v>
      </c>
      <c r="C141" s="4">
        <v>0</v>
      </c>
      <c r="D141" s="4">
        <v>1</v>
      </c>
      <c r="E141" s="4">
        <v>227</v>
      </c>
      <c r="F141" s="4">
        <f>ROUND(Source!AX134,O141)</f>
        <v>0</v>
      </c>
      <c r="G141" s="4" t="s">
        <v>91</v>
      </c>
      <c r="H141" s="4" t="s">
        <v>92</v>
      </c>
      <c r="I141" s="4"/>
      <c r="J141" s="4"/>
      <c r="K141" s="4">
        <v>227</v>
      </c>
      <c r="L141" s="4">
        <v>8</v>
      </c>
      <c r="M141" s="4">
        <v>3</v>
      </c>
      <c r="N141" s="4" t="s">
        <v>3</v>
      </c>
      <c r="O141" s="4">
        <v>2</v>
      </c>
      <c r="P141" s="4"/>
      <c r="Q141" s="4"/>
      <c r="R141" s="4"/>
      <c r="S141" s="4"/>
      <c r="T141" s="4"/>
      <c r="U141" s="4"/>
      <c r="V141" s="4"/>
      <c r="W141" s="4"/>
    </row>
    <row r="142" spans="1:206">
      <c r="A142" s="4">
        <v>50</v>
      </c>
      <c r="B142" s="4">
        <v>0</v>
      </c>
      <c r="C142" s="4">
        <v>0</v>
      </c>
      <c r="D142" s="4">
        <v>1</v>
      </c>
      <c r="E142" s="4">
        <v>228</v>
      </c>
      <c r="F142" s="4">
        <f>ROUND(Source!AY134,O142)</f>
        <v>64239.13</v>
      </c>
      <c r="G142" s="4" t="s">
        <v>93</v>
      </c>
      <c r="H142" s="4" t="s">
        <v>94</v>
      </c>
      <c r="I142" s="4"/>
      <c r="J142" s="4"/>
      <c r="K142" s="4">
        <v>228</v>
      </c>
      <c r="L142" s="4">
        <v>9</v>
      </c>
      <c r="M142" s="4">
        <v>3</v>
      </c>
      <c r="N142" s="4" t="s">
        <v>3</v>
      </c>
      <c r="O142" s="4">
        <v>2</v>
      </c>
      <c r="P142" s="4"/>
      <c r="Q142" s="4"/>
      <c r="R142" s="4"/>
      <c r="S142" s="4"/>
      <c r="T142" s="4"/>
      <c r="U142" s="4"/>
      <c r="V142" s="4"/>
      <c r="W142" s="4"/>
    </row>
    <row r="143" spans="1:206">
      <c r="A143" s="4">
        <v>50</v>
      </c>
      <c r="B143" s="4">
        <v>0</v>
      </c>
      <c r="C143" s="4">
        <v>0</v>
      </c>
      <c r="D143" s="4">
        <v>1</v>
      </c>
      <c r="E143" s="4">
        <v>216</v>
      </c>
      <c r="F143" s="4">
        <f>ROUND(Source!AP134,O143)</f>
        <v>0</v>
      </c>
      <c r="G143" s="4" t="s">
        <v>95</v>
      </c>
      <c r="H143" s="4" t="s">
        <v>96</v>
      </c>
      <c r="I143" s="4"/>
      <c r="J143" s="4"/>
      <c r="K143" s="4">
        <v>216</v>
      </c>
      <c r="L143" s="4">
        <v>10</v>
      </c>
      <c r="M143" s="4">
        <v>3</v>
      </c>
      <c r="N143" s="4" t="s">
        <v>3</v>
      </c>
      <c r="O143" s="4">
        <v>2</v>
      </c>
      <c r="P143" s="4"/>
      <c r="Q143" s="4"/>
      <c r="R143" s="4"/>
      <c r="S143" s="4"/>
      <c r="T143" s="4"/>
      <c r="U143" s="4"/>
      <c r="V143" s="4"/>
      <c r="W143" s="4"/>
    </row>
    <row r="144" spans="1:206">
      <c r="A144" s="4">
        <v>50</v>
      </c>
      <c r="B144" s="4">
        <v>0</v>
      </c>
      <c r="C144" s="4">
        <v>0</v>
      </c>
      <c r="D144" s="4">
        <v>1</v>
      </c>
      <c r="E144" s="4">
        <v>223</v>
      </c>
      <c r="F144" s="4">
        <f>ROUND(Source!AQ134,O144)</f>
        <v>0</v>
      </c>
      <c r="G144" s="4" t="s">
        <v>97</v>
      </c>
      <c r="H144" s="4" t="s">
        <v>98</v>
      </c>
      <c r="I144" s="4"/>
      <c r="J144" s="4"/>
      <c r="K144" s="4">
        <v>223</v>
      </c>
      <c r="L144" s="4">
        <v>11</v>
      </c>
      <c r="M144" s="4">
        <v>3</v>
      </c>
      <c r="N144" s="4" t="s">
        <v>3</v>
      </c>
      <c r="O144" s="4">
        <v>2</v>
      </c>
      <c r="P144" s="4"/>
      <c r="Q144" s="4"/>
      <c r="R144" s="4"/>
      <c r="S144" s="4"/>
      <c r="T144" s="4"/>
      <c r="U144" s="4"/>
      <c r="V144" s="4"/>
      <c r="W144" s="4"/>
    </row>
    <row r="145" spans="1:23">
      <c r="A145" s="4">
        <v>50</v>
      </c>
      <c r="B145" s="4">
        <v>0</v>
      </c>
      <c r="C145" s="4">
        <v>0</v>
      </c>
      <c r="D145" s="4">
        <v>1</v>
      </c>
      <c r="E145" s="4">
        <v>229</v>
      </c>
      <c r="F145" s="4">
        <f>ROUND(Source!AZ134,O145)</f>
        <v>0</v>
      </c>
      <c r="G145" s="4" t="s">
        <v>99</v>
      </c>
      <c r="H145" s="4" t="s">
        <v>100</v>
      </c>
      <c r="I145" s="4"/>
      <c r="J145" s="4"/>
      <c r="K145" s="4">
        <v>229</v>
      </c>
      <c r="L145" s="4">
        <v>12</v>
      </c>
      <c r="M145" s="4">
        <v>3</v>
      </c>
      <c r="N145" s="4" t="s">
        <v>3</v>
      </c>
      <c r="O145" s="4">
        <v>2</v>
      </c>
      <c r="P145" s="4"/>
      <c r="Q145" s="4"/>
      <c r="R145" s="4"/>
      <c r="S145" s="4"/>
      <c r="T145" s="4"/>
      <c r="U145" s="4"/>
      <c r="V145" s="4"/>
      <c r="W145" s="4"/>
    </row>
    <row r="146" spans="1:23">
      <c r="A146" s="4">
        <v>50</v>
      </c>
      <c r="B146" s="4">
        <v>0</v>
      </c>
      <c r="C146" s="4">
        <v>0</v>
      </c>
      <c r="D146" s="4">
        <v>1</v>
      </c>
      <c r="E146" s="4">
        <v>203</v>
      </c>
      <c r="F146" s="4">
        <f>ROUND(Source!Q134,O146)</f>
        <v>1485.45</v>
      </c>
      <c r="G146" s="4" t="s">
        <v>101</v>
      </c>
      <c r="H146" s="4" t="s">
        <v>102</v>
      </c>
      <c r="I146" s="4"/>
      <c r="J146" s="4"/>
      <c r="K146" s="4">
        <v>203</v>
      </c>
      <c r="L146" s="4">
        <v>13</v>
      </c>
      <c r="M146" s="4">
        <v>3</v>
      </c>
      <c r="N146" s="4" t="s">
        <v>3</v>
      </c>
      <c r="O146" s="4">
        <v>2</v>
      </c>
      <c r="P146" s="4"/>
      <c r="Q146" s="4"/>
      <c r="R146" s="4"/>
      <c r="S146" s="4"/>
      <c r="T146" s="4"/>
      <c r="U146" s="4"/>
      <c r="V146" s="4"/>
      <c r="W146" s="4"/>
    </row>
    <row r="147" spans="1:23">
      <c r="A147" s="4">
        <v>50</v>
      </c>
      <c r="B147" s="4">
        <v>0</v>
      </c>
      <c r="C147" s="4">
        <v>0</v>
      </c>
      <c r="D147" s="4">
        <v>1</v>
      </c>
      <c r="E147" s="4">
        <v>231</v>
      </c>
      <c r="F147" s="4">
        <f>ROUND(Source!BB134,O147)</f>
        <v>0</v>
      </c>
      <c r="G147" s="4" t="s">
        <v>103</v>
      </c>
      <c r="H147" s="4" t="s">
        <v>104</v>
      </c>
      <c r="I147" s="4"/>
      <c r="J147" s="4"/>
      <c r="K147" s="4">
        <v>231</v>
      </c>
      <c r="L147" s="4">
        <v>14</v>
      </c>
      <c r="M147" s="4">
        <v>3</v>
      </c>
      <c r="N147" s="4" t="s">
        <v>3</v>
      </c>
      <c r="O147" s="4">
        <v>2</v>
      </c>
      <c r="P147" s="4"/>
      <c r="Q147" s="4"/>
      <c r="R147" s="4"/>
      <c r="S147" s="4"/>
      <c r="T147" s="4"/>
      <c r="U147" s="4"/>
      <c r="V147" s="4"/>
      <c r="W147" s="4"/>
    </row>
    <row r="148" spans="1:23">
      <c r="A148" s="4">
        <v>50</v>
      </c>
      <c r="B148" s="4">
        <v>0</v>
      </c>
      <c r="C148" s="4">
        <v>0</v>
      </c>
      <c r="D148" s="4">
        <v>1</v>
      </c>
      <c r="E148" s="4">
        <v>204</v>
      </c>
      <c r="F148" s="4">
        <f>ROUND(Source!R134,O148)</f>
        <v>294.42</v>
      </c>
      <c r="G148" s="4" t="s">
        <v>105</v>
      </c>
      <c r="H148" s="4" t="s">
        <v>106</v>
      </c>
      <c r="I148" s="4"/>
      <c r="J148" s="4"/>
      <c r="K148" s="4">
        <v>204</v>
      </c>
      <c r="L148" s="4">
        <v>15</v>
      </c>
      <c r="M148" s="4">
        <v>3</v>
      </c>
      <c r="N148" s="4" t="s">
        <v>3</v>
      </c>
      <c r="O148" s="4">
        <v>2</v>
      </c>
      <c r="P148" s="4"/>
      <c r="Q148" s="4"/>
      <c r="R148" s="4"/>
      <c r="S148" s="4"/>
      <c r="T148" s="4"/>
      <c r="U148" s="4"/>
      <c r="V148" s="4"/>
      <c r="W148" s="4"/>
    </row>
    <row r="149" spans="1:23">
      <c r="A149" s="4">
        <v>50</v>
      </c>
      <c r="B149" s="4">
        <v>0</v>
      </c>
      <c r="C149" s="4">
        <v>0</v>
      </c>
      <c r="D149" s="4">
        <v>1</v>
      </c>
      <c r="E149" s="4">
        <v>205</v>
      </c>
      <c r="F149" s="4">
        <f>ROUND(Source!S134,O149)</f>
        <v>30277.27</v>
      </c>
      <c r="G149" s="4" t="s">
        <v>107</v>
      </c>
      <c r="H149" s="4" t="s">
        <v>108</v>
      </c>
      <c r="I149" s="4"/>
      <c r="J149" s="4"/>
      <c r="K149" s="4">
        <v>205</v>
      </c>
      <c r="L149" s="4">
        <v>16</v>
      </c>
      <c r="M149" s="4">
        <v>3</v>
      </c>
      <c r="N149" s="4" t="s">
        <v>3</v>
      </c>
      <c r="O149" s="4">
        <v>2</v>
      </c>
      <c r="P149" s="4"/>
      <c r="Q149" s="4"/>
      <c r="R149" s="4"/>
      <c r="S149" s="4"/>
      <c r="T149" s="4"/>
      <c r="U149" s="4"/>
      <c r="V149" s="4"/>
      <c r="W149" s="4"/>
    </row>
    <row r="150" spans="1:23">
      <c r="A150" s="4">
        <v>50</v>
      </c>
      <c r="B150" s="4">
        <v>0</v>
      </c>
      <c r="C150" s="4">
        <v>0</v>
      </c>
      <c r="D150" s="4">
        <v>1</v>
      </c>
      <c r="E150" s="4">
        <v>232</v>
      </c>
      <c r="F150" s="4">
        <f>ROUND(Source!BC134,O150)</f>
        <v>0</v>
      </c>
      <c r="G150" s="4" t="s">
        <v>109</v>
      </c>
      <c r="H150" s="4" t="s">
        <v>110</v>
      </c>
      <c r="I150" s="4"/>
      <c r="J150" s="4"/>
      <c r="K150" s="4">
        <v>232</v>
      </c>
      <c r="L150" s="4">
        <v>17</v>
      </c>
      <c r="M150" s="4">
        <v>3</v>
      </c>
      <c r="N150" s="4" t="s">
        <v>3</v>
      </c>
      <c r="O150" s="4">
        <v>2</v>
      </c>
      <c r="P150" s="4"/>
      <c r="Q150" s="4"/>
      <c r="R150" s="4"/>
      <c r="S150" s="4"/>
      <c r="T150" s="4"/>
      <c r="U150" s="4"/>
      <c r="V150" s="4"/>
      <c r="W150" s="4"/>
    </row>
    <row r="151" spans="1:23">
      <c r="A151" s="4">
        <v>50</v>
      </c>
      <c r="B151" s="4">
        <v>0</v>
      </c>
      <c r="C151" s="4">
        <v>0</v>
      </c>
      <c r="D151" s="4">
        <v>1</v>
      </c>
      <c r="E151" s="4">
        <v>214</v>
      </c>
      <c r="F151" s="4">
        <f>ROUND(Source!AS134,O151)</f>
        <v>3213.28</v>
      </c>
      <c r="G151" s="4" t="s">
        <v>111</v>
      </c>
      <c r="H151" s="4" t="s">
        <v>112</v>
      </c>
      <c r="I151" s="4"/>
      <c r="J151" s="4"/>
      <c r="K151" s="4">
        <v>214</v>
      </c>
      <c r="L151" s="4">
        <v>18</v>
      </c>
      <c r="M151" s="4">
        <v>3</v>
      </c>
      <c r="N151" s="4" t="s">
        <v>3</v>
      </c>
      <c r="O151" s="4">
        <v>2</v>
      </c>
      <c r="P151" s="4"/>
      <c r="Q151" s="4"/>
      <c r="R151" s="4"/>
      <c r="S151" s="4"/>
      <c r="T151" s="4"/>
      <c r="U151" s="4"/>
      <c r="V151" s="4"/>
      <c r="W151" s="4"/>
    </row>
    <row r="152" spans="1:23">
      <c r="A152" s="4">
        <v>50</v>
      </c>
      <c r="B152" s="4">
        <v>0</v>
      </c>
      <c r="C152" s="4">
        <v>0</v>
      </c>
      <c r="D152" s="4">
        <v>1</v>
      </c>
      <c r="E152" s="4">
        <v>215</v>
      </c>
      <c r="F152" s="4">
        <f>ROUND(Source!AT134,O152)</f>
        <v>139328.66</v>
      </c>
      <c r="G152" s="4" t="s">
        <v>113</v>
      </c>
      <c r="H152" s="4" t="s">
        <v>114</v>
      </c>
      <c r="I152" s="4"/>
      <c r="J152" s="4"/>
      <c r="K152" s="4">
        <v>215</v>
      </c>
      <c r="L152" s="4">
        <v>19</v>
      </c>
      <c r="M152" s="4">
        <v>3</v>
      </c>
      <c r="N152" s="4" t="s">
        <v>3</v>
      </c>
      <c r="O152" s="4">
        <v>2</v>
      </c>
      <c r="P152" s="4"/>
      <c r="Q152" s="4"/>
      <c r="R152" s="4"/>
      <c r="S152" s="4"/>
      <c r="T152" s="4"/>
      <c r="U152" s="4"/>
      <c r="V152" s="4"/>
      <c r="W152" s="4"/>
    </row>
    <row r="153" spans="1:23">
      <c r="A153" s="4">
        <v>50</v>
      </c>
      <c r="B153" s="4">
        <v>0</v>
      </c>
      <c r="C153" s="4">
        <v>0</v>
      </c>
      <c r="D153" s="4">
        <v>1</v>
      </c>
      <c r="E153" s="4">
        <v>217</v>
      </c>
      <c r="F153" s="4">
        <f>ROUND(Source!AU134,O153)</f>
        <v>0</v>
      </c>
      <c r="G153" s="4" t="s">
        <v>115</v>
      </c>
      <c r="H153" s="4" t="s">
        <v>116</v>
      </c>
      <c r="I153" s="4"/>
      <c r="J153" s="4"/>
      <c r="K153" s="4">
        <v>217</v>
      </c>
      <c r="L153" s="4">
        <v>20</v>
      </c>
      <c r="M153" s="4">
        <v>3</v>
      </c>
      <c r="N153" s="4" t="s">
        <v>3</v>
      </c>
      <c r="O153" s="4">
        <v>2</v>
      </c>
      <c r="P153" s="4"/>
      <c r="Q153" s="4"/>
      <c r="R153" s="4"/>
      <c r="S153" s="4"/>
      <c r="T153" s="4"/>
      <c r="U153" s="4"/>
      <c r="V153" s="4"/>
      <c r="W153" s="4"/>
    </row>
    <row r="154" spans="1:23">
      <c r="A154" s="4">
        <v>50</v>
      </c>
      <c r="B154" s="4">
        <v>0</v>
      </c>
      <c r="C154" s="4">
        <v>0</v>
      </c>
      <c r="D154" s="4">
        <v>1</v>
      </c>
      <c r="E154" s="4">
        <v>230</v>
      </c>
      <c r="F154" s="4">
        <f>ROUND(Source!BA134,O154)</f>
        <v>0</v>
      </c>
      <c r="G154" s="4" t="s">
        <v>117</v>
      </c>
      <c r="H154" s="4" t="s">
        <v>118</v>
      </c>
      <c r="I154" s="4"/>
      <c r="J154" s="4"/>
      <c r="K154" s="4">
        <v>230</v>
      </c>
      <c r="L154" s="4">
        <v>21</v>
      </c>
      <c r="M154" s="4">
        <v>3</v>
      </c>
      <c r="N154" s="4" t="s">
        <v>3</v>
      </c>
      <c r="O154" s="4">
        <v>2</v>
      </c>
      <c r="P154" s="4"/>
      <c r="Q154" s="4"/>
      <c r="R154" s="4"/>
      <c r="S154" s="4"/>
      <c r="T154" s="4"/>
      <c r="U154" s="4"/>
      <c r="V154" s="4"/>
      <c r="W154" s="4"/>
    </row>
    <row r="155" spans="1:23">
      <c r="A155" s="4">
        <v>50</v>
      </c>
      <c r="B155" s="4">
        <v>0</v>
      </c>
      <c r="C155" s="4">
        <v>0</v>
      </c>
      <c r="D155" s="4">
        <v>1</v>
      </c>
      <c r="E155" s="4">
        <v>206</v>
      </c>
      <c r="F155" s="4">
        <f>ROUND(Source!T134,O155)</f>
        <v>0</v>
      </c>
      <c r="G155" s="4" t="s">
        <v>119</v>
      </c>
      <c r="H155" s="4" t="s">
        <v>120</v>
      </c>
      <c r="I155" s="4"/>
      <c r="J155" s="4"/>
      <c r="K155" s="4">
        <v>206</v>
      </c>
      <c r="L155" s="4">
        <v>22</v>
      </c>
      <c r="M155" s="4">
        <v>3</v>
      </c>
      <c r="N155" s="4" t="s">
        <v>3</v>
      </c>
      <c r="O155" s="4">
        <v>2</v>
      </c>
      <c r="P155" s="4"/>
      <c r="Q155" s="4"/>
      <c r="R155" s="4"/>
      <c r="S155" s="4"/>
      <c r="T155" s="4"/>
      <c r="U155" s="4"/>
      <c r="V155" s="4"/>
      <c r="W155" s="4"/>
    </row>
    <row r="156" spans="1:23">
      <c r="A156" s="4">
        <v>50</v>
      </c>
      <c r="B156" s="4">
        <v>0</v>
      </c>
      <c r="C156" s="4">
        <v>0</v>
      </c>
      <c r="D156" s="4">
        <v>1</v>
      </c>
      <c r="E156" s="4">
        <v>207</v>
      </c>
      <c r="F156" s="4">
        <f>Source!U134</f>
        <v>100.55000000000001</v>
      </c>
      <c r="G156" s="4" t="s">
        <v>121</v>
      </c>
      <c r="H156" s="4" t="s">
        <v>122</v>
      </c>
      <c r="I156" s="4"/>
      <c r="J156" s="4"/>
      <c r="K156" s="4">
        <v>207</v>
      </c>
      <c r="L156" s="4">
        <v>23</v>
      </c>
      <c r="M156" s="4">
        <v>3</v>
      </c>
      <c r="N156" s="4" t="s">
        <v>3</v>
      </c>
      <c r="O156" s="4">
        <v>-1</v>
      </c>
      <c r="P156" s="4"/>
      <c r="Q156" s="4"/>
      <c r="R156" s="4"/>
      <c r="S156" s="4"/>
      <c r="T156" s="4"/>
      <c r="U156" s="4"/>
      <c r="V156" s="4"/>
      <c r="W156" s="4"/>
    </row>
    <row r="157" spans="1:23">
      <c r="A157" s="4">
        <v>50</v>
      </c>
      <c r="B157" s="4">
        <v>0</v>
      </c>
      <c r="C157" s="4">
        <v>0</v>
      </c>
      <c r="D157" s="4">
        <v>1</v>
      </c>
      <c r="E157" s="4">
        <v>208</v>
      </c>
      <c r="F157" s="4">
        <f>Source!V134</f>
        <v>0.72</v>
      </c>
      <c r="G157" s="4" t="s">
        <v>123</v>
      </c>
      <c r="H157" s="4" t="s">
        <v>124</v>
      </c>
      <c r="I157" s="4"/>
      <c r="J157" s="4"/>
      <c r="K157" s="4">
        <v>208</v>
      </c>
      <c r="L157" s="4">
        <v>24</v>
      </c>
      <c r="M157" s="4">
        <v>3</v>
      </c>
      <c r="N157" s="4" t="s">
        <v>3</v>
      </c>
      <c r="O157" s="4">
        <v>-1</v>
      </c>
      <c r="P157" s="4"/>
      <c r="Q157" s="4"/>
      <c r="R157" s="4"/>
      <c r="S157" s="4"/>
      <c r="T157" s="4"/>
      <c r="U157" s="4"/>
      <c r="V157" s="4"/>
      <c r="W157" s="4"/>
    </row>
    <row r="158" spans="1:23">
      <c r="A158" s="4">
        <v>50</v>
      </c>
      <c r="B158" s="4">
        <v>0</v>
      </c>
      <c r="C158" s="4">
        <v>0</v>
      </c>
      <c r="D158" s="4">
        <v>1</v>
      </c>
      <c r="E158" s="4">
        <v>209</v>
      </c>
      <c r="F158" s="4">
        <f>ROUND(Source!W134,O158)</f>
        <v>1183.43</v>
      </c>
      <c r="G158" s="4" t="s">
        <v>125</v>
      </c>
      <c r="H158" s="4" t="s">
        <v>126</v>
      </c>
      <c r="I158" s="4"/>
      <c r="J158" s="4"/>
      <c r="K158" s="4">
        <v>209</v>
      </c>
      <c r="L158" s="4">
        <v>25</v>
      </c>
      <c r="M158" s="4">
        <v>3</v>
      </c>
      <c r="N158" s="4" t="s">
        <v>3</v>
      </c>
      <c r="O158" s="4">
        <v>2</v>
      </c>
      <c r="P158" s="4"/>
      <c r="Q158" s="4"/>
      <c r="R158" s="4"/>
      <c r="S158" s="4"/>
      <c r="T158" s="4"/>
      <c r="U158" s="4"/>
      <c r="V158" s="4"/>
      <c r="W158" s="4"/>
    </row>
    <row r="159" spans="1:23">
      <c r="A159" s="4">
        <v>50</v>
      </c>
      <c r="B159" s="4">
        <v>0</v>
      </c>
      <c r="C159" s="4">
        <v>0</v>
      </c>
      <c r="D159" s="4">
        <v>1</v>
      </c>
      <c r="E159" s="4">
        <v>233</v>
      </c>
      <c r="F159" s="4">
        <f>ROUND(Source!BD134,O159)</f>
        <v>0</v>
      </c>
      <c r="G159" s="4" t="s">
        <v>127</v>
      </c>
      <c r="H159" s="4" t="s">
        <v>128</v>
      </c>
      <c r="I159" s="4"/>
      <c r="J159" s="4"/>
      <c r="K159" s="4">
        <v>233</v>
      </c>
      <c r="L159" s="4">
        <v>26</v>
      </c>
      <c r="M159" s="4">
        <v>3</v>
      </c>
      <c r="N159" s="4" t="s">
        <v>3</v>
      </c>
      <c r="O159" s="4">
        <v>2</v>
      </c>
      <c r="P159" s="4"/>
      <c r="Q159" s="4"/>
      <c r="R159" s="4"/>
      <c r="S159" s="4"/>
      <c r="T159" s="4"/>
      <c r="U159" s="4"/>
      <c r="V159" s="4"/>
      <c r="W159" s="4"/>
    </row>
    <row r="160" spans="1:23">
      <c r="A160" s="4">
        <v>50</v>
      </c>
      <c r="B160" s="4">
        <v>0</v>
      </c>
      <c r="C160" s="4">
        <v>0</v>
      </c>
      <c r="D160" s="4">
        <v>1</v>
      </c>
      <c r="E160" s="4">
        <v>210</v>
      </c>
      <c r="F160" s="4">
        <f>ROUND(Source!X134,O160)</f>
        <v>27262.15</v>
      </c>
      <c r="G160" s="4" t="s">
        <v>129</v>
      </c>
      <c r="H160" s="4" t="s">
        <v>130</v>
      </c>
      <c r="I160" s="4"/>
      <c r="J160" s="4"/>
      <c r="K160" s="4">
        <v>210</v>
      </c>
      <c r="L160" s="4">
        <v>27</v>
      </c>
      <c r="M160" s="4">
        <v>3</v>
      </c>
      <c r="N160" s="4" t="s">
        <v>3</v>
      </c>
      <c r="O160" s="4">
        <v>2</v>
      </c>
      <c r="P160" s="4"/>
      <c r="Q160" s="4"/>
      <c r="R160" s="4"/>
      <c r="S160" s="4"/>
      <c r="T160" s="4"/>
      <c r="U160" s="4"/>
      <c r="V160" s="4"/>
      <c r="W160" s="4"/>
    </row>
    <row r="161" spans="1:23">
      <c r="A161" s="4">
        <v>50</v>
      </c>
      <c r="B161" s="4">
        <v>0</v>
      </c>
      <c r="C161" s="4">
        <v>0</v>
      </c>
      <c r="D161" s="4">
        <v>1</v>
      </c>
      <c r="E161" s="4">
        <v>211</v>
      </c>
      <c r="F161" s="4">
        <f>ROUND(Source!Y134,O161)</f>
        <v>19277.939999999999</v>
      </c>
      <c r="G161" s="4" t="s">
        <v>131</v>
      </c>
      <c r="H161" s="4" t="s">
        <v>132</v>
      </c>
      <c r="I161" s="4"/>
      <c r="J161" s="4"/>
      <c r="K161" s="4">
        <v>211</v>
      </c>
      <c r="L161" s="4">
        <v>28</v>
      </c>
      <c r="M161" s="4">
        <v>3</v>
      </c>
      <c r="N161" s="4" t="s">
        <v>3</v>
      </c>
      <c r="O161" s="4">
        <v>2</v>
      </c>
      <c r="P161" s="4"/>
      <c r="Q161" s="4"/>
      <c r="R161" s="4"/>
      <c r="S161" s="4"/>
      <c r="T161" s="4"/>
      <c r="U161" s="4"/>
      <c r="V161" s="4"/>
      <c r="W161" s="4"/>
    </row>
    <row r="162" spans="1:23">
      <c r="A162" s="4">
        <v>50</v>
      </c>
      <c r="B162" s="4">
        <v>0</v>
      </c>
      <c r="C162" s="4">
        <v>0</v>
      </c>
      <c r="D162" s="4">
        <v>1</v>
      </c>
      <c r="E162" s="4">
        <v>224</v>
      </c>
      <c r="F162" s="4">
        <f>ROUND(Source!AR134,O162)</f>
        <v>142541.94</v>
      </c>
      <c r="G162" s="4" t="s">
        <v>133</v>
      </c>
      <c r="H162" s="4" t="s">
        <v>134</v>
      </c>
      <c r="I162" s="4"/>
      <c r="J162" s="4"/>
      <c r="K162" s="4">
        <v>224</v>
      </c>
      <c r="L162" s="4">
        <v>29</v>
      </c>
      <c r="M162" s="4">
        <v>3</v>
      </c>
      <c r="N162" s="4" t="s">
        <v>3</v>
      </c>
      <c r="O162" s="4">
        <v>2</v>
      </c>
      <c r="P162" s="4"/>
      <c r="Q162" s="4"/>
      <c r="R162" s="4"/>
      <c r="S162" s="4"/>
      <c r="T162" s="4"/>
      <c r="U162" s="4"/>
      <c r="V162" s="4"/>
      <c r="W162" s="4"/>
    </row>
    <row r="163" spans="1:23">
      <c r="A163" s="4">
        <v>50</v>
      </c>
      <c r="B163" s="4">
        <v>1</v>
      </c>
      <c r="C163" s="4">
        <v>0</v>
      </c>
      <c r="D163" s="4">
        <v>2</v>
      </c>
      <c r="E163" s="4">
        <v>0</v>
      </c>
      <c r="F163" s="4">
        <f>ROUND(F162*0.2,O163)</f>
        <v>28508.400000000001</v>
      </c>
      <c r="G163" s="4" t="s">
        <v>136</v>
      </c>
      <c r="H163" s="4" t="s">
        <v>137</v>
      </c>
      <c r="I163" s="4"/>
      <c r="J163" s="4"/>
      <c r="K163" s="4">
        <v>212</v>
      </c>
      <c r="L163" s="4">
        <v>30</v>
      </c>
      <c r="M163" s="4">
        <v>0</v>
      </c>
      <c r="N163" s="4" t="s">
        <v>3</v>
      </c>
      <c r="O163" s="4">
        <v>1</v>
      </c>
      <c r="P163" s="4"/>
      <c r="Q163" s="4"/>
      <c r="R163" s="4"/>
      <c r="S163" s="4"/>
      <c r="T163" s="4"/>
      <c r="U163" s="4"/>
      <c r="V163" s="4"/>
      <c r="W163" s="4"/>
    </row>
    <row r="164" spans="1:23">
      <c r="A164" s="4">
        <v>50</v>
      </c>
      <c r="B164" s="4">
        <v>1</v>
      </c>
      <c r="C164" s="4">
        <v>0</v>
      </c>
      <c r="D164" s="4">
        <v>2</v>
      </c>
      <c r="E164" s="4">
        <v>213</v>
      </c>
      <c r="F164" s="4">
        <f>ROUND(F162*1.2,O164)</f>
        <v>171050.3</v>
      </c>
      <c r="G164" s="4" t="s">
        <v>138</v>
      </c>
      <c r="H164" s="4" t="s">
        <v>139</v>
      </c>
      <c r="I164" s="4"/>
      <c r="J164" s="4"/>
      <c r="K164" s="4">
        <v>212</v>
      </c>
      <c r="L164" s="4">
        <v>31</v>
      </c>
      <c r="M164" s="4">
        <v>0</v>
      </c>
      <c r="N164" s="4" t="s">
        <v>3</v>
      </c>
      <c r="O164" s="4">
        <v>1</v>
      </c>
      <c r="P164" s="4"/>
      <c r="Q164" s="4"/>
      <c r="R164" s="4"/>
      <c r="S164" s="4"/>
      <c r="T164" s="4"/>
      <c r="U164" s="4"/>
      <c r="V164" s="4"/>
      <c r="W164" s="4"/>
    </row>
    <row r="167" spans="1:23">
      <c r="A167">
        <v>70</v>
      </c>
      <c r="B167">
        <v>1</v>
      </c>
      <c r="D167">
        <v>1</v>
      </c>
      <c r="E167" t="s">
        <v>140</v>
      </c>
      <c r="F167" t="s">
        <v>141</v>
      </c>
      <c r="G167">
        <v>0</v>
      </c>
      <c r="H167">
        <v>0</v>
      </c>
      <c r="I167" t="s">
        <v>3</v>
      </c>
      <c r="J167">
        <v>1</v>
      </c>
      <c r="K167">
        <v>0</v>
      </c>
      <c r="L167" t="s">
        <v>3</v>
      </c>
      <c r="M167" t="s">
        <v>3</v>
      </c>
      <c r="N167">
        <v>0</v>
      </c>
    </row>
    <row r="168" spans="1:23">
      <c r="A168">
        <v>70</v>
      </c>
      <c r="B168">
        <v>1</v>
      </c>
      <c r="D168">
        <v>2</v>
      </c>
      <c r="E168" t="s">
        <v>142</v>
      </c>
      <c r="F168" t="s">
        <v>143</v>
      </c>
      <c r="G168">
        <v>1</v>
      </c>
      <c r="H168">
        <v>0</v>
      </c>
      <c r="I168" t="s">
        <v>3</v>
      </c>
      <c r="J168">
        <v>1</v>
      </c>
      <c r="K168">
        <v>0</v>
      </c>
      <c r="L168" t="s">
        <v>3</v>
      </c>
      <c r="M168" t="s">
        <v>3</v>
      </c>
      <c r="N168">
        <v>0</v>
      </c>
    </row>
    <row r="169" spans="1:23">
      <c r="A169">
        <v>70</v>
      </c>
      <c r="B169">
        <v>1</v>
      </c>
      <c r="D169">
        <v>3</v>
      </c>
      <c r="E169" t="s">
        <v>144</v>
      </c>
      <c r="F169" t="s">
        <v>145</v>
      </c>
      <c r="G169">
        <v>0</v>
      </c>
      <c r="H169">
        <v>0</v>
      </c>
      <c r="I169" t="s">
        <v>3</v>
      </c>
      <c r="J169">
        <v>1</v>
      </c>
      <c r="K169">
        <v>0</v>
      </c>
      <c r="L169" t="s">
        <v>3</v>
      </c>
      <c r="M169" t="s">
        <v>3</v>
      </c>
      <c r="N169">
        <v>0</v>
      </c>
    </row>
    <row r="170" spans="1:23">
      <c r="A170">
        <v>70</v>
      </c>
      <c r="B170">
        <v>1</v>
      </c>
      <c r="D170">
        <v>4</v>
      </c>
      <c r="E170" t="s">
        <v>146</v>
      </c>
      <c r="F170" t="s">
        <v>147</v>
      </c>
      <c r="G170">
        <v>0</v>
      </c>
      <c r="H170">
        <v>0</v>
      </c>
      <c r="I170" t="s">
        <v>148</v>
      </c>
      <c r="J170">
        <v>0</v>
      </c>
      <c r="K170">
        <v>0</v>
      </c>
      <c r="L170" t="s">
        <v>3</v>
      </c>
      <c r="M170" t="s">
        <v>3</v>
      </c>
      <c r="N170">
        <v>0</v>
      </c>
    </row>
    <row r="171" spans="1:23">
      <c r="A171">
        <v>70</v>
      </c>
      <c r="B171">
        <v>1</v>
      </c>
      <c r="D171">
        <v>5</v>
      </c>
      <c r="E171" t="s">
        <v>149</v>
      </c>
      <c r="F171" t="s">
        <v>150</v>
      </c>
      <c r="G171">
        <v>0</v>
      </c>
      <c r="H171">
        <v>0</v>
      </c>
      <c r="I171" t="s">
        <v>151</v>
      </c>
      <c r="J171">
        <v>0</v>
      </c>
      <c r="K171">
        <v>0</v>
      </c>
      <c r="L171" t="s">
        <v>3</v>
      </c>
      <c r="M171" t="s">
        <v>3</v>
      </c>
      <c r="N171">
        <v>0</v>
      </c>
    </row>
    <row r="172" spans="1:23">
      <c r="A172">
        <v>70</v>
      </c>
      <c r="B172">
        <v>1</v>
      </c>
      <c r="D172">
        <v>6</v>
      </c>
      <c r="E172" t="s">
        <v>152</v>
      </c>
      <c r="F172" t="s">
        <v>153</v>
      </c>
      <c r="G172">
        <v>0</v>
      </c>
      <c r="H172">
        <v>0</v>
      </c>
      <c r="I172" t="s">
        <v>154</v>
      </c>
      <c r="J172">
        <v>0</v>
      </c>
      <c r="K172">
        <v>0</v>
      </c>
      <c r="L172" t="s">
        <v>3</v>
      </c>
      <c r="M172" t="s">
        <v>3</v>
      </c>
      <c r="N172">
        <v>0</v>
      </c>
    </row>
    <row r="173" spans="1:23">
      <c r="A173">
        <v>70</v>
      </c>
      <c r="B173">
        <v>1</v>
      </c>
      <c r="D173">
        <v>7</v>
      </c>
      <c r="E173" t="s">
        <v>155</v>
      </c>
      <c r="F173" t="s">
        <v>156</v>
      </c>
      <c r="G173">
        <v>1</v>
      </c>
      <c r="H173">
        <v>0</v>
      </c>
      <c r="I173" t="s">
        <v>3</v>
      </c>
      <c r="J173">
        <v>0</v>
      </c>
      <c r="K173">
        <v>0</v>
      </c>
      <c r="L173" t="s">
        <v>3</v>
      </c>
      <c r="M173" t="s">
        <v>3</v>
      </c>
      <c r="N173">
        <v>0</v>
      </c>
    </row>
    <row r="174" spans="1:23">
      <c r="A174">
        <v>70</v>
      </c>
      <c r="B174">
        <v>1</v>
      </c>
      <c r="D174">
        <v>8</v>
      </c>
      <c r="E174" t="s">
        <v>157</v>
      </c>
      <c r="F174" t="s">
        <v>158</v>
      </c>
      <c r="G174">
        <v>0</v>
      </c>
      <c r="H174">
        <v>0</v>
      </c>
      <c r="I174" t="s">
        <v>159</v>
      </c>
      <c r="J174">
        <v>0</v>
      </c>
      <c r="K174">
        <v>0</v>
      </c>
      <c r="L174" t="s">
        <v>3</v>
      </c>
      <c r="M174" t="s">
        <v>3</v>
      </c>
      <c r="N174">
        <v>0</v>
      </c>
    </row>
    <row r="175" spans="1:23">
      <c r="A175">
        <v>70</v>
      </c>
      <c r="B175">
        <v>1</v>
      </c>
      <c r="D175">
        <v>9</v>
      </c>
      <c r="E175" t="s">
        <v>160</v>
      </c>
      <c r="F175" t="s">
        <v>161</v>
      </c>
      <c r="G175">
        <v>0</v>
      </c>
      <c r="H175">
        <v>0</v>
      </c>
      <c r="I175" t="s">
        <v>162</v>
      </c>
      <c r="J175">
        <v>0</v>
      </c>
      <c r="K175">
        <v>0</v>
      </c>
      <c r="L175" t="s">
        <v>3</v>
      </c>
      <c r="M175" t="s">
        <v>3</v>
      </c>
      <c r="N175">
        <v>0</v>
      </c>
    </row>
    <row r="176" spans="1:23">
      <c r="A176">
        <v>70</v>
      </c>
      <c r="B176">
        <v>1</v>
      </c>
      <c r="D176">
        <v>10</v>
      </c>
      <c r="E176" t="s">
        <v>163</v>
      </c>
      <c r="F176" t="s">
        <v>164</v>
      </c>
      <c r="G176">
        <v>0</v>
      </c>
      <c r="H176">
        <v>0</v>
      </c>
      <c r="I176" t="s">
        <v>165</v>
      </c>
      <c r="J176">
        <v>0</v>
      </c>
      <c r="K176">
        <v>0</v>
      </c>
      <c r="L176" t="s">
        <v>3</v>
      </c>
      <c r="M176" t="s">
        <v>3</v>
      </c>
      <c r="N176">
        <v>0</v>
      </c>
    </row>
    <row r="177" spans="1:14">
      <c r="A177">
        <v>70</v>
      </c>
      <c r="B177">
        <v>1</v>
      </c>
      <c r="D177">
        <v>11</v>
      </c>
      <c r="E177" t="s">
        <v>166</v>
      </c>
      <c r="F177" t="s">
        <v>167</v>
      </c>
      <c r="G177">
        <v>0</v>
      </c>
      <c r="H177">
        <v>0</v>
      </c>
      <c r="I177" t="s">
        <v>168</v>
      </c>
      <c r="J177">
        <v>0</v>
      </c>
      <c r="K177">
        <v>0</v>
      </c>
      <c r="L177" t="s">
        <v>3</v>
      </c>
      <c r="M177" t="s">
        <v>3</v>
      </c>
      <c r="N177">
        <v>0</v>
      </c>
    </row>
    <row r="178" spans="1:14">
      <c r="A178">
        <v>70</v>
      </c>
      <c r="B178">
        <v>1</v>
      </c>
      <c r="D178">
        <v>12</v>
      </c>
      <c r="E178" t="s">
        <v>169</v>
      </c>
      <c r="F178" t="s">
        <v>170</v>
      </c>
      <c r="G178">
        <v>0</v>
      </c>
      <c r="H178">
        <v>0</v>
      </c>
      <c r="I178" t="s">
        <v>3</v>
      </c>
      <c r="J178">
        <v>0</v>
      </c>
      <c r="K178">
        <v>0</v>
      </c>
      <c r="L178" t="s">
        <v>3</v>
      </c>
      <c r="M178" t="s">
        <v>3</v>
      </c>
      <c r="N178">
        <v>0</v>
      </c>
    </row>
    <row r="179" spans="1:14">
      <c r="A179">
        <v>70</v>
      </c>
      <c r="B179">
        <v>1</v>
      </c>
      <c r="D179">
        <v>1</v>
      </c>
      <c r="E179" t="s">
        <v>171</v>
      </c>
      <c r="F179" t="s">
        <v>172</v>
      </c>
      <c r="G179">
        <v>0.9</v>
      </c>
      <c r="H179">
        <v>1</v>
      </c>
      <c r="I179" t="s">
        <v>173</v>
      </c>
      <c r="J179">
        <v>0</v>
      </c>
      <c r="K179">
        <v>0</v>
      </c>
      <c r="L179" t="s">
        <v>3</v>
      </c>
      <c r="M179" t="s">
        <v>3</v>
      </c>
      <c r="N179">
        <v>0</v>
      </c>
    </row>
    <row r="180" spans="1:14">
      <c r="A180">
        <v>70</v>
      </c>
      <c r="B180">
        <v>1</v>
      </c>
      <c r="D180">
        <v>2</v>
      </c>
      <c r="E180" t="s">
        <v>174</v>
      </c>
      <c r="F180" t="s">
        <v>175</v>
      </c>
      <c r="G180">
        <v>0.85</v>
      </c>
      <c r="H180">
        <v>1</v>
      </c>
      <c r="I180" t="s">
        <v>176</v>
      </c>
      <c r="J180">
        <v>0</v>
      </c>
      <c r="K180">
        <v>0</v>
      </c>
      <c r="L180" t="s">
        <v>3</v>
      </c>
      <c r="M180" t="s">
        <v>3</v>
      </c>
      <c r="N180">
        <v>0</v>
      </c>
    </row>
    <row r="181" spans="1:14">
      <c r="A181">
        <v>70</v>
      </c>
      <c r="B181">
        <v>1</v>
      </c>
      <c r="D181">
        <v>3</v>
      </c>
      <c r="E181" t="s">
        <v>177</v>
      </c>
      <c r="F181" t="s">
        <v>178</v>
      </c>
      <c r="G181">
        <v>1</v>
      </c>
      <c r="H181">
        <v>0.85</v>
      </c>
      <c r="I181" t="s">
        <v>179</v>
      </c>
      <c r="J181">
        <v>0</v>
      </c>
      <c r="K181">
        <v>0</v>
      </c>
      <c r="L181" t="s">
        <v>3</v>
      </c>
      <c r="M181" t="s">
        <v>3</v>
      </c>
      <c r="N181">
        <v>0</v>
      </c>
    </row>
    <row r="182" spans="1:14">
      <c r="A182">
        <v>70</v>
      </c>
      <c r="B182">
        <v>1</v>
      </c>
      <c r="D182">
        <v>4</v>
      </c>
      <c r="E182" t="s">
        <v>180</v>
      </c>
      <c r="F182" t="s">
        <v>181</v>
      </c>
      <c r="G182">
        <v>1</v>
      </c>
      <c r="H182">
        <v>0</v>
      </c>
      <c r="I182" t="s">
        <v>3</v>
      </c>
      <c r="J182">
        <v>0</v>
      </c>
      <c r="K182">
        <v>0</v>
      </c>
      <c r="L182" t="s">
        <v>3</v>
      </c>
      <c r="M182" t="s">
        <v>3</v>
      </c>
      <c r="N182">
        <v>0</v>
      </c>
    </row>
    <row r="183" spans="1:14">
      <c r="A183">
        <v>70</v>
      </c>
      <c r="B183">
        <v>1</v>
      </c>
      <c r="D183">
        <v>5</v>
      </c>
      <c r="E183" t="s">
        <v>182</v>
      </c>
      <c r="F183" t="s">
        <v>183</v>
      </c>
      <c r="G183">
        <v>1</v>
      </c>
      <c r="H183">
        <v>0.8</v>
      </c>
      <c r="I183" t="s">
        <v>184</v>
      </c>
      <c r="J183">
        <v>0</v>
      </c>
      <c r="K183">
        <v>0</v>
      </c>
      <c r="L183" t="s">
        <v>3</v>
      </c>
      <c r="M183" t="s">
        <v>3</v>
      </c>
      <c r="N183">
        <v>0</v>
      </c>
    </row>
    <row r="184" spans="1:14">
      <c r="A184">
        <v>70</v>
      </c>
      <c r="B184">
        <v>1</v>
      </c>
      <c r="D184">
        <v>6</v>
      </c>
      <c r="E184" t="s">
        <v>185</v>
      </c>
      <c r="F184" t="s">
        <v>186</v>
      </c>
      <c r="G184">
        <v>0.85</v>
      </c>
      <c r="H184">
        <v>0</v>
      </c>
      <c r="I184" t="s">
        <v>3</v>
      </c>
      <c r="J184">
        <v>0</v>
      </c>
      <c r="K184">
        <v>0</v>
      </c>
      <c r="L184" t="s">
        <v>3</v>
      </c>
      <c r="M184" t="s">
        <v>3</v>
      </c>
      <c r="N184">
        <v>0</v>
      </c>
    </row>
    <row r="185" spans="1:14">
      <c r="A185">
        <v>70</v>
      </c>
      <c r="B185">
        <v>1</v>
      </c>
      <c r="D185">
        <v>7</v>
      </c>
      <c r="E185" t="s">
        <v>187</v>
      </c>
      <c r="F185" t="s">
        <v>188</v>
      </c>
      <c r="G185">
        <v>0.8</v>
      </c>
      <c r="H185">
        <v>0</v>
      </c>
      <c r="I185" t="s">
        <v>3</v>
      </c>
      <c r="J185">
        <v>0</v>
      </c>
      <c r="K185">
        <v>0</v>
      </c>
      <c r="L185" t="s">
        <v>3</v>
      </c>
      <c r="M185" t="s">
        <v>3</v>
      </c>
      <c r="N185">
        <v>0</v>
      </c>
    </row>
    <row r="186" spans="1:14">
      <c r="A186">
        <v>70</v>
      </c>
      <c r="B186">
        <v>1</v>
      </c>
      <c r="D186">
        <v>8</v>
      </c>
      <c r="E186" t="s">
        <v>189</v>
      </c>
      <c r="F186" t="s">
        <v>190</v>
      </c>
      <c r="G186">
        <v>0.7</v>
      </c>
      <c r="H186">
        <v>0</v>
      </c>
      <c r="I186" t="s">
        <v>3</v>
      </c>
      <c r="J186">
        <v>0</v>
      </c>
      <c r="K186">
        <v>0</v>
      </c>
      <c r="L186" t="s">
        <v>3</v>
      </c>
      <c r="M186" t="s">
        <v>3</v>
      </c>
      <c r="N186">
        <v>0</v>
      </c>
    </row>
    <row r="187" spans="1:14">
      <c r="A187">
        <v>70</v>
      </c>
      <c r="B187">
        <v>1</v>
      </c>
      <c r="D187">
        <v>9</v>
      </c>
      <c r="E187" t="s">
        <v>191</v>
      </c>
      <c r="F187" t="s">
        <v>192</v>
      </c>
      <c r="G187">
        <v>0.9</v>
      </c>
      <c r="H187">
        <v>0</v>
      </c>
      <c r="I187" t="s">
        <v>3</v>
      </c>
      <c r="J187">
        <v>0</v>
      </c>
      <c r="K187">
        <v>0</v>
      </c>
      <c r="L187" t="s">
        <v>3</v>
      </c>
      <c r="M187" t="s">
        <v>3</v>
      </c>
      <c r="N187">
        <v>0</v>
      </c>
    </row>
    <row r="188" spans="1:14">
      <c r="A188">
        <v>70</v>
      </c>
      <c r="B188">
        <v>1</v>
      </c>
      <c r="D188">
        <v>10</v>
      </c>
      <c r="E188" t="s">
        <v>193</v>
      </c>
      <c r="F188" t="s">
        <v>194</v>
      </c>
      <c r="G188">
        <v>0.6</v>
      </c>
      <c r="H188">
        <v>0</v>
      </c>
      <c r="I188" t="s">
        <v>3</v>
      </c>
      <c r="J188">
        <v>0</v>
      </c>
      <c r="K188">
        <v>0</v>
      </c>
      <c r="L188" t="s">
        <v>3</v>
      </c>
      <c r="M188" t="s">
        <v>3</v>
      </c>
      <c r="N188">
        <v>0</v>
      </c>
    </row>
    <row r="189" spans="1:14">
      <c r="A189">
        <v>70</v>
      </c>
      <c r="B189">
        <v>1</v>
      </c>
      <c r="D189">
        <v>11</v>
      </c>
      <c r="E189" t="s">
        <v>195</v>
      </c>
      <c r="F189" t="s">
        <v>196</v>
      </c>
      <c r="G189">
        <v>1.2</v>
      </c>
      <c r="H189">
        <v>0</v>
      </c>
      <c r="I189" t="s">
        <v>3</v>
      </c>
      <c r="J189">
        <v>0</v>
      </c>
      <c r="K189">
        <v>0</v>
      </c>
      <c r="L189" t="s">
        <v>3</v>
      </c>
      <c r="M189" t="s">
        <v>3</v>
      </c>
      <c r="N189">
        <v>0</v>
      </c>
    </row>
    <row r="190" spans="1:14">
      <c r="A190">
        <v>70</v>
      </c>
      <c r="B190">
        <v>1</v>
      </c>
      <c r="D190">
        <v>12</v>
      </c>
      <c r="E190" t="s">
        <v>197</v>
      </c>
      <c r="F190" t="s">
        <v>198</v>
      </c>
      <c r="G190">
        <v>0</v>
      </c>
      <c r="H190">
        <v>0</v>
      </c>
      <c r="I190" t="s">
        <v>3</v>
      </c>
      <c r="J190">
        <v>0</v>
      </c>
      <c r="K190">
        <v>0</v>
      </c>
      <c r="L190" t="s">
        <v>3</v>
      </c>
      <c r="M190" t="s">
        <v>3</v>
      </c>
      <c r="N190">
        <v>0</v>
      </c>
    </row>
    <row r="191" spans="1:14">
      <c r="A191">
        <v>70</v>
      </c>
      <c r="B191">
        <v>1</v>
      </c>
      <c r="D191">
        <v>13</v>
      </c>
      <c r="E191" t="s">
        <v>199</v>
      </c>
      <c r="F191" t="s">
        <v>200</v>
      </c>
      <c r="G191">
        <v>1</v>
      </c>
      <c r="H191">
        <v>0</v>
      </c>
      <c r="I191" t="s">
        <v>3</v>
      </c>
      <c r="J191">
        <v>0</v>
      </c>
      <c r="K191">
        <v>0</v>
      </c>
      <c r="L191" t="s">
        <v>3</v>
      </c>
      <c r="M191" t="s">
        <v>3</v>
      </c>
      <c r="N191">
        <v>0</v>
      </c>
    </row>
    <row r="193" spans="1:40">
      <c r="A193">
        <v>-1</v>
      </c>
    </row>
    <row r="195" spans="1:40">
      <c r="A195" s="3">
        <v>75</v>
      </c>
      <c r="B195" s="3" t="s">
        <v>201</v>
      </c>
      <c r="C195" s="3">
        <v>2020</v>
      </c>
      <c r="D195" s="3">
        <v>0</v>
      </c>
      <c r="E195" s="3">
        <v>2</v>
      </c>
      <c r="F195" s="3"/>
      <c r="G195" s="3">
        <v>0</v>
      </c>
      <c r="H195" s="3">
        <v>1</v>
      </c>
      <c r="I195" s="3">
        <v>0</v>
      </c>
      <c r="J195" s="3">
        <v>3</v>
      </c>
      <c r="K195" s="3">
        <v>0</v>
      </c>
      <c r="L195" s="3">
        <v>0</v>
      </c>
      <c r="M195" s="3">
        <v>0</v>
      </c>
      <c r="N195" s="3">
        <v>36168115</v>
      </c>
      <c r="O195" s="3">
        <v>1</v>
      </c>
    </row>
    <row r="196" spans="1:40">
      <c r="A196" s="5">
        <v>1</v>
      </c>
      <c r="B196" s="5" t="s">
        <v>202</v>
      </c>
      <c r="C196" s="5" t="s">
        <v>203</v>
      </c>
      <c r="D196" s="5">
        <v>2020</v>
      </c>
      <c r="E196" s="5">
        <v>2</v>
      </c>
      <c r="F196" s="5">
        <v>1</v>
      </c>
      <c r="G196" s="5">
        <v>1</v>
      </c>
      <c r="H196" s="5">
        <v>0</v>
      </c>
      <c r="I196" s="5">
        <v>2</v>
      </c>
      <c r="J196" s="5">
        <v>1</v>
      </c>
      <c r="K196" s="5">
        <v>1</v>
      </c>
      <c r="L196" s="5">
        <v>1</v>
      </c>
      <c r="M196" s="5">
        <v>1</v>
      </c>
      <c r="N196" s="5">
        <v>1</v>
      </c>
      <c r="O196" s="5">
        <v>1</v>
      </c>
      <c r="P196" s="5">
        <v>1</v>
      </c>
      <c r="Q196" s="5">
        <v>1</v>
      </c>
      <c r="R196" s="5" t="s">
        <v>3</v>
      </c>
      <c r="S196" s="5" t="s">
        <v>3</v>
      </c>
      <c r="T196" s="5" t="s">
        <v>3</v>
      </c>
      <c r="U196" s="5" t="s">
        <v>3</v>
      </c>
      <c r="V196" s="5" t="s">
        <v>3</v>
      </c>
      <c r="W196" s="5" t="s">
        <v>3</v>
      </c>
      <c r="X196" s="5" t="s">
        <v>3</v>
      </c>
      <c r="Y196" s="5" t="s">
        <v>3</v>
      </c>
      <c r="Z196" s="5" t="s">
        <v>3</v>
      </c>
      <c r="AA196" s="5" t="s">
        <v>3</v>
      </c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>
        <v>36168116</v>
      </c>
    </row>
    <row r="197" spans="1:40">
      <c r="A197" s="5">
        <v>2</v>
      </c>
      <c r="B197" s="5" t="s">
        <v>204</v>
      </c>
      <c r="C197" s="5" t="s">
        <v>205</v>
      </c>
      <c r="D197" s="5">
        <v>0</v>
      </c>
      <c r="E197" s="5">
        <v>0</v>
      </c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>
        <v>36168117</v>
      </c>
    </row>
    <row r="201" spans="1:40">
      <c r="A201">
        <v>65</v>
      </c>
      <c r="C201">
        <v>1</v>
      </c>
      <c r="D201">
        <v>0</v>
      </c>
      <c r="E201">
        <v>245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EC55"/>
  <sheetViews>
    <sheetView workbookViewId="0"/>
  </sheetViews>
  <sheetFormatPr defaultColWidth="9.140625" defaultRowHeight="12.75"/>
  <cols>
    <col min="1" max="256" width="9.140625" customWidth="1"/>
  </cols>
  <sheetData>
    <row r="1" spans="1:133">
      <c r="A1">
        <v>0</v>
      </c>
      <c r="B1" t="s">
        <v>0</v>
      </c>
      <c r="D1" t="s">
        <v>206</v>
      </c>
      <c r="F1">
        <v>0</v>
      </c>
      <c r="G1">
        <v>0</v>
      </c>
      <c r="H1">
        <v>0</v>
      </c>
      <c r="I1" t="s">
        <v>2</v>
      </c>
      <c r="J1" t="s">
        <v>3</v>
      </c>
      <c r="K1">
        <v>1</v>
      </c>
      <c r="L1">
        <v>58436</v>
      </c>
      <c r="M1">
        <v>10</v>
      </c>
      <c r="N1">
        <v>11</v>
      </c>
      <c r="O1">
        <v>3</v>
      </c>
      <c r="P1">
        <v>0</v>
      </c>
      <c r="Q1">
        <v>0</v>
      </c>
    </row>
    <row r="12" spans="1:133">
      <c r="A12" s="1">
        <v>1</v>
      </c>
      <c r="B12" s="1">
        <v>53</v>
      </c>
      <c r="C12" s="1">
        <v>0</v>
      </c>
      <c r="D12" s="1"/>
      <c r="E12" s="1">
        <v>0</v>
      </c>
      <c r="F12" s="1" t="s">
        <v>4</v>
      </c>
      <c r="G12" s="1" t="s">
        <v>5</v>
      </c>
      <c r="H12" s="1" t="s">
        <v>3</v>
      </c>
      <c r="I12" s="1">
        <v>0</v>
      </c>
      <c r="J12" s="1" t="s">
        <v>3</v>
      </c>
      <c r="K12" s="1">
        <v>0</v>
      </c>
      <c r="L12" s="1">
        <v>0</v>
      </c>
      <c r="M12" s="1">
        <v>2</v>
      </c>
      <c r="N12" s="1"/>
      <c r="O12" s="1">
        <v>0</v>
      </c>
      <c r="P12" s="1">
        <v>0</v>
      </c>
      <c r="Q12" s="1">
        <v>0</v>
      </c>
      <c r="R12" s="1">
        <v>0</v>
      </c>
      <c r="S12" s="1"/>
      <c r="T12" s="1">
        <v>1</v>
      </c>
      <c r="U12" s="1" t="s">
        <v>3</v>
      </c>
      <c r="V12" s="1">
        <v>0</v>
      </c>
      <c r="W12" s="1" t="s">
        <v>3</v>
      </c>
      <c r="X12" s="1" t="s">
        <v>3</v>
      </c>
      <c r="Y12" s="1" t="s">
        <v>3</v>
      </c>
      <c r="Z12" s="1" t="s">
        <v>3</v>
      </c>
      <c r="AA12" s="1" t="s">
        <v>3</v>
      </c>
      <c r="AB12" s="1" t="s">
        <v>3</v>
      </c>
      <c r="AC12" s="1" t="s">
        <v>3</v>
      </c>
      <c r="AD12" s="1" t="s">
        <v>3</v>
      </c>
      <c r="AE12" s="1" t="s">
        <v>3</v>
      </c>
      <c r="AF12" s="1" t="s">
        <v>3</v>
      </c>
      <c r="AG12" s="1" t="s">
        <v>3</v>
      </c>
      <c r="AH12" s="1" t="s">
        <v>3</v>
      </c>
      <c r="AI12" s="1" t="s">
        <v>3</v>
      </c>
      <c r="AJ12" s="1" t="s">
        <v>3</v>
      </c>
      <c r="AK12" s="1"/>
      <c r="AL12" s="1" t="s">
        <v>3</v>
      </c>
      <c r="AM12" s="1" t="s">
        <v>3</v>
      </c>
      <c r="AN12" s="1" t="s">
        <v>3</v>
      </c>
      <c r="AO12" s="1"/>
      <c r="AP12" s="1" t="s">
        <v>3</v>
      </c>
      <c r="AQ12" s="1" t="s">
        <v>3</v>
      </c>
      <c r="AR12" s="1" t="s">
        <v>3</v>
      </c>
      <c r="AS12" s="1"/>
      <c r="AT12" s="1"/>
      <c r="AU12" s="1"/>
      <c r="AV12" s="1"/>
      <c r="AW12" s="1"/>
      <c r="AX12" s="1" t="s">
        <v>3</v>
      </c>
      <c r="AY12" s="1" t="s">
        <v>3</v>
      </c>
      <c r="AZ12" s="1" t="s">
        <v>3</v>
      </c>
      <c r="BA12" s="1"/>
      <c r="BB12" s="1">
        <v>0</v>
      </c>
      <c r="BC12" s="1"/>
      <c r="BD12" s="1"/>
      <c r="BE12" s="1"/>
      <c r="BF12" s="1"/>
      <c r="BG12" s="1"/>
      <c r="BH12" s="1" t="s">
        <v>6</v>
      </c>
      <c r="BI12" s="1" t="s">
        <v>7</v>
      </c>
      <c r="BJ12" s="1">
        <v>1</v>
      </c>
      <c r="BK12" s="1">
        <v>1</v>
      </c>
      <c r="BL12" s="1">
        <v>0</v>
      </c>
      <c r="BM12" s="1">
        <v>0</v>
      </c>
      <c r="BN12" s="1">
        <v>1</v>
      </c>
      <c r="BO12" s="1">
        <v>0</v>
      </c>
      <c r="BP12" s="1">
        <v>6</v>
      </c>
      <c r="BQ12" s="1">
        <v>2</v>
      </c>
      <c r="BR12" s="1">
        <v>1</v>
      </c>
      <c r="BS12" s="1">
        <v>1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 t="s">
        <v>3</v>
      </c>
      <c r="BZ12" s="1" t="s">
        <v>8</v>
      </c>
      <c r="CA12" s="1" t="s">
        <v>9</v>
      </c>
      <c r="CB12" s="1" t="s">
        <v>9</v>
      </c>
      <c r="CC12" s="1" t="s">
        <v>9</v>
      </c>
      <c r="CD12" s="1" t="s">
        <v>9</v>
      </c>
      <c r="CE12" s="1" t="s">
        <v>10</v>
      </c>
      <c r="CF12" s="1">
        <v>0</v>
      </c>
      <c r="CG12" s="1">
        <v>0</v>
      </c>
      <c r="CH12" s="1">
        <v>8200</v>
      </c>
      <c r="CI12" s="1" t="s">
        <v>3</v>
      </c>
      <c r="CJ12" s="1" t="s">
        <v>3</v>
      </c>
      <c r="CK12" s="1">
        <v>1</v>
      </c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>
        <v>0</v>
      </c>
    </row>
    <row r="14" spans="1:133">
      <c r="A14" s="1">
        <v>22</v>
      </c>
      <c r="B14" s="1">
        <v>0</v>
      </c>
      <c r="C14" s="1">
        <v>0</v>
      </c>
      <c r="D14" s="1">
        <v>36168115</v>
      </c>
      <c r="E14" s="1">
        <v>0</v>
      </c>
      <c r="F14" s="1">
        <v>3</v>
      </c>
      <c r="G14" s="1"/>
      <c r="H14" s="1"/>
      <c r="I14" s="1"/>
      <c r="J14" s="1"/>
      <c r="K14" s="1"/>
      <c r="L14" s="1"/>
      <c r="M14" s="1"/>
      <c r="N14" s="1"/>
      <c r="O14" s="1"/>
    </row>
    <row r="16" spans="1:133">
      <c r="A16" s="6">
        <v>3</v>
      </c>
      <c r="B16" s="6">
        <v>1</v>
      </c>
      <c r="C16" s="6" t="s">
        <v>11</v>
      </c>
      <c r="D16" s="6" t="s">
        <v>11</v>
      </c>
      <c r="E16" s="7">
        <f>(Source!F121)/1000</f>
        <v>3.2132800000000001</v>
      </c>
      <c r="F16" s="7">
        <f>(Source!F122)/1000</f>
        <v>139.32866000000001</v>
      </c>
      <c r="G16" s="7">
        <f>(Source!F113)/1000</f>
        <v>0</v>
      </c>
      <c r="H16" s="7">
        <f>(Source!F123)/1000+(Source!F124)/1000</f>
        <v>0</v>
      </c>
      <c r="I16" s="7">
        <f>E16+F16+G16+H16</f>
        <v>142.54194000000001</v>
      </c>
      <c r="J16" s="7">
        <f>(Source!F119)/1000</f>
        <v>30.277270000000001</v>
      </c>
      <c r="AI16" s="6">
        <v>0</v>
      </c>
      <c r="AJ16" s="6">
        <v>0</v>
      </c>
      <c r="AK16" s="6" t="s">
        <v>3</v>
      </c>
      <c r="AL16" s="6" t="s">
        <v>3</v>
      </c>
      <c r="AM16" s="6" t="s">
        <v>3</v>
      </c>
      <c r="AN16" s="6">
        <v>0</v>
      </c>
      <c r="AO16" s="6" t="s">
        <v>3</v>
      </c>
      <c r="AP16" s="6" t="s">
        <v>3</v>
      </c>
      <c r="AT16" s="7">
        <v>96001.85</v>
      </c>
      <c r="AU16" s="7">
        <v>64239.13</v>
      </c>
      <c r="AV16" s="7">
        <v>0</v>
      </c>
      <c r="AW16" s="7">
        <v>0</v>
      </c>
      <c r="AX16" s="7">
        <v>0</v>
      </c>
      <c r="AY16" s="7">
        <v>1485.45</v>
      </c>
      <c r="AZ16" s="7">
        <v>294.42</v>
      </c>
      <c r="BA16" s="7">
        <v>30277.27</v>
      </c>
      <c r="BB16" s="7">
        <v>3213.28</v>
      </c>
      <c r="BC16" s="7">
        <v>139328.66</v>
      </c>
      <c r="BD16" s="7">
        <v>0</v>
      </c>
      <c r="BE16" s="7">
        <v>0</v>
      </c>
      <c r="BF16" s="7">
        <v>100.55000000000001</v>
      </c>
      <c r="BG16" s="7">
        <v>0.72</v>
      </c>
      <c r="BH16" s="7">
        <v>1183.43</v>
      </c>
      <c r="BI16" s="7">
        <v>27262.15</v>
      </c>
      <c r="BJ16" s="7">
        <v>19277.939999999999</v>
      </c>
      <c r="BK16" s="7">
        <v>142541.94</v>
      </c>
    </row>
    <row r="18" spans="1:19">
      <c r="A18">
        <v>51</v>
      </c>
      <c r="E18" s="8">
        <f>SUMIF(A16:A17,3,E16:E17)</f>
        <v>3.2132800000000001</v>
      </c>
      <c r="F18" s="8">
        <f>SUMIF(A16:A17,3,F16:F17)</f>
        <v>139.32866000000001</v>
      </c>
      <c r="G18" s="8">
        <f>SUMIF(A16:A17,3,G16:G17)</f>
        <v>0</v>
      </c>
      <c r="H18" s="8">
        <f>SUMIF(A16:A17,3,H16:H17)</f>
        <v>0</v>
      </c>
      <c r="I18" s="8">
        <f>SUMIF(A16:A17,3,I16:I17)</f>
        <v>142.54194000000001</v>
      </c>
      <c r="J18" s="8">
        <f>SUMIF(A16:A17,3,J16:J17)</f>
        <v>30.277270000000001</v>
      </c>
      <c r="K18" s="8"/>
      <c r="L18" s="8"/>
      <c r="M18" s="8"/>
      <c r="N18" s="8"/>
      <c r="O18" s="8"/>
      <c r="P18" s="8"/>
      <c r="Q18" s="8"/>
      <c r="R18" s="8"/>
      <c r="S18" s="8"/>
    </row>
    <row r="20" spans="1:19">
      <c r="A20" s="4">
        <v>50</v>
      </c>
      <c r="B20" s="4">
        <v>0</v>
      </c>
      <c r="C20" s="4">
        <v>0</v>
      </c>
      <c r="D20" s="4">
        <v>1</v>
      </c>
      <c r="E20" s="4">
        <v>201</v>
      </c>
      <c r="F20" s="4">
        <v>96001.85</v>
      </c>
      <c r="G20" s="4" t="s">
        <v>81</v>
      </c>
      <c r="H20" s="4" t="s">
        <v>82</v>
      </c>
      <c r="I20" s="4"/>
      <c r="J20" s="4"/>
      <c r="K20" s="4">
        <v>201</v>
      </c>
      <c r="L20" s="4">
        <v>3</v>
      </c>
      <c r="M20" s="4">
        <v>3</v>
      </c>
      <c r="N20" s="4" t="s">
        <v>3</v>
      </c>
      <c r="O20" s="4">
        <v>2</v>
      </c>
      <c r="P20" s="4"/>
    </row>
    <row r="21" spans="1:19">
      <c r="A21" s="4">
        <v>50</v>
      </c>
      <c r="B21" s="4">
        <v>0</v>
      </c>
      <c r="C21" s="4">
        <v>0</v>
      </c>
      <c r="D21" s="4">
        <v>1</v>
      </c>
      <c r="E21" s="4">
        <v>202</v>
      </c>
      <c r="F21" s="4">
        <v>64239.13</v>
      </c>
      <c r="G21" s="4" t="s">
        <v>83</v>
      </c>
      <c r="H21" s="4" t="s">
        <v>84</v>
      </c>
      <c r="I21" s="4"/>
      <c r="J21" s="4"/>
      <c r="K21" s="4">
        <v>202</v>
      </c>
      <c r="L21" s="4">
        <v>4</v>
      </c>
      <c r="M21" s="4">
        <v>3</v>
      </c>
      <c r="N21" s="4" t="s">
        <v>3</v>
      </c>
      <c r="O21" s="4">
        <v>2</v>
      </c>
      <c r="P21" s="4"/>
    </row>
    <row r="22" spans="1:19">
      <c r="A22" s="4">
        <v>50</v>
      </c>
      <c r="B22" s="4">
        <v>0</v>
      </c>
      <c r="C22" s="4">
        <v>0</v>
      </c>
      <c r="D22" s="4">
        <v>1</v>
      </c>
      <c r="E22" s="4">
        <v>222</v>
      </c>
      <c r="F22" s="4">
        <v>0</v>
      </c>
      <c r="G22" s="4" t="s">
        <v>85</v>
      </c>
      <c r="H22" s="4" t="s">
        <v>86</v>
      </c>
      <c r="I22" s="4"/>
      <c r="J22" s="4"/>
      <c r="K22" s="4">
        <v>222</v>
      </c>
      <c r="L22" s="4">
        <v>5</v>
      </c>
      <c r="M22" s="4">
        <v>3</v>
      </c>
      <c r="N22" s="4" t="s">
        <v>3</v>
      </c>
      <c r="O22" s="4">
        <v>2</v>
      </c>
      <c r="P22" s="4"/>
    </row>
    <row r="23" spans="1:19">
      <c r="A23" s="4">
        <v>50</v>
      </c>
      <c r="B23" s="4">
        <v>0</v>
      </c>
      <c r="C23" s="4">
        <v>0</v>
      </c>
      <c r="D23" s="4">
        <v>1</v>
      </c>
      <c r="E23" s="4">
        <v>225</v>
      </c>
      <c r="F23" s="4">
        <v>64239.13</v>
      </c>
      <c r="G23" s="4" t="s">
        <v>87</v>
      </c>
      <c r="H23" s="4" t="s">
        <v>88</v>
      </c>
      <c r="I23" s="4"/>
      <c r="J23" s="4"/>
      <c r="K23" s="4">
        <v>225</v>
      </c>
      <c r="L23" s="4">
        <v>6</v>
      </c>
      <c r="M23" s="4">
        <v>3</v>
      </c>
      <c r="N23" s="4" t="s">
        <v>3</v>
      </c>
      <c r="O23" s="4">
        <v>2</v>
      </c>
      <c r="P23" s="4"/>
    </row>
    <row r="24" spans="1:19">
      <c r="A24" s="4">
        <v>50</v>
      </c>
      <c r="B24" s="4">
        <v>0</v>
      </c>
      <c r="C24" s="4">
        <v>0</v>
      </c>
      <c r="D24" s="4">
        <v>1</v>
      </c>
      <c r="E24" s="4">
        <v>226</v>
      </c>
      <c r="F24" s="4">
        <v>64239.13</v>
      </c>
      <c r="G24" s="4" t="s">
        <v>89</v>
      </c>
      <c r="H24" s="4" t="s">
        <v>90</v>
      </c>
      <c r="I24" s="4"/>
      <c r="J24" s="4"/>
      <c r="K24" s="4">
        <v>226</v>
      </c>
      <c r="L24" s="4">
        <v>7</v>
      </c>
      <c r="M24" s="4">
        <v>3</v>
      </c>
      <c r="N24" s="4" t="s">
        <v>3</v>
      </c>
      <c r="O24" s="4">
        <v>2</v>
      </c>
      <c r="P24" s="4"/>
    </row>
    <row r="25" spans="1:19">
      <c r="A25" s="4">
        <v>50</v>
      </c>
      <c r="B25" s="4">
        <v>0</v>
      </c>
      <c r="C25" s="4">
        <v>0</v>
      </c>
      <c r="D25" s="4">
        <v>1</v>
      </c>
      <c r="E25" s="4">
        <v>227</v>
      </c>
      <c r="F25" s="4">
        <v>0</v>
      </c>
      <c r="G25" s="4" t="s">
        <v>91</v>
      </c>
      <c r="H25" s="4" t="s">
        <v>92</v>
      </c>
      <c r="I25" s="4"/>
      <c r="J25" s="4"/>
      <c r="K25" s="4">
        <v>227</v>
      </c>
      <c r="L25" s="4">
        <v>8</v>
      </c>
      <c r="M25" s="4">
        <v>3</v>
      </c>
      <c r="N25" s="4" t="s">
        <v>3</v>
      </c>
      <c r="O25" s="4">
        <v>2</v>
      </c>
      <c r="P25" s="4"/>
    </row>
    <row r="26" spans="1:19">
      <c r="A26" s="4">
        <v>50</v>
      </c>
      <c r="B26" s="4">
        <v>0</v>
      </c>
      <c r="C26" s="4">
        <v>0</v>
      </c>
      <c r="D26" s="4">
        <v>1</v>
      </c>
      <c r="E26" s="4">
        <v>228</v>
      </c>
      <c r="F26" s="4">
        <v>64239.13</v>
      </c>
      <c r="G26" s="4" t="s">
        <v>93</v>
      </c>
      <c r="H26" s="4" t="s">
        <v>94</v>
      </c>
      <c r="I26" s="4"/>
      <c r="J26" s="4"/>
      <c r="K26" s="4">
        <v>228</v>
      </c>
      <c r="L26" s="4">
        <v>9</v>
      </c>
      <c r="M26" s="4">
        <v>3</v>
      </c>
      <c r="N26" s="4" t="s">
        <v>3</v>
      </c>
      <c r="O26" s="4">
        <v>2</v>
      </c>
      <c r="P26" s="4"/>
    </row>
    <row r="27" spans="1:19">
      <c r="A27" s="4">
        <v>50</v>
      </c>
      <c r="B27" s="4">
        <v>0</v>
      </c>
      <c r="C27" s="4">
        <v>0</v>
      </c>
      <c r="D27" s="4">
        <v>1</v>
      </c>
      <c r="E27" s="4">
        <v>216</v>
      </c>
      <c r="F27" s="4">
        <v>0</v>
      </c>
      <c r="G27" s="4" t="s">
        <v>95</v>
      </c>
      <c r="H27" s="4" t="s">
        <v>96</v>
      </c>
      <c r="I27" s="4"/>
      <c r="J27" s="4"/>
      <c r="K27" s="4">
        <v>216</v>
      </c>
      <c r="L27" s="4">
        <v>10</v>
      </c>
      <c r="M27" s="4">
        <v>3</v>
      </c>
      <c r="N27" s="4" t="s">
        <v>3</v>
      </c>
      <c r="O27" s="4">
        <v>2</v>
      </c>
      <c r="P27" s="4"/>
    </row>
    <row r="28" spans="1:19">
      <c r="A28" s="4">
        <v>50</v>
      </c>
      <c r="B28" s="4">
        <v>0</v>
      </c>
      <c r="C28" s="4">
        <v>0</v>
      </c>
      <c r="D28" s="4">
        <v>1</v>
      </c>
      <c r="E28" s="4">
        <v>223</v>
      </c>
      <c r="F28" s="4">
        <v>0</v>
      </c>
      <c r="G28" s="4" t="s">
        <v>97</v>
      </c>
      <c r="H28" s="4" t="s">
        <v>98</v>
      </c>
      <c r="I28" s="4"/>
      <c r="J28" s="4"/>
      <c r="K28" s="4">
        <v>223</v>
      </c>
      <c r="L28" s="4">
        <v>11</v>
      </c>
      <c r="M28" s="4">
        <v>3</v>
      </c>
      <c r="N28" s="4" t="s">
        <v>3</v>
      </c>
      <c r="O28" s="4">
        <v>2</v>
      </c>
      <c r="P28" s="4"/>
    </row>
    <row r="29" spans="1:19">
      <c r="A29" s="4">
        <v>50</v>
      </c>
      <c r="B29" s="4">
        <v>0</v>
      </c>
      <c r="C29" s="4">
        <v>0</v>
      </c>
      <c r="D29" s="4">
        <v>1</v>
      </c>
      <c r="E29" s="4">
        <v>229</v>
      </c>
      <c r="F29" s="4">
        <v>0</v>
      </c>
      <c r="G29" s="4" t="s">
        <v>99</v>
      </c>
      <c r="H29" s="4" t="s">
        <v>100</v>
      </c>
      <c r="I29" s="4"/>
      <c r="J29" s="4"/>
      <c r="K29" s="4">
        <v>229</v>
      </c>
      <c r="L29" s="4">
        <v>12</v>
      </c>
      <c r="M29" s="4">
        <v>3</v>
      </c>
      <c r="N29" s="4" t="s">
        <v>3</v>
      </c>
      <c r="O29" s="4">
        <v>2</v>
      </c>
      <c r="P29" s="4"/>
    </row>
    <row r="30" spans="1:19">
      <c r="A30" s="4">
        <v>50</v>
      </c>
      <c r="B30" s="4">
        <v>0</v>
      </c>
      <c r="C30" s="4">
        <v>0</v>
      </c>
      <c r="D30" s="4">
        <v>1</v>
      </c>
      <c r="E30" s="4">
        <v>203</v>
      </c>
      <c r="F30" s="4">
        <v>1485.45</v>
      </c>
      <c r="G30" s="4" t="s">
        <v>101</v>
      </c>
      <c r="H30" s="4" t="s">
        <v>102</v>
      </c>
      <c r="I30" s="4"/>
      <c r="J30" s="4"/>
      <c r="K30" s="4">
        <v>203</v>
      </c>
      <c r="L30" s="4">
        <v>13</v>
      </c>
      <c r="M30" s="4">
        <v>3</v>
      </c>
      <c r="N30" s="4" t="s">
        <v>3</v>
      </c>
      <c r="O30" s="4">
        <v>2</v>
      </c>
      <c r="P30" s="4"/>
    </row>
    <row r="31" spans="1:19">
      <c r="A31" s="4">
        <v>50</v>
      </c>
      <c r="B31" s="4">
        <v>0</v>
      </c>
      <c r="C31" s="4">
        <v>0</v>
      </c>
      <c r="D31" s="4">
        <v>1</v>
      </c>
      <c r="E31" s="4">
        <v>231</v>
      </c>
      <c r="F31" s="4">
        <v>0</v>
      </c>
      <c r="G31" s="4" t="s">
        <v>103</v>
      </c>
      <c r="H31" s="4" t="s">
        <v>104</v>
      </c>
      <c r="I31" s="4"/>
      <c r="J31" s="4"/>
      <c r="K31" s="4">
        <v>231</v>
      </c>
      <c r="L31" s="4">
        <v>14</v>
      </c>
      <c r="M31" s="4">
        <v>3</v>
      </c>
      <c r="N31" s="4" t="s">
        <v>3</v>
      </c>
      <c r="O31" s="4">
        <v>2</v>
      </c>
      <c r="P31" s="4"/>
    </row>
    <row r="32" spans="1:19">
      <c r="A32" s="4">
        <v>50</v>
      </c>
      <c r="B32" s="4">
        <v>0</v>
      </c>
      <c r="C32" s="4">
        <v>0</v>
      </c>
      <c r="D32" s="4">
        <v>1</v>
      </c>
      <c r="E32" s="4">
        <v>204</v>
      </c>
      <c r="F32" s="4">
        <v>294.42</v>
      </c>
      <c r="G32" s="4" t="s">
        <v>105</v>
      </c>
      <c r="H32" s="4" t="s">
        <v>106</v>
      </c>
      <c r="I32" s="4"/>
      <c r="J32" s="4"/>
      <c r="K32" s="4">
        <v>204</v>
      </c>
      <c r="L32" s="4">
        <v>15</v>
      </c>
      <c r="M32" s="4">
        <v>3</v>
      </c>
      <c r="N32" s="4" t="s">
        <v>3</v>
      </c>
      <c r="O32" s="4">
        <v>2</v>
      </c>
      <c r="P32" s="4"/>
    </row>
    <row r="33" spans="1:16">
      <c r="A33" s="4">
        <v>50</v>
      </c>
      <c r="B33" s="4">
        <v>0</v>
      </c>
      <c r="C33" s="4">
        <v>0</v>
      </c>
      <c r="D33" s="4">
        <v>1</v>
      </c>
      <c r="E33" s="4">
        <v>205</v>
      </c>
      <c r="F33" s="4">
        <v>30277.27</v>
      </c>
      <c r="G33" s="4" t="s">
        <v>107</v>
      </c>
      <c r="H33" s="4" t="s">
        <v>108</v>
      </c>
      <c r="I33" s="4"/>
      <c r="J33" s="4"/>
      <c r="K33" s="4">
        <v>205</v>
      </c>
      <c r="L33" s="4">
        <v>16</v>
      </c>
      <c r="M33" s="4">
        <v>3</v>
      </c>
      <c r="N33" s="4" t="s">
        <v>3</v>
      </c>
      <c r="O33" s="4">
        <v>2</v>
      </c>
      <c r="P33" s="4"/>
    </row>
    <row r="34" spans="1:16">
      <c r="A34" s="4">
        <v>50</v>
      </c>
      <c r="B34" s="4">
        <v>0</v>
      </c>
      <c r="C34" s="4">
        <v>0</v>
      </c>
      <c r="D34" s="4">
        <v>1</v>
      </c>
      <c r="E34" s="4">
        <v>232</v>
      </c>
      <c r="F34" s="4">
        <v>0</v>
      </c>
      <c r="G34" s="4" t="s">
        <v>109</v>
      </c>
      <c r="H34" s="4" t="s">
        <v>110</v>
      </c>
      <c r="I34" s="4"/>
      <c r="J34" s="4"/>
      <c r="K34" s="4">
        <v>232</v>
      </c>
      <c r="L34" s="4">
        <v>17</v>
      </c>
      <c r="M34" s="4">
        <v>3</v>
      </c>
      <c r="N34" s="4" t="s">
        <v>3</v>
      </c>
      <c r="O34" s="4">
        <v>2</v>
      </c>
      <c r="P34" s="4"/>
    </row>
    <row r="35" spans="1:16">
      <c r="A35" s="4">
        <v>50</v>
      </c>
      <c r="B35" s="4">
        <v>0</v>
      </c>
      <c r="C35" s="4">
        <v>0</v>
      </c>
      <c r="D35" s="4">
        <v>1</v>
      </c>
      <c r="E35" s="4">
        <v>214</v>
      </c>
      <c r="F35" s="4">
        <v>3213.28</v>
      </c>
      <c r="G35" s="4" t="s">
        <v>111</v>
      </c>
      <c r="H35" s="4" t="s">
        <v>112</v>
      </c>
      <c r="I35" s="4"/>
      <c r="J35" s="4"/>
      <c r="K35" s="4">
        <v>214</v>
      </c>
      <c r="L35" s="4">
        <v>18</v>
      </c>
      <c r="M35" s="4">
        <v>3</v>
      </c>
      <c r="N35" s="4" t="s">
        <v>3</v>
      </c>
      <c r="O35" s="4">
        <v>2</v>
      </c>
      <c r="P35" s="4"/>
    </row>
    <row r="36" spans="1:16">
      <c r="A36" s="4">
        <v>50</v>
      </c>
      <c r="B36" s="4">
        <v>0</v>
      </c>
      <c r="C36" s="4">
        <v>0</v>
      </c>
      <c r="D36" s="4">
        <v>1</v>
      </c>
      <c r="E36" s="4">
        <v>215</v>
      </c>
      <c r="F36" s="4">
        <v>139328.66</v>
      </c>
      <c r="G36" s="4" t="s">
        <v>113</v>
      </c>
      <c r="H36" s="4" t="s">
        <v>114</v>
      </c>
      <c r="I36" s="4"/>
      <c r="J36" s="4"/>
      <c r="K36" s="4">
        <v>215</v>
      </c>
      <c r="L36" s="4">
        <v>19</v>
      </c>
      <c r="M36" s="4">
        <v>3</v>
      </c>
      <c r="N36" s="4" t="s">
        <v>3</v>
      </c>
      <c r="O36" s="4">
        <v>2</v>
      </c>
      <c r="P36" s="4"/>
    </row>
    <row r="37" spans="1:16">
      <c r="A37" s="4">
        <v>50</v>
      </c>
      <c r="B37" s="4">
        <v>0</v>
      </c>
      <c r="C37" s="4">
        <v>0</v>
      </c>
      <c r="D37" s="4">
        <v>1</v>
      </c>
      <c r="E37" s="4">
        <v>217</v>
      </c>
      <c r="F37" s="4">
        <v>0</v>
      </c>
      <c r="G37" s="4" t="s">
        <v>115</v>
      </c>
      <c r="H37" s="4" t="s">
        <v>116</v>
      </c>
      <c r="I37" s="4"/>
      <c r="J37" s="4"/>
      <c r="K37" s="4">
        <v>217</v>
      </c>
      <c r="L37" s="4">
        <v>20</v>
      </c>
      <c r="M37" s="4">
        <v>3</v>
      </c>
      <c r="N37" s="4" t="s">
        <v>3</v>
      </c>
      <c r="O37" s="4">
        <v>2</v>
      </c>
      <c r="P37" s="4"/>
    </row>
    <row r="38" spans="1:16">
      <c r="A38" s="4">
        <v>50</v>
      </c>
      <c r="B38" s="4">
        <v>0</v>
      </c>
      <c r="C38" s="4">
        <v>0</v>
      </c>
      <c r="D38" s="4">
        <v>1</v>
      </c>
      <c r="E38" s="4">
        <v>230</v>
      </c>
      <c r="F38" s="4">
        <v>0</v>
      </c>
      <c r="G38" s="4" t="s">
        <v>117</v>
      </c>
      <c r="H38" s="4" t="s">
        <v>118</v>
      </c>
      <c r="I38" s="4"/>
      <c r="J38" s="4"/>
      <c r="K38" s="4">
        <v>230</v>
      </c>
      <c r="L38" s="4">
        <v>21</v>
      </c>
      <c r="M38" s="4">
        <v>3</v>
      </c>
      <c r="N38" s="4" t="s">
        <v>3</v>
      </c>
      <c r="O38" s="4">
        <v>2</v>
      </c>
      <c r="P38" s="4"/>
    </row>
    <row r="39" spans="1:16">
      <c r="A39" s="4">
        <v>50</v>
      </c>
      <c r="B39" s="4">
        <v>0</v>
      </c>
      <c r="C39" s="4">
        <v>0</v>
      </c>
      <c r="D39" s="4">
        <v>1</v>
      </c>
      <c r="E39" s="4">
        <v>206</v>
      </c>
      <c r="F39" s="4">
        <v>0</v>
      </c>
      <c r="G39" s="4" t="s">
        <v>119</v>
      </c>
      <c r="H39" s="4" t="s">
        <v>120</v>
      </c>
      <c r="I39" s="4"/>
      <c r="J39" s="4"/>
      <c r="K39" s="4">
        <v>206</v>
      </c>
      <c r="L39" s="4">
        <v>22</v>
      </c>
      <c r="M39" s="4">
        <v>3</v>
      </c>
      <c r="N39" s="4" t="s">
        <v>3</v>
      </c>
      <c r="O39" s="4">
        <v>2</v>
      </c>
      <c r="P39" s="4"/>
    </row>
    <row r="40" spans="1:16">
      <c r="A40" s="4">
        <v>50</v>
      </c>
      <c r="B40" s="4">
        <v>0</v>
      </c>
      <c r="C40" s="4">
        <v>0</v>
      </c>
      <c r="D40" s="4">
        <v>1</v>
      </c>
      <c r="E40" s="4">
        <v>207</v>
      </c>
      <c r="F40" s="4">
        <v>100.55000000000001</v>
      </c>
      <c r="G40" s="4" t="s">
        <v>121</v>
      </c>
      <c r="H40" s="4" t="s">
        <v>122</v>
      </c>
      <c r="I40" s="4"/>
      <c r="J40" s="4"/>
      <c r="K40" s="4">
        <v>207</v>
      </c>
      <c r="L40" s="4">
        <v>23</v>
      </c>
      <c r="M40" s="4">
        <v>3</v>
      </c>
      <c r="N40" s="4" t="s">
        <v>3</v>
      </c>
      <c r="O40" s="4">
        <v>-1</v>
      </c>
      <c r="P40" s="4"/>
    </row>
    <row r="41" spans="1:16">
      <c r="A41" s="4">
        <v>50</v>
      </c>
      <c r="B41" s="4">
        <v>0</v>
      </c>
      <c r="C41" s="4">
        <v>0</v>
      </c>
      <c r="D41" s="4">
        <v>1</v>
      </c>
      <c r="E41" s="4">
        <v>208</v>
      </c>
      <c r="F41" s="4">
        <v>0.72</v>
      </c>
      <c r="G41" s="4" t="s">
        <v>123</v>
      </c>
      <c r="H41" s="4" t="s">
        <v>124</v>
      </c>
      <c r="I41" s="4"/>
      <c r="J41" s="4"/>
      <c r="K41" s="4">
        <v>208</v>
      </c>
      <c r="L41" s="4">
        <v>24</v>
      </c>
      <c r="M41" s="4">
        <v>3</v>
      </c>
      <c r="N41" s="4" t="s">
        <v>3</v>
      </c>
      <c r="O41" s="4">
        <v>-1</v>
      </c>
      <c r="P41" s="4"/>
    </row>
    <row r="42" spans="1:16">
      <c r="A42" s="4">
        <v>50</v>
      </c>
      <c r="B42" s="4">
        <v>0</v>
      </c>
      <c r="C42" s="4">
        <v>0</v>
      </c>
      <c r="D42" s="4">
        <v>1</v>
      </c>
      <c r="E42" s="4">
        <v>209</v>
      </c>
      <c r="F42" s="4">
        <v>1183.43</v>
      </c>
      <c r="G42" s="4" t="s">
        <v>125</v>
      </c>
      <c r="H42" s="4" t="s">
        <v>126</v>
      </c>
      <c r="I42" s="4"/>
      <c r="J42" s="4"/>
      <c r="K42" s="4">
        <v>209</v>
      </c>
      <c r="L42" s="4">
        <v>25</v>
      </c>
      <c r="M42" s="4">
        <v>3</v>
      </c>
      <c r="N42" s="4" t="s">
        <v>3</v>
      </c>
      <c r="O42" s="4">
        <v>2</v>
      </c>
      <c r="P42" s="4"/>
    </row>
    <row r="43" spans="1:16">
      <c r="A43" s="4">
        <v>50</v>
      </c>
      <c r="B43" s="4">
        <v>0</v>
      </c>
      <c r="C43" s="4">
        <v>0</v>
      </c>
      <c r="D43" s="4">
        <v>1</v>
      </c>
      <c r="E43" s="4">
        <v>233</v>
      </c>
      <c r="F43" s="4">
        <v>0</v>
      </c>
      <c r="G43" s="4" t="s">
        <v>127</v>
      </c>
      <c r="H43" s="4" t="s">
        <v>128</v>
      </c>
      <c r="I43" s="4"/>
      <c r="J43" s="4"/>
      <c r="K43" s="4">
        <v>233</v>
      </c>
      <c r="L43" s="4">
        <v>26</v>
      </c>
      <c r="M43" s="4">
        <v>3</v>
      </c>
      <c r="N43" s="4" t="s">
        <v>3</v>
      </c>
      <c r="O43" s="4">
        <v>2</v>
      </c>
      <c r="P43" s="4"/>
    </row>
    <row r="44" spans="1:16">
      <c r="A44" s="4">
        <v>50</v>
      </c>
      <c r="B44" s="4">
        <v>0</v>
      </c>
      <c r="C44" s="4">
        <v>0</v>
      </c>
      <c r="D44" s="4">
        <v>1</v>
      </c>
      <c r="E44" s="4">
        <v>210</v>
      </c>
      <c r="F44" s="4">
        <v>27262.15</v>
      </c>
      <c r="G44" s="4" t="s">
        <v>129</v>
      </c>
      <c r="H44" s="4" t="s">
        <v>130</v>
      </c>
      <c r="I44" s="4"/>
      <c r="J44" s="4"/>
      <c r="K44" s="4">
        <v>210</v>
      </c>
      <c r="L44" s="4">
        <v>27</v>
      </c>
      <c r="M44" s="4">
        <v>3</v>
      </c>
      <c r="N44" s="4" t="s">
        <v>3</v>
      </c>
      <c r="O44" s="4">
        <v>2</v>
      </c>
      <c r="P44" s="4"/>
    </row>
    <row r="45" spans="1:16">
      <c r="A45" s="4">
        <v>50</v>
      </c>
      <c r="B45" s="4">
        <v>0</v>
      </c>
      <c r="C45" s="4">
        <v>0</v>
      </c>
      <c r="D45" s="4">
        <v>1</v>
      </c>
      <c r="E45" s="4">
        <v>211</v>
      </c>
      <c r="F45" s="4">
        <v>19277.939999999999</v>
      </c>
      <c r="G45" s="4" t="s">
        <v>131</v>
      </c>
      <c r="H45" s="4" t="s">
        <v>132</v>
      </c>
      <c r="I45" s="4"/>
      <c r="J45" s="4"/>
      <c r="K45" s="4">
        <v>211</v>
      </c>
      <c r="L45" s="4">
        <v>28</v>
      </c>
      <c r="M45" s="4">
        <v>3</v>
      </c>
      <c r="N45" s="4" t="s">
        <v>3</v>
      </c>
      <c r="O45" s="4">
        <v>2</v>
      </c>
      <c r="P45" s="4"/>
    </row>
    <row r="46" spans="1:16">
      <c r="A46" s="4">
        <v>50</v>
      </c>
      <c r="B46" s="4">
        <v>0</v>
      </c>
      <c r="C46" s="4">
        <v>0</v>
      </c>
      <c r="D46" s="4">
        <v>1</v>
      </c>
      <c r="E46" s="4">
        <v>224</v>
      </c>
      <c r="F46" s="4">
        <v>142541.94</v>
      </c>
      <c r="G46" s="4" t="s">
        <v>133</v>
      </c>
      <c r="H46" s="4" t="s">
        <v>134</v>
      </c>
      <c r="I46" s="4"/>
      <c r="J46" s="4"/>
      <c r="K46" s="4">
        <v>224</v>
      </c>
      <c r="L46" s="4">
        <v>29</v>
      </c>
      <c r="M46" s="4">
        <v>3</v>
      </c>
      <c r="N46" s="4" t="s">
        <v>3</v>
      </c>
      <c r="O46" s="4">
        <v>2</v>
      </c>
      <c r="P46" s="4"/>
    </row>
    <row r="47" spans="1:16">
      <c r="A47" s="4">
        <v>50</v>
      </c>
      <c r="B47" s="4">
        <v>1</v>
      </c>
      <c r="C47" s="4">
        <v>0</v>
      </c>
      <c r="D47" s="4">
        <v>2</v>
      </c>
      <c r="E47" s="4">
        <v>0</v>
      </c>
      <c r="F47" s="4">
        <v>28508.400000000001</v>
      </c>
      <c r="G47" s="4" t="s">
        <v>136</v>
      </c>
      <c r="H47" s="4" t="s">
        <v>137</v>
      </c>
      <c r="I47" s="4"/>
      <c r="J47" s="4"/>
      <c r="K47" s="4">
        <v>212</v>
      </c>
      <c r="L47" s="4">
        <v>30</v>
      </c>
      <c r="M47" s="4">
        <v>0</v>
      </c>
      <c r="N47" s="4" t="s">
        <v>3</v>
      </c>
      <c r="O47" s="4">
        <v>1</v>
      </c>
      <c r="P47" s="4"/>
    </row>
    <row r="48" spans="1:16">
      <c r="A48" s="4">
        <v>50</v>
      </c>
      <c r="B48" s="4">
        <v>1</v>
      </c>
      <c r="C48" s="4">
        <v>0</v>
      </c>
      <c r="D48" s="4">
        <v>2</v>
      </c>
      <c r="E48" s="4">
        <v>213</v>
      </c>
      <c r="F48" s="4">
        <v>171050.3</v>
      </c>
      <c r="G48" s="4" t="s">
        <v>138</v>
      </c>
      <c r="H48" s="4" t="s">
        <v>139</v>
      </c>
      <c r="I48" s="4"/>
      <c r="J48" s="4"/>
      <c r="K48" s="4">
        <v>212</v>
      </c>
      <c r="L48" s="4">
        <v>31</v>
      </c>
      <c r="M48" s="4">
        <v>0</v>
      </c>
      <c r="N48" s="4" t="s">
        <v>3</v>
      </c>
      <c r="O48" s="4">
        <v>1</v>
      </c>
      <c r="P48" s="4"/>
    </row>
    <row r="50" spans="1:40">
      <c r="A50">
        <v>-1</v>
      </c>
    </row>
    <row r="53" spans="1:40">
      <c r="A53" s="3">
        <v>75</v>
      </c>
      <c r="B53" s="3" t="s">
        <v>201</v>
      </c>
      <c r="C53" s="3">
        <v>2020</v>
      </c>
      <c r="D53" s="3">
        <v>0</v>
      </c>
      <c r="E53" s="3">
        <v>2</v>
      </c>
      <c r="F53" s="3"/>
      <c r="G53" s="3">
        <v>0</v>
      </c>
      <c r="H53" s="3">
        <v>1</v>
      </c>
      <c r="I53" s="3">
        <v>0</v>
      </c>
      <c r="J53" s="3">
        <v>3</v>
      </c>
      <c r="K53" s="3">
        <v>0</v>
      </c>
      <c r="L53" s="3">
        <v>0</v>
      </c>
      <c r="M53" s="3">
        <v>0</v>
      </c>
      <c r="N53" s="3">
        <v>36168115</v>
      </c>
      <c r="O53" s="3">
        <v>1</v>
      </c>
    </row>
    <row r="54" spans="1:40">
      <c r="A54" s="5">
        <v>1</v>
      </c>
      <c r="B54" s="5" t="s">
        <v>202</v>
      </c>
      <c r="C54" s="5" t="s">
        <v>203</v>
      </c>
      <c r="D54" s="5">
        <v>2020</v>
      </c>
      <c r="E54" s="5">
        <v>2</v>
      </c>
      <c r="F54" s="5">
        <v>1</v>
      </c>
      <c r="G54" s="5">
        <v>1</v>
      </c>
      <c r="H54" s="5">
        <v>0</v>
      </c>
      <c r="I54" s="5">
        <v>2</v>
      </c>
      <c r="J54" s="5">
        <v>1</v>
      </c>
      <c r="K54" s="5">
        <v>1</v>
      </c>
      <c r="L54" s="5">
        <v>1</v>
      </c>
      <c r="M54" s="5">
        <v>1</v>
      </c>
      <c r="N54" s="5">
        <v>1</v>
      </c>
      <c r="O54" s="5">
        <v>1</v>
      </c>
      <c r="P54" s="5">
        <v>1</v>
      </c>
      <c r="Q54" s="5">
        <v>1</v>
      </c>
      <c r="R54" s="5" t="s">
        <v>3</v>
      </c>
      <c r="S54" s="5" t="s">
        <v>3</v>
      </c>
      <c r="T54" s="5" t="s">
        <v>3</v>
      </c>
      <c r="U54" s="5" t="s">
        <v>3</v>
      </c>
      <c r="V54" s="5" t="s">
        <v>3</v>
      </c>
      <c r="W54" s="5" t="s">
        <v>3</v>
      </c>
      <c r="X54" s="5" t="s">
        <v>3</v>
      </c>
      <c r="Y54" s="5" t="s">
        <v>3</v>
      </c>
      <c r="Z54" s="5" t="s">
        <v>3</v>
      </c>
      <c r="AA54" s="5" t="s">
        <v>3</v>
      </c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>
        <v>36168116</v>
      </c>
    </row>
    <row r="55" spans="1:40">
      <c r="A55" s="5">
        <v>2</v>
      </c>
      <c r="B55" s="5" t="s">
        <v>204</v>
      </c>
      <c r="C55" s="5" t="s">
        <v>205</v>
      </c>
      <c r="D55" s="5">
        <v>0</v>
      </c>
      <c r="E55" s="5">
        <v>0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>
        <v>36168117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C26"/>
  <sheetViews>
    <sheetView workbookViewId="0"/>
  </sheetViews>
  <sheetFormatPr defaultColWidth="9.140625" defaultRowHeight="12.75"/>
  <cols>
    <col min="1" max="256" width="9.140625" customWidth="1"/>
  </cols>
  <sheetData>
    <row r="1" spans="1:107">
      <c r="A1">
        <f>ROW(Source!A28)</f>
        <v>28</v>
      </c>
      <c r="B1">
        <v>36168115</v>
      </c>
      <c r="C1">
        <v>36168296</v>
      </c>
      <c r="D1">
        <v>29371836</v>
      </c>
      <c r="E1">
        <v>1</v>
      </c>
      <c r="F1">
        <v>1</v>
      </c>
      <c r="G1">
        <v>1</v>
      </c>
      <c r="H1">
        <v>1</v>
      </c>
      <c r="I1" t="s">
        <v>207</v>
      </c>
      <c r="J1" t="s">
        <v>3</v>
      </c>
      <c r="K1" t="s">
        <v>208</v>
      </c>
      <c r="L1">
        <v>1369</v>
      </c>
      <c r="N1">
        <v>1013</v>
      </c>
      <c r="O1" t="s">
        <v>209</v>
      </c>
      <c r="P1" t="s">
        <v>209</v>
      </c>
      <c r="Q1">
        <v>1</v>
      </c>
      <c r="W1">
        <v>0</v>
      </c>
      <c r="X1">
        <v>-1922278290</v>
      </c>
      <c r="Y1">
        <v>2.67</v>
      </c>
      <c r="AA1">
        <v>0</v>
      </c>
      <c r="AB1">
        <v>0</v>
      </c>
      <c r="AC1">
        <v>0</v>
      </c>
      <c r="AD1">
        <v>327.64999999999998</v>
      </c>
      <c r="AE1">
        <v>0</v>
      </c>
      <c r="AF1">
        <v>0</v>
      </c>
      <c r="AG1">
        <v>0</v>
      </c>
      <c r="AH1">
        <v>327.64999999999998</v>
      </c>
      <c r="AI1">
        <v>1</v>
      </c>
      <c r="AJ1">
        <v>1</v>
      </c>
      <c r="AK1">
        <v>1</v>
      </c>
      <c r="AL1">
        <v>1</v>
      </c>
      <c r="AN1">
        <v>0</v>
      </c>
      <c r="AO1">
        <v>1</v>
      </c>
      <c r="AP1">
        <v>0</v>
      </c>
      <c r="AQ1">
        <v>0</v>
      </c>
      <c r="AR1">
        <v>0</v>
      </c>
      <c r="AS1" t="s">
        <v>3</v>
      </c>
      <c r="AT1">
        <v>2.67</v>
      </c>
      <c r="AU1" t="s">
        <v>3</v>
      </c>
      <c r="AV1">
        <v>1</v>
      </c>
      <c r="AW1">
        <v>2</v>
      </c>
      <c r="AX1">
        <v>36168304</v>
      </c>
      <c r="AY1">
        <v>1</v>
      </c>
      <c r="AZ1">
        <v>0</v>
      </c>
      <c r="BA1">
        <v>1</v>
      </c>
      <c r="BB1">
        <v>0</v>
      </c>
      <c r="BC1">
        <v>0</v>
      </c>
      <c r="BD1">
        <v>0</v>
      </c>
      <c r="BE1">
        <v>0</v>
      </c>
      <c r="BF1">
        <v>0</v>
      </c>
      <c r="BG1">
        <v>0</v>
      </c>
      <c r="BH1">
        <v>0</v>
      </c>
      <c r="BI1">
        <v>0</v>
      </c>
      <c r="BJ1">
        <v>0</v>
      </c>
      <c r="BK1">
        <v>0</v>
      </c>
      <c r="BL1">
        <v>0</v>
      </c>
      <c r="BM1">
        <v>0</v>
      </c>
      <c r="BN1">
        <v>0</v>
      </c>
      <c r="BO1">
        <v>0</v>
      </c>
      <c r="BP1">
        <v>0</v>
      </c>
      <c r="BQ1">
        <v>0</v>
      </c>
      <c r="BR1">
        <v>0</v>
      </c>
      <c r="BS1">
        <v>0</v>
      </c>
      <c r="BT1">
        <v>0</v>
      </c>
      <c r="BU1">
        <v>0</v>
      </c>
      <c r="BV1">
        <v>0</v>
      </c>
      <c r="BW1">
        <v>0</v>
      </c>
      <c r="CX1">
        <f>Y1*Source!I28</f>
        <v>34.71</v>
      </c>
      <c r="CY1">
        <f>AD1</f>
        <v>327.64999999999998</v>
      </c>
      <c r="CZ1">
        <f>AH1</f>
        <v>327.64999999999998</v>
      </c>
      <c r="DA1">
        <f>AL1</f>
        <v>1</v>
      </c>
      <c r="DB1">
        <f t="shared" ref="DB1:DB26" si="0">ROUND(ROUND(AT1*CZ1,2),6)</f>
        <v>874.83</v>
      </c>
      <c r="DC1">
        <f t="shared" ref="DC1:DC26" si="1">ROUND(ROUND(AT1*AG1,2),6)</f>
        <v>0</v>
      </c>
    </row>
    <row r="2" spans="1:107">
      <c r="A2">
        <f>ROW(Source!A28)</f>
        <v>28</v>
      </c>
      <c r="B2">
        <v>36168115</v>
      </c>
      <c r="C2">
        <v>36168296</v>
      </c>
      <c r="D2">
        <v>29173472</v>
      </c>
      <c r="E2">
        <v>1</v>
      </c>
      <c r="F2">
        <v>1</v>
      </c>
      <c r="G2">
        <v>1</v>
      </c>
      <c r="H2">
        <v>2</v>
      </c>
      <c r="I2" t="s">
        <v>210</v>
      </c>
      <c r="J2" t="s">
        <v>211</v>
      </c>
      <c r="K2" t="s">
        <v>212</v>
      </c>
      <c r="L2">
        <v>1368</v>
      </c>
      <c r="N2">
        <v>1011</v>
      </c>
      <c r="O2" t="s">
        <v>213</v>
      </c>
      <c r="P2" t="s">
        <v>213</v>
      </c>
      <c r="Q2">
        <v>1</v>
      </c>
      <c r="W2">
        <v>0</v>
      </c>
      <c r="X2">
        <v>275932499</v>
      </c>
      <c r="Y2">
        <v>0.23</v>
      </c>
      <c r="AA2">
        <v>0</v>
      </c>
      <c r="AB2">
        <v>12.6</v>
      </c>
      <c r="AC2">
        <v>0</v>
      </c>
      <c r="AD2">
        <v>0</v>
      </c>
      <c r="AE2">
        <v>0</v>
      </c>
      <c r="AF2">
        <v>3</v>
      </c>
      <c r="AG2">
        <v>0</v>
      </c>
      <c r="AH2">
        <v>0</v>
      </c>
      <c r="AI2">
        <v>1</v>
      </c>
      <c r="AJ2">
        <v>4.2</v>
      </c>
      <c r="AK2">
        <v>30.29</v>
      </c>
      <c r="AL2">
        <v>1</v>
      </c>
      <c r="AN2">
        <v>0</v>
      </c>
      <c r="AO2">
        <v>1</v>
      </c>
      <c r="AP2">
        <v>0</v>
      </c>
      <c r="AQ2">
        <v>0</v>
      </c>
      <c r="AR2">
        <v>0</v>
      </c>
      <c r="AS2" t="s">
        <v>3</v>
      </c>
      <c r="AT2">
        <v>0.23</v>
      </c>
      <c r="AU2" t="s">
        <v>3</v>
      </c>
      <c r="AV2">
        <v>0</v>
      </c>
      <c r="AW2">
        <v>2</v>
      </c>
      <c r="AX2">
        <v>36168305</v>
      </c>
      <c r="AY2">
        <v>1</v>
      </c>
      <c r="AZ2">
        <v>0</v>
      </c>
      <c r="BA2">
        <v>2</v>
      </c>
      <c r="BB2">
        <v>0</v>
      </c>
      <c r="BC2">
        <v>0</v>
      </c>
      <c r="BD2">
        <v>0</v>
      </c>
      <c r="BE2">
        <v>0</v>
      </c>
      <c r="BF2">
        <v>0</v>
      </c>
      <c r="BG2">
        <v>0</v>
      </c>
      <c r="BH2">
        <v>0</v>
      </c>
      <c r="BI2">
        <v>0</v>
      </c>
      <c r="BJ2">
        <v>0</v>
      </c>
      <c r="BK2">
        <v>0</v>
      </c>
      <c r="BL2">
        <v>0</v>
      </c>
      <c r="BM2">
        <v>0</v>
      </c>
      <c r="BN2">
        <v>0</v>
      </c>
      <c r="BO2">
        <v>0</v>
      </c>
      <c r="BP2">
        <v>0</v>
      </c>
      <c r="BQ2">
        <v>0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CX2">
        <f>Y2*Source!I28</f>
        <v>2.99</v>
      </c>
      <c r="CY2">
        <f>AB2</f>
        <v>12.6</v>
      </c>
      <c r="CZ2">
        <f>AF2</f>
        <v>3</v>
      </c>
      <c r="DA2">
        <f>AJ2</f>
        <v>4.2</v>
      </c>
      <c r="DB2">
        <f t="shared" si="0"/>
        <v>0.69</v>
      </c>
      <c r="DC2">
        <f t="shared" si="1"/>
        <v>0</v>
      </c>
    </row>
    <row r="3" spans="1:107">
      <c r="A3">
        <f>ROW(Source!A28)</f>
        <v>28</v>
      </c>
      <c r="B3">
        <v>36168115</v>
      </c>
      <c r="C3">
        <v>36168296</v>
      </c>
      <c r="D3">
        <v>29174582</v>
      </c>
      <c r="E3">
        <v>1</v>
      </c>
      <c r="F3">
        <v>1</v>
      </c>
      <c r="G3">
        <v>1</v>
      </c>
      <c r="H3">
        <v>2</v>
      </c>
      <c r="I3" t="s">
        <v>214</v>
      </c>
      <c r="J3" t="s">
        <v>215</v>
      </c>
      <c r="K3" t="s">
        <v>216</v>
      </c>
      <c r="L3">
        <v>1368</v>
      </c>
      <c r="N3">
        <v>1011</v>
      </c>
      <c r="O3" t="s">
        <v>213</v>
      </c>
      <c r="P3" t="s">
        <v>213</v>
      </c>
      <c r="Q3">
        <v>1</v>
      </c>
      <c r="W3">
        <v>0</v>
      </c>
      <c r="X3">
        <v>-56196426</v>
      </c>
      <c r="Y3">
        <v>0.11</v>
      </c>
      <c r="AA3">
        <v>0</v>
      </c>
      <c r="AB3">
        <v>32.299999999999997</v>
      </c>
      <c r="AC3">
        <v>0</v>
      </c>
      <c r="AD3">
        <v>0</v>
      </c>
      <c r="AE3">
        <v>0</v>
      </c>
      <c r="AF3">
        <v>26.26</v>
      </c>
      <c r="AG3">
        <v>0</v>
      </c>
      <c r="AH3">
        <v>0</v>
      </c>
      <c r="AI3">
        <v>1</v>
      </c>
      <c r="AJ3">
        <v>1.23</v>
      </c>
      <c r="AK3">
        <v>30.29</v>
      </c>
      <c r="AL3">
        <v>1</v>
      </c>
      <c r="AN3">
        <v>0</v>
      </c>
      <c r="AO3">
        <v>1</v>
      </c>
      <c r="AP3">
        <v>0</v>
      </c>
      <c r="AQ3">
        <v>0</v>
      </c>
      <c r="AR3">
        <v>0</v>
      </c>
      <c r="AS3" t="s">
        <v>3</v>
      </c>
      <c r="AT3">
        <v>0.11</v>
      </c>
      <c r="AU3" t="s">
        <v>3</v>
      </c>
      <c r="AV3">
        <v>0</v>
      </c>
      <c r="AW3">
        <v>2</v>
      </c>
      <c r="AX3">
        <v>36168306</v>
      </c>
      <c r="AY3">
        <v>1</v>
      </c>
      <c r="AZ3">
        <v>0</v>
      </c>
      <c r="BA3">
        <v>3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CX3">
        <f>Y3*Source!I28</f>
        <v>1.43</v>
      </c>
      <c r="CY3">
        <f>AB3</f>
        <v>32.299999999999997</v>
      </c>
      <c r="CZ3">
        <f>AF3</f>
        <v>26.26</v>
      </c>
      <c r="DA3">
        <f>AJ3</f>
        <v>1.23</v>
      </c>
      <c r="DB3">
        <f t="shared" si="0"/>
        <v>2.89</v>
      </c>
      <c r="DC3">
        <f t="shared" si="1"/>
        <v>0</v>
      </c>
    </row>
    <row r="4" spans="1:107">
      <c r="A4">
        <f>ROW(Source!A28)</f>
        <v>28</v>
      </c>
      <c r="B4">
        <v>36168115</v>
      </c>
      <c r="C4">
        <v>36168296</v>
      </c>
      <c r="D4">
        <v>29114472</v>
      </c>
      <c r="E4">
        <v>1</v>
      </c>
      <c r="F4">
        <v>1</v>
      </c>
      <c r="G4">
        <v>1</v>
      </c>
      <c r="H4">
        <v>3</v>
      </c>
      <c r="I4" t="s">
        <v>217</v>
      </c>
      <c r="J4" t="s">
        <v>218</v>
      </c>
      <c r="K4" t="s">
        <v>219</v>
      </c>
      <c r="L4">
        <v>1358</v>
      </c>
      <c r="N4">
        <v>1010</v>
      </c>
      <c r="O4" t="s">
        <v>220</v>
      </c>
      <c r="P4" t="s">
        <v>220</v>
      </c>
      <c r="Q4">
        <v>10</v>
      </c>
      <c r="W4">
        <v>0</v>
      </c>
      <c r="X4">
        <v>2117263208</v>
      </c>
      <c r="Y4">
        <v>0.2</v>
      </c>
      <c r="AA4">
        <v>1.83</v>
      </c>
      <c r="AB4">
        <v>0</v>
      </c>
      <c r="AC4">
        <v>0</v>
      </c>
      <c r="AD4">
        <v>0</v>
      </c>
      <c r="AE4">
        <v>1.79</v>
      </c>
      <c r="AF4">
        <v>0</v>
      </c>
      <c r="AG4">
        <v>0</v>
      </c>
      <c r="AH4">
        <v>0</v>
      </c>
      <c r="AI4">
        <v>1.02</v>
      </c>
      <c r="AJ4">
        <v>1</v>
      </c>
      <c r="AK4">
        <v>1</v>
      </c>
      <c r="AL4">
        <v>1</v>
      </c>
      <c r="AN4">
        <v>0</v>
      </c>
      <c r="AO4">
        <v>1</v>
      </c>
      <c r="AP4">
        <v>0</v>
      </c>
      <c r="AQ4">
        <v>0</v>
      </c>
      <c r="AR4">
        <v>0</v>
      </c>
      <c r="AS4" t="s">
        <v>3</v>
      </c>
      <c r="AT4">
        <v>0.2</v>
      </c>
      <c r="AU4" t="s">
        <v>3</v>
      </c>
      <c r="AV4">
        <v>0</v>
      </c>
      <c r="AW4">
        <v>2</v>
      </c>
      <c r="AX4">
        <v>36168307</v>
      </c>
      <c r="AY4">
        <v>1</v>
      </c>
      <c r="AZ4">
        <v>0</v>
      </c>
      <c r="BA4">
        <v>4</v>
      </c>
      <c r="BB4">
        <v>0</v>
      </c>
      <c r="BC4">
        <v>0</v>
      </c>
      <c r="BD4">
        <v>0</v>
      </c>
      <c r="BE4">
        <v>0</v>
      </c>
      <c r="BF4">
        <v>0</v>
      </c>
      <c r="BG4">
        <v>0</v>
      </c>
      <c r="BH4">
        <v>0</v>
      </c>
      <c r="BI4">
        <v>0</v>
      </c>
      <c r="BJ4">
        <v>0</v>
      </c>
      <c r="BK4">
        <v>0</v>
      </c>
      <c r="BL4">
        <v>0</v>
      </c>
      <c r="BM4">
        <v>0</v>
      </c>
      <c r="BN4">
        <v>0</v>
      </c>
      <c r="BO4">
        <v>0</v>
      </c>
      <c r="BP4">
        <v>0</v>
      </c>
      <c r="BQ4">
        <v>0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CX4">
        <f>Y4*Source!I28</f>
        <v>2.6</v>
      </c>
      <c r="CY4">
        <f>AA4</f>
        <v>1.83</v>
      </c>
      <c r="CZ4">
        <f>AE4</f>
        <v>1.79</v>
      </c>
      <c r="DA4">
        <f>AI4</f>
        <v>1.02</v>
      </c>
      <c r="DB4">
        <f t="shared" si="0"/>
        <v>0.36</v>
      </c>
      <c r="DC4">
        <f t="shared" si="1"/>
        <v>0</v>
      </c>
    </row>
    <row r="5" spans="1:107">
      <c r="A5">
        <f>ROW(Source!A28)</f>
        <v>28</v>
      </c>
      <c r="B5">
        <v>36168115</v>
      </c>
      <c r="C5">
        <v>36168296</v>
      </c>
      <c r="D5">
        <v>29165639</v>
      </c>
      <c r="E5">
        <v>1</v>
      </c>
      <c r="F5">
        <v>1</v>
      </c>
      <c r="G5">
        <v>1</v>
      </c>
      <c r="H5">
        <v>3</v>
      </c>
      <c r="I5" t="s">
        <v>23</v>
      </c>
      <c r="J5" t="s">
        <v>26</v>
      </c>
      <c r="K5" t="s">
        <v>24</v>
      </c>
      <c r="L5">
        <v>1354</v>
      </c>
      <c r="N5">
        <v>1010</v>
      </c>
      <c r="O5" t="s">
        <v>25</v>
      </c>
      <c r="P5" t="s">
        <v>25</v>
      </c>
      <c r="Q5">
        <v>1</v>
      </c>
      <c r="W5">
        <v>1</v>
      </c>
      <c r="X5">
        <v>-1016862483</v>
      </c>
      <c r="Y5">
        <v>1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1</v>
      </c>
      <c r="AJ5">
        <v>1</v>
      </c>
      <c r="AK5">
        <v>1</v>
      </c>
      <c r="AL5">
        <v>1</v>
      </c>
      <c r="AN5">
        <v>0</v>
      </c>
      <c r="AO5">
        <v>0</v>
      </c>
      <c r="AP5">
        <v>0</v>
      </c>
      <c r="AQ5">
        <v>0</v>
      </c>
      <c r="AR5">
        <v>0</v>
      </c>
      <c r="AS5" t="s">
        <v>3</v>
      </c>
      <c r="AT5">
        <v>1</v>
      </c>
      <c r="AU5" t="s">
        <v>3</v>
      </c>
      <c r="AV5">
        <v>0</v>
      </c>
      <c r="AW5">
        <v>1</v>
      </c>
      <c r="AX5">
        <v>-1</v>
      </c>
      <c r="AY5">
        <v>0</v>
      </c>
      <c r="AZ5">
        <v>0</v>
      </c>
      <c r="BA5" t="s">
        <v>3</v>
      </c>
      <c r="BB5">
        <v>0</v>
      </c>
      <c r="BC5">
        <v>0</v>
      </c>
      <c r="BD5">
        <v>0</v>
      </c>
      <c r="BE5">
        <v>0</v>
      </c>
      <c r="BF5">
        <v>0</v>
      </c>
      <c r="BG5">
        <v>0</v>
      </c>
      <c r="BH5">
        <v>0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CX5">
        <f>Y5*Source!I28</f>
        <v>13</v>
      </c>
      <c r="CY5">
        <f>AA5</f>
        <v>0</v>
      </c>
      <c r="CZ5">
        <f>AE5</f>
        <v>0</v>
      </c>
      <c r="DA5">
        <f>AI5</f>
        <v>1</v>
      </c>
      <c r="DB5">
        <f t="shared" si="0"/>
        <v>0</v>
      </c>
      <c r="DC5">
        <f t="shared" si="1"/>
        <v>0</v>
      </c>
    </row>
    <row r="6" spans="1:107">
      <c r="A6">
        <f>ROW(Source!A28)</f>
        <v>28</v>
      </c>
      <c r="B6">
        <v>36168115</v>
      </c>
      <c r="C6">
        <v>36168296</v>
      </c>
      <c r="D6">
        <v>29171808</v>
      </c>
      <c r="E6">
        <v>1</v>
      </c>
      <c r="F6">
        <v>1</v>
      </c>
      <c r="G6">
        <v>1</v>
      </c>
      <c r="H6">
        <v>3</v>
      </c>
      <c r="I6" t="s">
        <v>221</v>
      </c>
      <c r="J6" t="s">
        <v>222</v>
      </c>
      <c r="K6" t="s">
        <v>223</v>
      </c>
      <c r="L6">
        <v>1374</v>
      </c>
      <c r="N6">
        <v>1013</v>
      </c>
      <c r="O6" t="s">
        <v>224</v>
      </c>
      <c r="P6" t="s">
        <v>224</v>
      </c>
      <c r="Q6">
        <v>1</v>
      </c>
      <c r="W6">
        <v>0</v>
      </c>
      <c r="X6">
        <v>-915781824</v>
      </c>
      <c r="Y6">
        <v>0.57999999999999996</v>
      </c>
      <c r="AA6">
        <v>1</v>
      </c>
      <c r="AB6">
        <v>0</v>
      </c>
      <c r="AC6">
        <v>0</v>
      </c>
      <c r="AD6">
        <v>0</v>
      </c>
      <c r="AE6">
        <v>1</v>
      </c>
      <c r="AF6">
        <v>0</v>
      </c>
      <c r="AG6">
        <v>0</v>
      </c>
      <c r="AH6">
        <v>0</v>
      </c>
      <c r="AI6">
        <v>1</v>
      </c>
      <c r="AJ6">
        <v>1</v>
      </c>
      <c r="AK6">
        <v>1</v>
      </c>
      <c r="AL6">
        <v>1</v>
      </c>
      <c r="AN6">
        <v>0</v>
      </c>
      <c r="AO6">
        <v>1</v>
      </c>
      <c r="AP6">
        <v>0</v>
      </c>
      <c r="AQ6">
        <v>0</v>
      </c>
      <c r="AR6">
        <v>0</v>
      </c>
      <c r="AS6" t="s">
        <v>3</v>
      </c>
      <c r="AT6">
        <v>0.57999999999999996</v>
      </c>
      <c r="AU6" t="s">
        <v>3</v>
      </c>
      <c r="AV6">
        <v>0</v>
      </c>
      <c r="AW6">
        <v>2</v>
      </c>
      <c r="AX6">
        <v>36168308</v>
      </c>
      <c r="AY6">
        <v>1</v>
      </c>
      <c r="AZ6">
        <v>0</v>
      </c>
      <c r="BA6">
        <v>5</v>
      </c>
      <c r="BB6">
        <v>0</v>
      </c>
      <c r="BC6">
        <v>0</v>
      </c>
      <c r="BD6">
        <v>0</v>
      </c>
      <c r="BE6">
        <v>0</v>
      </c>
      <c r="BF6">
        <v>0</v>
      </c>
      <c r="BG6">
        <v>0</v>
      </c>
      <c r="BH6">
        <v>0</v>
      </c>
      <c r="BI6">
        <v>0</v>
      </c>
      <c r="BJ6">
        <v>0</v>
      </c>
      <c r="BK6">
        <v>0</v>
      </c>
      <c r="BL6">
        <v>0</v>
      </c>
      <c r="BM6">
        <v>0</v>
      </c>
      <c r="BN6">
        <v>0</v>
      </c>
      <c r="BO6">
        <v>0</v>
      </c>
      <c r="BP6">
        <v>0</v>
      </c>
      <c r="BQ6">
        <v>0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CX6">
        <f>Y6*Source!I28</f>
        <v>7.5399999999999991</v>
      </c>
      <c r="CY6">
        <f>AA6</f>
        <v>1</v>
      </c>
      <c r="CZ6">
        <f>AE6</f>
        <v>1</v>
      </c>
      <c r="DA6">
        <f>AI6</f>
        <v>1</v>
      </c>
      <c r="DB6">
        <f t="shared" si="0"/>
        <v>0.57999999999999996</v>
      </c>
      <c r="DC6">
        <f t="shared" si="1"/>
        <v>0</v>
      </c>
    </row>
    <row r="7" spans="1:107">
      <c r="A7">
        <f>ROW(Source!A28)</f>
        <v>28</v>
      </c>
      <c r="B7">
        <v>36168115</v>
      </c>
      <c r="C7">
        <v>36168296</v>
      </c>
      <c r="D7">
        <v>0</v>
      </c>
      <c r="E7">
        <v>0</v>
      </c>
      <c r="F7">
        <v>1</v>
      </c>
      <c r="G7">
        <v>1</v>
      </c>
      <c r="H7">
        <v>3</v>
      </c>
      <c r="I7" t="s">
        <v>29</v>
      </c>
      <c r="J7" t="s">
        <v>3</v>
      </c>
      <c r="K7" t="s">
        <v>30</v>
      </c>
      <c r="L7">
        <v>20310329</v>
      </c>
      <c r="N7">
        <v>1010</v>
      </c>
      <c r="O7" t="s">
        <v>31</v>
      </c>
      <c r="P7" t="s">
        <v>32</v>
      </c>
      <c r="Q7">
        <v>1</v>
      </c>
      <c r="W7">
        <v>0</v>
      </c>
      <c r="X7">
        <v>-1157942239</v>
      </c>
      <c r="Y7">
        <v>1</v>
      </c>
      <c r="AA7">
        <v>2320</v>
      </c>
      <c r="AB7">
        <v>0</v>
      </c>
      <c r="AC7">
        <v>0</v>
      </c>
      <c r="AD7">
        <v>0</v>
      </c>
      <c r="AE7">
        <v>2320</v>
      </c>
      <c r="AF7">
        <v>0</v>
      </c>
      <c r="AG7">
        <v>0</v>
      </c>
      <c r="AH7">
        <v>0</v>
      </c>
      <c r="AI7">
        <v>1</v>
      </c>
      <c r="AJ7">
        <v>1</v>
      </c>
      <c r="AK7">
        <v>1</v>
      </c>
      <c r="AL7">
        <v>1</v>
      </c>
      <c r="AN7">
        <v>0</v>
      </c>
      <c r="AO7">
        <v>0</v>
      </c>
      <c r="AP7">
        <v>2</v>
      </c>
      <c r="AQ7">
        <v>0</v>
      </c>
      <c r="AR7">
        <v>0</v>
      </c>
      <c r="AS7" t="s">
        <v>3</v>
      </c>
      <c r="AT7">
        <v>1</v>
      </c>
      <c r="AU7" t="s">
        <v>3</v>
      </c>
      <c r="AV7">
        <v>0</v>
      </c>
      <c r="AW7">
        <v>1</v>
      </c>
      <c r="AX7">
        <v>-1</v>
      </c>
      <c r="AY7">
        <v>0</v>
      </c>
      <c r="AZ7">
        <v>0</v>
      </c>
      <c r="BA7" t="s">
        <v>3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CX7">
        <f>Y7*Source!I28</f>
        <v>13</v>
      </c>
      <c r="CY7">
        <f>AA7</f>
        <v>2320</v>
      </c>
      <c r="CZ7">
        <f>AE7</f>
        <v>2320</v>
      </c>
      <c r="DA7">
        <f>AI7</f>
        <v>1</v>
      </c>
      <c r="DB7">
        <f t="shared" si="0"/>
        <v>2320</v>
      </c>
      <c r="DC7">
        <f t="shared" si="1"/>
        <v>0</v>
      </c>
    </row>
    <row r="8" spans="1:107">
      <c r="A8">
        <f>ROW(Source!A31)</f>
        <v>31</v>
      </c>
      <c r="B8">
        <v>36168115</v>
      </c>
      <c r="C8">
        <v>36168311</v>
      </c>
      <c r="D8">
        <v>29370376</v>
      </c>
      <c r="E8">
        <v>1</v>
      </c>
      <c r="F8">
        <v>1</v>
      </c>
      <c r="G8">
        <v>1</v>
      </c>
      <c r="H8">
        <v>1</v>
      </c>
      <c r="I8" t="s">
        <v>225</v>
      </c>
      <c r="J8" t="s">
        <v>3</v>
      </c>
      <c r="K8" t="s">
        <v>226</v>
      </c>
      <c r="L8">
        <v>1369</v>
      </c>
      <c r="N8">
        <v>1013</v>
      </c>
      <c r="O8" t="s">
        <v>209</v>
      </c>
      <c r="P8" t="s">
        <v>209</v>
      </c>
      <c r="Q8">
        <v>1</v>
      </c>
      <c r="W8">
        <v>0</v>
      </c>
      <c r="X8">
        <v>1728564795</v>
      </c>
      <c r="Y8">
        <v>1.2</v>
      </c>
      <c r="AA8">
        <v>0</v>
      </c>
      <c r="AB8">
        <v>0</v>
      </c>
      <c r="AC8">
        <v>0</v>
      </c>
      <c r="AD8">
        <v>305.79000000000002</v>
      </c>
      <c r="AE8">
        <v>0</v>
      </c>
      <c r="AF8">
        <v>0</v>
      </c>
      <c r="AG8">
        <v>0</v>
      </c>
      <c r="AH8">
        <v>305.79000000000002</v>
      </c>
      <c r="AI8">
        <v>1</v>
      </c>
      <c r="AJ8">
        <v>1</v>
      </c>
      <c r="AK8">
        <v>1</v>
      </c>
      <c r="AL8">
        <v>1</v>
      </c>
      <c r="AN8">
        <v>0</v>
      </c>
      <c r="AO8">
        <v>1</v>
      </c>
      <c r="AP8">
        <v>0</v>
      </c>
      <c r="AQ8">
        <v>0</v>
      </c>
      <c r="AR8">
        <v>0</v>
      </c>
      <c r="AS8" t="s">
        <v>3</v>
      </c>
      <c r="AT8">
        <v>1.2</v>
      </c>
      <c r="AU8" t="s">
        <v>3</v>
      </c>
      <c r="AV8">
        <v>1</v>
      </c>
      <c r="AW8">
        <v>2</v>
      </c>
      <c r="AX8">
        <v>36168319</v>
      </c>
      <c r="AY8">
        <v>1</v>
      </c>
      <c r="AZ8">
        <v>0</v>
      </c>
      <c r="BA8">
        <v>6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CX8">
        <f>Y8*Source!I31</f>
        <v>1.2</v>
      </c>
      <c r="CY8">
        <f>AD8</f>
        <v>305.79000000000002</v>
      </c>
      <c r="CZ8">
        <f>AH8</f>
        <v>305.79000000000002</v>
      </c>
      <c r="DA8">
        <f>AL8</f>
        <v>1</v>
      </c>
      <c r="DB8">
        <f t="shared" si="0"/>
        <v>366.95</v>
      </c>
      <c r="DC8">
        <f t="shared" si="1"/>
        <v>0</v>
      </c>
    </row>
    <row r="9" spans="1:107">
      <c r="A9">
        <f>ROW(Source!A31)</f>
        <v>31</v>
      </c>
      <c r="B9">
        <v>36168115</v>
      </c>
      <c r="C9">
        <v>36168311</v>
      </c>
      <c r="D9">
        <v>29174500</v>
      </c>
      <c r="E9">
        <v>1</v>
      </c>
      <c r="F9">
        <v>1</v>
      </c>
      <c r="G9">
        <v>1</v>
      </c>
      <c r="H9">
        <v>2</v>
      </c>
      <c r="I9" t="s">
        <v>227</v>
      </c>
      <c r="J9" t="s">
        <v>228</v>
      </c>
      <c r="K9" t="s">
        <v>229</v>
      </c>
      <c r="L9">
        <v>1368</v>
      </c>
      <c r="N9">
        <v>1011</v>
      </c>
      <c r="O9" t="s">
        <v>213</v>
      </c>
      <c r="P9" t="s">
        <v>213</v>
      </c>
      <c r="Q9">
        <v>1</v>
      </c>
      <c r="W9">
        <v>0</v>
      </c>
      <c r="X9">
        <v>-239831557</v>
      </c>
      <c r="Y9">
        <v>0.13</v>
      </c>
      <c r="AA9">
        <v>0</v>
      </c>
      <c r="AB9">
        <v>7.25</v>
      </c>
      <c r="AC9">
        <v>0</v>
      </c>
      <c r="AD9">
        <v>0</v>
      </c>
      <c r="AE9">
        <v>0</v>
      </c>
      <c r="AF9">
        <v>1.95</v>
      </c>
      <c r="AG9">
        <v>0</v>
      </c>
      <c r="AH9">
        <v>0</v>
      </c>
      <c r="AI9">
        <v>1</v>
      </c>
      <c r="AJ9">
        <v>3.72</v>
      </c>
      <c r="AK9">
        <v>30.29</v>
      </c>
      <c r="AL9">
        <v>1</v>
      </c>
      <c r="AN9">
        <v>0</v>
      </c>
      <c r="AO9">
        <v>1</v>
      </c>
      <c r="AP9">
        <v>0</v>
      </c>
      <c r="AQ9">
        <v>0</v>
      </c>
      <c r="AR9">
        <v>0</v>
      </c>
      <c r="AS9" t="s">
        <v>3</v>
      </c>
      <c r="AT9">
        <v>0.13</v>
      </c>
      <c r="AU9" t="s">
        <v>3</v>
      </c>
      <c r="AV9">
        <v>0</v>
      </c>
      <c r="AW9">
        <v>2</v>
      </c>
      <c r="AX9">
        <v>36168320</v>
      </c>
      <c r="AY9">
        <v>1</v>
      </c>
      <c r="AZ9">
        <v>0</v>
      </c>
      <c r="BA9">
        <v>7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CX9">
        <f>Y9*Source!I31</f>
        <v>0.13</v>
      </c>
      <c r="CY9">
        <f>AB9</f>
        <v>7.25</v>
      </c>
      <c r="CZ9">
        <f>AF9</f>
        <v>1.95</v>
      </c>
      <c r="DA9">
        <f>AJ9</f>
        <v>3.72</v>
      </c>
      <c r="DB9">
        <f t="shared" si="0"/>
        <v>0.25</v>
      </c>
      <c r="DC9">
        <f t="shared" si="1"/>
        <v>0</v>
      </c>
    </row>
    <row r="10" spans="1:107">
      <c r="A10">
        <f>ROW(Source!A31)</f>
        <v>31</v>
      </c>
      <c r="B10">
        <v>36168115</v>
      </c>
      <c r="C10">
        <v>36168311</v>
      </c>
      <c r="D10">
        <v>29107468</v>
      </c>
      <c r="E10">
        <v>1</v>
      </c>
      <c r="F10">
        <v>1</v>
      </c>
      <c r="G10">
        <v>1</v>
      </c>
      <c r="H10">
        <v>3</v>
      </c>
      <c r="I10" t="s">
        <v>230</v>
      </c>
      <c r="J10" t="s">
        <v>231</v>
      </c>
      <c r="K10" t="s">
        <v>232</v>
      </c>
      <c r="L10">
        <v>1346</v>
      </c>
      <c r="N10">
        <v>1009</v>
      </c>
      <c r="O10" t="s">
        <v>233</v>
      </c>
      <c r="P10" t="s">
        <v>233</v>
      </c>
      <c r="Q10">
        <v>1</v>
      </c>
      <c r="W10">
        <v>0</v>
      </c>
      <c r="X10">
        <v>1784212875</v>
      </c>
      <c r="Y10">
        <v>1E-3</v>
      </c>
      <c r="AA10">
        <v>204.57</v>
      </c>
      <c r="AB10">
        <v>0</v>
      </c>
      <c r="AC10">
        <v>0</v>
      </c>
      <c r="AD10">
        <v>0</v>
      </c>
      <c r="AE10">
        <v>12.62</v>
      </c>
      <c r="AF10">
        <v>0</v>
      </c>
      <c r="AG10">
        <v>0</v>
      </c>
      <c r="AH10">
        <v>0</v>
      </c>
      <c r="AI10">
        <v>16.21</v>
      </c>
      <c r="AJ10">
        <v>1</v>
      </c>
      <c r="AK10">
        <v>1</v>
      </c>
      <c r="AL10">
        <v>1</v>
      </c>
      <c r="AN10">
        <v>0</v>
      </c>
      <c r="AO10">
        <v>1</v>
      </c>
      <c r="AP10">
        <v>0</v>
      </c>
      <c r="AQ10">
        <v>0</v>
      </c>
      <c r="AR10">
        <v>0</v>
      </c>
      <c r="AS10" t="s">
        <v>3</v>
      </c>
      <c r="AT10">
        <v>1E-3</v>
      </c>
      <c r="AU10" t="s">
        <v>3</v>
      </c>
      <c r="AV10">
        <v>0</v>
      </c>
      <c r="AW10">
        <v>2</v>
      </c>
      <c r="AX10">
        <v>36168321</v>
      </c>
      <c r="AY10">
        <v>1</v>
      </c>
      <c r="AZ10">
        <v>0</v>
      </c>
      <c r="BA10">
        <v>8</v>
      </c>
      <c r="BB10">
        <v>0</v>
      </c>
      <c r="BC10">
        <v>0</v>
      </c>
      <c r="BD10">
        <v>0</v>
      </c>
      <c r="BE10">
        <v>0</v>
      </c>
      <c r="BF10">
        <v>0</v>
      </c>
      <c r="BG10">
        <v>0</v>
      </c>
      <c r="BH10">
        <v>0</v>
      </c>
      <c r="BI10">
        <v>0</v>
      </c>
      <c r="BJ10">
        <v>0</v>
      </c>
      <c r="BK10">
        <v>0</v>
      </c>
      <c r="BL10">
        <v>0</v>
      </c>
      <c r="BM10">
        <v>0</v>
      </c>
      <c r="BN10">
        <v>0</v>
      </c>
      <c r="BO10">
        <v>0</v>
      </c>
      <c r="BP10">
        <v>0</v>
      </c>
      <c r="BQ10">
        <v>0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CX10">
        <f>Y10*Source!I31</f>
        <v>1E-3</v>
      </c>
      <c r="CY10">
        <f>AA10</f>
        <v>204.57</v>
      </c>
      <c r="CZ10">
        <f>AE10</f>
        <v>12.62</v>
      </c>
      <c r="DA10">
        <f>AI10</f>
        <v>16.21</v>
      </c>
      <c r="DB10">
        <f t="shared" si="0"/>
        <v>0.01</v>
      </c>
      <c r="DC10">
        <f t="shared" si="1"/>
        <v>0</v>
      </c>
    </row>
    <row r="11" spans="1:107">
      <c r="A11">
        <f>ROW(Source!A31)</f>
        <v>31</v>
      </c>
      <c r="B11">
        <v>36168115</v>
      </c>
      <c r="C11">
        <v>36168311</v>
      </c>
      <c r="D11">
        <v>29114480</v>
      </c>
      <c r="E11">
        <v>1</v>
      </c>
      <c r="F11">
        <v>1</v>
      </c>
      <c r="G11">
        <v>1</v>
      </c>
      <c r="H11">
        <v>3</v>
      </c>
      <c r="I11" t="s">
        <v>234</v>
      </c>
      <c r="J11" t="s">
        <v>235</v>
      </c>
      <c r="K11" t="s">
        <v>236</v>
      </c>
      <c r="L11">
        <v>1358</v>
      </c>
      <c r="N11">
        <v>1010</v>
      </c>
      <c r="O11" t="s">
        <v>220</v>
      </c>
      <c r="P11" t="s">
        <v>220</v>
      </c>
      <c r="Q11">
        <v>10</v>
      </c>
      <c r="W11">
        <v>0</v>
      </c>
      <c r="X11">
        <v>-1291205266</v>
      </c>
      <c r="Y11">
        <v>0.3</v>
      </c>
      <c r="AA11">
        <v>28.72</v>
      </c>
      <c r="AB11">
        <v>0</v>
      </c>
      <c r="AC11">
        <v>0</v>
      </c>
      <c r="AD11">
        <v>0</v>
      </c>
      <c r="AE11">
        <v>8.3000000000000007</v>
      </c>
      <c r="AF11">
        <v>0</v>
      </c>
      <c r="AG11">
        <v>0</v>
      </c>
      <c r="AH11">
        <v>0</v>
      </c>
      <c r="AI11">
        <v>3.46</v>
      </c>
      <c r="AJ11">
        <v>1</v>
      </c>
      <c r="AK11">
        <v>1</v>
      </c>
      <c r="AL11">
        <v>1</v>
      </c>
      <c r="AN11">
        <v>0</v>
      </c>
      <c r="AO11">
        <v>1</v>
      </c>
      <c r="AP11">
        <v>0</v>
      </c>
      <c r="AQ11">
        <v>0</v>
      </c>
      <c r="AR11">
        <v>0</v>
      </c>
      <c r="AS11" t="s">
        <v>3</v>
      </c>
      <c r="AT11">
        <v>0.3</v>
      </c>
      <c r="AU11" t="s">
        <v>3</v>
      </c>
      <c r="AV11">
        <v>0</v>
      </c>
      <c r="AW11">
        <v>2</v>
      </c>
      <c r="AX11">
        <v>36168322</v>
      </c>
      <c r="AY11">
        <v>1</v>
      </c>
      <c r="AZ11">
        <v>0</v>
      </c>
      <c r="BA11">
        <v>9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CX11">
        <f>Y11*Source!I31</f>
        <v>0.3</v>
      </c>
      <c r="CY11">
        <f>AA11</f>
        <v>28.72</v>
      </c>
      <c r="CZ11">
        <f>AE11</f>
        <v>8.3000000000000007</v>
      </c>
      <c r="DA11">
        <f>AI11</f>
        <v>3.46</v>
      </c>
      <c r="DB11">
        <f t="shared" si="0"/>
        <v>2.4900000000000002</v>
      </c>
      <c r="DC11">
        <f t="shared" si="1"/>
        <v>0</v>
      </c>
    </row>
    <row r="12" spans="1:107">
      <c r="A12">
        <f>ROW(Source!A31)</f>
        <v>31</v>
      </c>
      <c r="B12">
        <v>36168115</v>
      </c>
      <c r="C12">
        <v>36168311</v>
      </c>
      <c r="D12">
        <v>29149204</v>
      </c>
      <c r="E12">
        <v>1</v>
      </c>
      <c r="F12">
        <v>1</v>
      </c>
      <c r="G12">
        <v>1</v>
      </c>
      <c r="H12">
        <v>3</v>
      </c>
      <c r="I12" t="s">
        <v>237</v>
      </c>
      <c r="J12" t="s">
        <v>238</v>
      </c>
      <c r="K12" t="s">
        <v>239</v>
      </c>
      <c r="L12">
        <v>1348</v>
      </c>
      <c r="N12">
        <v>1009</v>
      </c>
      <c r="O12" t="s">
        <v>240</v>
      </c>
      <c r="P12" t="s">
        <v>240</v>
      </c>
      <c r="Q12">
        <v>1000</v>
      </c>
      <c r="W12">
        <v>0</v>
      </c>
      <c r="X12">
        <v>-1132764130</v>
      </c>
      <c r="Y12">
        <v>2.0000000000000002E-5</v>
      </c>
      <c r="AA12">
        <v>4956.5600000000004</v>
      </c>
      <c r="AB12">
        <v>0</v>
      </c>
      <c r="AC12">
        <v>0</v>
      </c>
      <c r="AD12">
        <v>0</v>
      </c>
      <c r="AE12">
        <v>729.98</v>
      </c>
      <c r="AF12">
        <v>0</v>
      </c>
      <c r="AG12">
        <v>0</v>
      </c>
      <c r="AH12">
        <v>0</v>
      </c>
      <c r="AI12">
        <v>6.79</v>
      </c>
      <c r="AJ12">
        <v>1</v>
      </c>
      <c r="AK12">
        <v>1</v>
      </c>
      <c r="AL12">
        <v>1</v>
      </c>
      <c r="AN12">
        <v>0</v>
      </c>
      <c r="AO12">
        <v>1</v>
      </c>
      <c r="AP12">
        <v>0</v>
      </c>
      <c r="AQ12">
        <v>0</v>
      </c>
      <c r="AR12">
        <v>0</v>
      </c>
      <c r="AS12" t="s">
        <v>3</v>
      </c>
      <c r="AT12">
        <v>2.0000000000000002E-5</v>
      </c>
      <c r="AU12" t="s">
        <v>3</v>
      </c>
      <c r="AV12">
        <v>0</v>
      </c>
      <c r="AW12">
        <v>2</v>
      </c>
      <c r="AX12">
        <v>36168323</v>
      </c>
      <c r="AY12">
        <v>1</v>
      </c>
      <c r="AZ12">
        <v>0</v>
      </c>
      <c r="BA12">
        <v>10</v>
      </c>
      <c r="BB12">
        <v>0</v>
      </c>
      <c r="BC12">
        <v>0</v>
      </c>
      <c r="BD12">
        <v>0</v>
      </c>
      <c r="BE12">
        <v>0</v>
      </c>
      <c r="BF12">
        <v>0</v>
      </c>
      <c r="BG12">
        <v>0</v>
      </c>
      <c r="BH12">
        <v>0</v>
      </c>
      <c r="BI12">
        <v>0</v>
      </c>
      <c r="BJ12">
        <v>0</v>
      </c>
      <c r="BK12">
        <v>0</v>
      </c>
      <c r="BL12">
        <v>0</v>
      </c>
      <c r="BM12">
        <v>0</v>
      </c>
      <c r="BN12">
        <v>0</v>
      </c>
      <c r="BO12">
        <v>0</v>
      </c>
      <c r="BP12">
        <v>0</v>
      </c>
      <c r="BQ12">
        <v>0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CX12">
        <f>Y12*Source!I31</f>
        <v>2.0000000000000002E-5</v>
      </c>
      <c r="CY12">
        <f>AA12</f>
        <v>4956.5600000000004</v>
      </c>
      <c r="CZ12">
        <f>AE12</f>
        <v>729.98</v>
      </c>
      <c r="DA12">
        <f>AI12</f>
        <v>6.79</v>
      </c>
      <c r="DB12">
        <f t="shared" si="0"/>
        <v>0.01</v>
      </c>
      <c r="DC12">
        <f t="shared" si="1"/>
        <v>0</v>
      </c>
    </row>
    <row r="13" spans="1:107">
      <c r="A13">
        <f>ROW(Source!A31)</f>
        <v>31</v>
      </c>
      <c r="B13">
        <v>36168115</v>
      </c>
      <c r="C13">
        <v>36168311</v>
      </c>
      <c r="D13">
        <v>29158010</v>
      </c>
      <c r="E13">
        <v>1</v>
      </c>
      <c r="F13">
        <v>1</v>
      </c>
      <c r="G13">
        <v>1</v>
      </c>
      <c r="H13">
        <v>3</v>
      </c>
      <c r="I13" t="s">
        <v>241</v>
      </c>
      <c r="J13" t="s">
        <v>242</v>
      </c>
      <c r="K13" t="s">
        <v>243</v>
      </c>
      <c r="L13">
        <v>1346</v>
      </c>
      <c r="N13">
        <v>1009</v>
      </c>
      <c r="O13" t="s">
        <v>233</v>
      </c>
      <c r="P13" t="s">
        <v>233</v>
      </c>
      <c r="Q13">
        <v>1</v>
      </c>
      <c r="W13">
        <v>0</v>
      </c>
      <c r="X13">
        <v>567682832</v>
      </c>
      <c r="Y13">
        <v>8.0000000000000002E-3</v>
      </c>
      <c r="AA13">
        <v>621.05999999999995</v>
      </c>
      <c r="AB13">
        <v>0</v>
      </c>
      <c r="AC13">
        <v>0</v>
      </c>
      <c r="AD13">
        <v>0</v>
      </c>
      <c r="AE13">
        <v>65.930000000000007</v>
      </c>
      <c r="AF13">
        <v>0</v>
      </c>
      <c r="AG13">
        <v>0</v>
      </c>
      <c r="AH13">
        <v>0</v>
      </c>
      <c r="AI13">
        <v>9.42</v>
      </c>
      <c r="AJ13">
        <v>1</v>
      </c>
      <c r="AK13">
        <v>1</v>
      </c>
      <c r="AL13">
        <v>1</v>
      </c>
      <c r="AN13">
        <v>0</v>
      </c>
      <c r="AO13">
        <v>1</v>
      </c>
      <c r="AP13">
        <v>0</v>
      </c>
      <c r="AQ13">
        <v>0</v>
      </c>
      <c r="AR13">
        <v>0</v>
      </c>
      <c r="AS13" t="s">
        <v>3</v>
      </c>
      <c r="AT13">
        <v>8.0000000000000002E-3</v>
      </c>
      <c r="AU13" t="s">
        <v>3</v>
      </c>
      <c r="AV13">
        <v>0</v>
      </c>
      <c r="AW13">
        <v>2</v>
      </c>
      <c r="AX13">
        <v>36168324</v>
      </c>
      <c r="AY13">
        <v>1</v>
      </c>
      <c r="AZ13">
        <v>0</v>
      </c>
      <c r="BA13">
        <v>11</v>
      </c>
      <c r="BB13">
        <v>0</v>
      </c>
      <c r="BC13">
        <v>0</v>
      </c>
      <c r="BD13">
        <v>0</v>
      </c>
      <c r="BE13">
        <v>0</v>
      </c>
      <c r="BF13">
        <v>0</v>
      </c>
      <c r="BG13">
        <v>0</v>
      </c>
      <c r="BH13">
        <v>0</v>
      </c>
      <c r="BI13">
        <v>0</v>
      </c>
      <c r="BJ13">
        <v>0</v>
      </c>
      <c r="BK13">
        <v>0</v>
      </c>
      <c r="BL13">
        <v>0</v>
      </c>
      <c r="BM13">
        <v>0</v>
      </c>
      <c r="BN13">
        <v>0</v>
      </c>
      <c r="BO13">
        <v>0</v>
      </c>
      <c r="BP13">
        <v>0</v>
      </c>
      <c r="BQ13">
        <v>0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CX13">
        <f>Y13*Source!I31</f>
        <v>8.0000000000000002E-3</v>
      </c>
      <c r="CY13">
        <f>AA13</f>
        <v>621.05999999999995</v>
      </c>
      <c r="CZ13">
        <f>AE13</f>
        <v>65.930000000000007</v>
      </c>
      <c r="DA13">
        <f>AI13</f>
        <v>9.42</v>
      </c>
      <c r="DB13">
        <f t="shared" si="0"/>
        <v>0.53</v>
      </c>
      <c r="DC13">
        <f t="shared" si="1"/>
        <v>0</v>
      </c>
    </row>
    <row r="14" spans="1:107">
      <c r="A14">
        <f>ROW(Source!A31)</f>
        <v>31</v>
      </c>
      <c r="B14">
        <v>36168115</v>
      </c>
      <c r="C14">
        <v>36168311</v>
      </c>
      <c r="D14">
        <v>29171808</v>
      </c>
      <c r="E14">
        <v>1</v>
      </c>
      <c r="F14">
        <v>1</v>
      </c>
      <c r="G14">
        <v>1</v>
      </c>
      <c r="H14">
        <v>3</v>
      </c>
      <c r="I14" t="s">
        <v>221</v>
      </c>
      <c r="J14" t="s">
        <v>222</v>
      </c>
      <c r="K14" t="s">
        <v>223</v>
      </c>
      <c r="L14">
        <v>1374</v>
      </c>
      <c r="N14">
        <v>1013</v>
      </c>
      <c r="O14" t="s">
        <v>224</v>
      </c>
      <c r="P14" t="s">
        <v>224</v>
      </c>
      <c r="Q14">
        <v>1</v>
      </c>
      <c r="W14">
        <v>0</v>
      </c>
      <c r="X14">
        <v>-915781824</v>
      </c>
      <c r="Y14">
        <v>0.25</v>
      </c>
      <c r="AA14">
        <v>1</v>
      </c>
      <c r="AB14">
        <v>0</v>
      </c>
      <c r="AC14">
        <v>0</v>
      </c>
      <c r="AD14">
        <v>0</v>
      </c>
      <c r="AE14">
        <v>1</v>
      </c>
      <c r="AF14">
        <v>0</v>
      </c>
      <c r="AG14">
        <v>0</v>
      </c>
      <c r="AH14">
        <v>0</v>
      </c>
      <c r="AI14">
        <v>1</v>
      </c>
      <c r="AJ14">
        <v>1</v>
      </c>
      <c r="AK14">
        <v>1</v>
      </c>
      <c r="AL14">
        <v>1</v>
      </c>
      <c r="AN14">
        <v>0</v>
      </c>
      <c r="AO14">
        <v>1</v>
      </c>
      <c r="AP14">
        <v>0</v>
      </c>
      <c r="AQ14">
        <v>0</v>
      </c>
      <c r="AR14">
        <v>0</v>
      </c>
      <c r="AS14" t="s">
        <v>3</v>
      </c>
      <c r="AT14">
        <v>0.25</v>
      </c>
      <c r="AU14" t="s">
        <v>3</v>
      </c>
      <c r="AV14">
        <v>0</v>
      </c>
      <c r="AW14">
        <v>2</v>
      </c>
      <c r="AX14">
        <v>36168325</v>
      </c>
      <c r="AY14">
        <v>1</v>
      </c>
      <c r="AZ14">
        <v>0</v>
      </c>
      <c r="BA14">
        <v>12</v>
      </c>
      <c r="BB14">
        <v>0</v>
      </c>
      <c r="BC14">
        <v>0</v>
      </c>
      <c r="BD14">
        <v>0</v>
      </c>
      <c r="BE14">
        <v>0</v>
      </c>
      <c r="BF14">
        <v>0</v>
      </c>
      <c r="BG14">
        <v>0</v>
      </c>
      <c r="BH14">
        <v>0</v>
      </c>
      <c r="BI14">
        <v>0</v>
      </c>
      <c r="BJ14">
        <v>0</v>
      </c>
      <c r="BK14">
        <v>0</v>
      </c>
      <c r="BL14">
        <v>0</v>
      </c>
      <c r="BM14">
        <v>0</v>
      </c>
      <c r="BN14">
        <v>0</v>
      </c>
      <c r="BO14">
        <v>0</v>
      </c>
      <c r="BP14">
        <v>0</v>
      </c>
      <c r="BQ14">
        <v>0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CX14">
        <f>Y14*Source!I31</f>
        <v>0.25</v>
      </c>
      <c r="CY14">
        <f>AA14</f>
        <v>1</v>
      </c>
      <c r="CZ14">
        <f>AE14</f>
        <v>1</v>
      </c>
      <c r="DA14">
        <f>AI14</f>
        <v>1</v>
      </c>
      <c r="DB14">
        <f t="shared" si="0"/>
        <v>0.25</v>
      </c>
      <c r="DC14">
        <f t="shared" si="1"/>
        <v>0</v>
      </c>
    </row>
    <row r="15" spans="1:107">
      <c r="A15">
        <f>ROW(Source!A35)</f>
        <v>35</v>
      </c>
      <c r="B15">
        <v>36168115</v>
      </c>
      <c r="C15">
        <v>36168328</v>
      </c>
      <c r="D15">
        <v>29361034</v>
      </c>
      <c r="E15">
        <v>1</v>
      </c>
      <c r="F15">
        <v>1</v>
      </c>
      <c r="G15">
        <v>1</v>
      </c>
      <c r="H15">
        <v>1</v>
      </c>
      <c r="I15" t="s">
        <v>244</v>
      </c>
      <c r="J15" t="s">
        <v>3</v>
      </c>
      <c r="K15" t="s">
        <v>245</v>
      </c>
      <c r="L15">
        <v>1369</v>
      </c>
      <c r="N15">
        <v>1013</v>
      </c>
      <c r="O15" t="s">
        <v>209</v>
      </c>
      <c r="P15" t="s">
        <v>209</v>
      </c>
      <c r="Q15">
        <v>1</v>
      </c>
      <c r="W15">
        <v>0</v>
      </c>
      <c r="X15">
        <v>184923391</v>
      </c>
      <c r="Y15">
        <v>16.16</v>
      </c>
      <c r="AA15">
        <v>0</v>
      </c>
      <c r="AB15">
        <v>0</v>
      </c>
      <c r="AC15">
        <v>0</v>
      </c>
      <c r="AD15">
        <v>281.52999999999997</v>
      </c>
      <c r="AE15">
        <v>0</v>
      </c>
      <c r="AF15">
        <v>0</v>
      </c>
      <c r="AG15">
        <v>0</v>
      </c>
      <c r="AH15">
        <v>281.52999999999997</v>
      </c>
      <c r="AI15">
        <v>1</v>
      </c>
      <c r="AJ15">
        <v>1</v>
      </c>
      <c r="AK15">
        <v>1</v>
      </c>
      <c r="AL15">
        <v>1</v>
      </c>
      <c r="AN15">
        <v>0</v>
      </c>
      <c r="AO15">
        <v>1</v>
      </c>
      <c r="AP15">
        <v>0</v>
      </c>
      <c r="AQ15">
        <v>0</v>
      </c>
      <c r="AR15">
        <v>0</v>
      </c>
      <c r="AS15" t="s">
        <v>3</v>
      </c>
      <c r="AT15">
        <v>16.16</v>
      </c>
      <c r="AU15" t="s">
        <v>3</v>
      </c>
      <c r="AV15">
        <v>1</v>
      </c>
      <c r="AW15">
        <v>2</v>
      </c>
      <c r="AX15">
        <v>36168341</v>
      </c>
      <c r="AY15">
        <v>1</v>
      </c>
      <c r="AZ15">
        <v>0</v>
      </c>
      <c r="BA15">
        <v>13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CX15">
        <f>Y15*Source!I35</f>
        <v>64.64</v>
      </c>
      <c r="CY15">
        <f>AD15</f>
        <v>281.52999999999997</v>
      </c>
      <c r="CZ15">
        <f>AH15</f>
        <v>281.52999999999997</v>
      </c>
      <c r="DA15">
        <f>AL15</f>
        <v>1</v>
      </c>
      <c r="DB15">
        <f t="shared" si="0"/>
        <v>4549.5200000000004</v>
      </c>
      <c r="DC15">
        <f t="shared" si="1"/>
        <v>0</v>
      </c>
    </row>
    <row r="16" spans="1:107">
      <c r="A16">
        <f>ROW(Source!A35)</f>
        <v>35</v>
      </c>
      <c r="B16">
        <v>36168115</v>
      </c>
      <c r="C16">
        <v>36168328</v>
      </c>
      <c r="D16">
        <v>121548</v>
      </c>
      <c r="E16">
        <v>1</v>
      </c>
      <c r="F16">
        <v>1</v>
      </c>
      <c r="G16">
        <v>1</v>
      </c>
      <c r="H16">
        <v>1</v>
      </c>
      <c r="I16" t="s">
        <v>246</v>
      </c>
      <c r="J16" t="s">
        <v>3</v>
      </c>
      <c r="K16" t="s">
        <v>247</v>
      </c>
      <c r="L16">
        <v>608254</v>
      </c>
      <c r="N16">
        <v>1013</v>
      </c>
      <c r="O16" t="s">
        <v>248</v>
      </c>
      <c r="P16" t="s">
        <v>248</v>
      </c>
      <c r="Q16">
        <v>1</v>
      </c>
      <c r="W16">
        <v>0</v>
      </c>
      <c r="X16">
        <v>-185737400</v>
      </c>
      <c r="Y16">
        <v>0.18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1</v>
      </c>
      <c r="AJ16">
        <v>1</v>
      </c>
      <c r="AK16">
        <v>1</v>
      </c>
      <c r="AL16">
        <v>1</v>
      </c>
      <c r="AN16">
        <v>0</v>
      </c>
      <c r="AO16">
        <v>1</v>
      </c>
      <c r="AP16">
        <v>0</v>
      </c>
      <c r="AQ16">
        <v>0</v>
      </c>
      <c r="AR16">
        <v>0</v>
      </c>
      <c r="AS16" t="s">
        <v>3</v>
      </c>
      <c r="AT16">
        <v>0.18</v>
      </c>
      <c r="AU16" t="s">
        <v>3</v>
      </c>
      <c r="AV16">
        <v>2</v>
      </c>
      <c r="AW16">
        <v>2</v>
      </c>
      <c r="AX16">
        <v>36168342</v>
      </c>
      <c r="AY16">
        <v>1</v>
      </c>
      <c r="AZ16">
        <v>0</v>
      </c>
      <c r="BA16">
        <v>14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CX16">
        <f>Y16*Source!I35</f>
        <v>0.72</v>
      </c>
      <c r="CY16">
        <f>AD16</f>
        <v>0</v>
      </c>
      <c r="CZ16">
        <f>AH16</f>
        <v>0</v>
      </c>
      <c r="DA16">
        <f>AL16</f>
        <v>1</v>
      </c>
      <c r="DB16">
        <f t="shared" si="0"/>
        <v>0</v>
      </c>
      <c r="DC16">
        <f t="shared" si="1"/>
        <v>0</v>
      </c>
    </row>
    <row r="17" spans="1:107">
      <c r="A17">
        <f>ROW(Source!A35)</f>
        <v>35</v>
      </c>
      <c r="B17">
        <v>36168115</v>
      </c>
      <c r="C17">
        <v>36168328</v>
      </c>
      <c r="D17">
        <v>29172362</v>
      </c>
      <c r="E17">
        <v>1</v>
      </c>
      <c r="F17">
        <v>1</v>
      </c>
      <c r="G17">
        <v>1</v>
      </c>
      <c r="H17">
        <v>2</v>
      </c>
      <c r="I17" t="s">
        <v>249</v>
      </c>
      <c r="J17" t="s">
        <v>250</v>
      </c>
      <c r="K17" t="s">
        <v>251</v>
      </c>
      <c r="L17">
        <v>1368</v>
      </c>
      <c r="N17">
        <v>1011</v>
      </c>
      <c r="O17" t="s">
        <v>213</v>
      </c>
      <c r="P17" t="s">
        <v>213</v>
      </c>
      <c r="Q17">
        <v>1</v>
      </c>
      <c r="W17">
        <v>0</v>
      </c>
      <c r="X17">
        <v>2071614860</v>
      </c>
      <c r="Y17">
        <v>0.18</v>
      </c>
      <c r="AA17">
        <v>0</v>
      </c>
      <c r="AB17">
        <v>1058.3499999999999</v>
      </c>
      <c r="AC17">
        <v>408.92</v>
      </c>
      <c r="AD17">
        <v>0</v>
      </c>
      <c r="AE17">
        <v>0</v>
      </c>
      <c r="AF17">
        <v>134.65</v>
      </c>
      <c r="AG17">
        <v>13.5</v>
      </c>
      <c r="AH17">
        <v>0</v>
      </c>
      <c r="AI17">
        <v>1</v>
      </c>
      <c r="AJ17">
        <v>7.86</v>
      </c>
      <c r="AK17">
        <v>30.29</v>
      </c>
      <c r="AL17">
        <v>1</v>
      </c>
      <c r="AN17">
        <v>0</v>
      </c>
      <c r="AO17">
        <v>1</v>
      </c>
      <c r="AP17">
        <v>0</v>
      </c>
      <c r="AQ17">
        <v>0</v>
      </c>
      <c r="AR17">
        <v>0</v>
      </c>
      <c r="AS17" t="s">
        <v>3</v>
      </c>
      <c r="AT17">
        <v>0.18</v>
      </c>
      <c r="AU17" t="s">
        <v>3</v>
      </c>
      <c r="AV17">
        <v>0</v>
      </c>
      <c r="AW17">
        <v>2</v>
      </c>
      <c r="AX17">
        <v>36168343</v>
      </c>
      <c r="AY17">
        <v>1</v>
      </c>
      <c r="AZ17">
        <v>0</v>
      </c>
      <c r="BA17">
        <v>15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CX17">
        <f>Y17*Source!I35</f>
        <v>0.72</v>
      </c>
      <c r="CY17">
        <f>AB17</f>
        <v>1058.3499999999999</v>
      </c>
      <c r="CZ17">
        <f>AF17</f>
        <v>134.65</v>
      </c>
      <c r="DA17">
        <f>AJ17</f>
        <v>7.86</v>
      </c>
      <c r="DB17">
        <f t="shared" si="0"/>
        <v>24.24</v>
      </c>
      <c r="DC17">
        <f t="shared" si="1"/>
        <v>2.4300000000000002</v>
      </c>
    </row>
    <row r="18" spans="1:107">
      <c r="A18">
        <f>ROW(Source!A35)</f>
        <v>35</v>
      </c>
      <c r="B18">
        <v>36168115</v>
      </c>
      <c r="C18">
        <v>36168328</v>
      </c>
      <c r="D18">
        <v>29174913</v>
      </c>
      <c r="E18">
        <v>1</v>
      </c>
      <c r="F18">
        <v>1</v>
      </c>
      <c r="G18">
        <v>1</v>
      </c>
      <c r="H18">
        <v>2</v>
      </c>
      <c r="I18" t="s">
        <v>252</v>
      </c>
      <c r="J18" t="s">
        <v>253</v>
      </c>
      <c r="K18" t="s">
        <v>254</v>
      </c>
      <c r="L18">
        <v>1368</v>
      </c>
      <c r="N18">
        <v>1011</v>
      </c>
      <c r="O18" t="s">
        <v>213</v>
      </c>
      <c r="P18" t="s">
        <v>213</v>
      </c>
      <c r="Q18">
        <v>1</v>
      </c>
      <c r="W18">
        <v>0</v>
      </c>
      <c r="X18">
        <v>458544584</v>
      </c>
      <c r="Y18">
        <v>0.18</v>
      </c>
      <c r="AA18">
        <v>0</v>
      </c>
      <c r="AB18">
        <v>887.39</v>
      </c>
      <c r="AC18">
        <v>351.36</v>
      </c>
      <c r="AD18">
        <v>0</v>
      </c>
      <c r="AE18">
        <v>0</v>
      </c>
      <c r="AF18">
        <v>87.17</v>
      </c>
      <c r="AG18">
        <v>11.6</v>
      </c>
      <c r="AH18">
        <v>0</v>
      </c>
      <c r="AI18">
        <v>1</v>
      </c>
      <c r="AJ18">
        <v>10.18</v>
      </c>
      <c r="AK18">
        <v>30.29</v>
      </c>
      <c r="AL18">
        <v>1</v>
      </c>
      <c r="AN18">
        <v>0</v>
      </c>
      <c r="AO18">
        <v>1</v>
      </c>
      <c r="AP18">
        <v>0</v>
      </c>
      <c r="AQ18">
        <v>0</v>
      </c>
      <c r="AR18">
        <v>0</v>
      </c>
      <c r="AS18" t="s">
        <v>3</v>
      </c>
      <c r="AT18">
        <v>0.18</v>
      </c>
      <c r="AU18" t="s">
        <v>3</v>
      </c>
      <c r="AV18">
        <v>0</v>
      </c>
      <c r="AW18">
        <v>2</v>
      </c>
      <c r="AX18">
        <v>36168344</v>
      </c>
      <c r="AY18">
        <v>1</v>
      </c>
      <c r="AZ18">
        <v>0</v>
      </c>
      <c r="BA18">
        <v>16</v>
      </c>
      <c r="BB18">
        <v>0</v>
      </c>
      <c r="BC18">
        <v>0</v>
      </c>
      <c r="BD18">
        <v>0</v>
      </c>
      <c r="BE18">
        <v>0</v>
      </c>
      <c r="BF18">
        <v>0</v>
      </c>
      <c r="BG18">
        <v>0</v>
      </c>
      <c r="BH18">
        <v>0</v>
      </c>
      <c r="BI18">
        <v>0</v>
      </c>
      <c r="BJ18">
        <v>0</v>
      </c>
      <c r="BK18">
        <v>0</v>
      </c>
      <c r="BL18">
        <v>0</v>
      </c>
      <c r="BM18">
        <v>0</v>
      </c>
      <c r="BN18">
        <v>0</v>
      </c>
      <c r="BO18">
        <v>0</v>
      </c>
      <c r="BP18">
        <v>0</v>
      </c>
      <c r="BQ18">
        <v>0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CX18">
        <f>Y18*Source!I35</f>
        <v>0.72</v>
      </c>
      <c r="CY18">
        <f>AB18</f>
        <v>887.39</v>
      </c>
      <c r="CZ18">
        <f>AF18</f>
        <v>87.17</v>
      </c>
      <c r="DA18">
        <f>AJ18</f>
        <v>10.18</v>
      </c>
      <c r="DB18">
        <f t="shared" si="0"/>
        <v>15.69</v>
      </c>
      <c r="DC18">
        <f t="shared" si="1"/>
        <v>2.09</v>
      </c>
    </row>
    <row r="19" spans="1:107">
      <c r="A19">
        <f>ROW(Source!A35)</f>
        <v>35</v>
      </c>
      <c r="B19">
        <v>36168115</v>
      </c>
      <c r="C19">
        <v>36168328</v>
      </c>
      <c r="D19">
        <v>29107914</v>
      </c>
      <c r="E19">
        <v>1</v>
      </c>
      <c r="F19">
        <v>1</v>
      </c>
      <c r="G19">
        <v>1</v>
      </c>
      <c r="H19">
        <v>3</v>
      </c>
      <c r="I19" t="s">
        <v>255</v>
      </c>
      <c r="J19" t="s">
        <v>256</v>
      </c>
      <c r="K19" t="s">
        <v>257</v>
      </c>
      <c r="L19">
        <v>1348</v>
      </c>
      <c r="N19">
        <v>1009</v>
      </c>
      <c r="O19" t="s">
        <v>240</v>
      </c>
      <c r="P19" t="s">
        <v>240</v>
      </c>
      <c r="Q19">
        <v>1000</v>
      </c>
      <c r="W19">
        <v>0</v>
      </c>
      <c r="X19">
        <v>1538009951</v>
      </c>
      <c r="Y19">
        <v>3.3E-4</v>
      </c>
      <c r="AA19">
        <v>153450.07999999999</v>
      </c>
      <c r="AB19">
        <v>0</v>
      </c>
      <c r="AC19">
        <v>0</v>
      </c>
      <c r="AD19">
        <v>0</v>
      </c>
      <c r="AE19">
        <v>19800.009999999998</v>
      </c>
      <c r="AF19">
        <v>0</v>
      </c>
      <c r="AG19">
        <v>0</v>
      </c>
      <c r="AH19">
        <v>0</v>
      </c>
      <c r="AI19">
        <v>7.75</v>
      </c>
      <c r="AJ19">
        <v>1</v>
      </c>
      <c r="AK19">
        <v>1</v>
      </c>
      <c r="AL19">
        <v>1</v>
      </c>
      <c r="AN19">
        <v>0</v>
      </c>
      <c r="AO19">
        <v>1</v>
      </c>
      <c r="AP19">
        <v>0</v>
      </c>
      <c r="AQ19">
        <v>0</v>
      </c>
      <c r="AR19">
        <v>0</v>
      </c>
      <c r="AS19" t="s">
        <v>3</v>
      </c>
      <c r="AT19">
        <v>3.3E-4</v>
      </c>
      <c r="AU19" t="s">
        <v>3</v>
      </c>
      <c r="AV19">
        <v>0</v>
      </c>
      <c r="AW19">
        <v>2</v>
      </c>
      <c r="AX19">
        <v>36168345</v>
      </c>
      <c r="AY19">
        <v>1</v>
      </c>
      <c r="AZ19">
        <v>0</v>
      </c>
      <c r="BA19">
        <v>17</v>
      </c>
      <c r="BB19">
        <v>0</v>
      </c>
      <c r="BC19">
        <v>0</v>
      </c>
      <c r="BD19">
        <v>0</v>
      </c>
      <c r="BE19">
        <v>0</v>
      </c>
      <c r="BF19">
        <v>0</v>
      </c>
      <c r="BG19">
        <v>0</v>
      </c>
      <c r="BH19">
        <v>0</v>
      </c>
      <c r="BI19">
        <v>0</v>
      </c>
      <c r="BJ19">
        <v>0</v>
      </c>
      <c r="BK19">
        <v>0</v>
      </c>
      <c r="BL19">
        <v>0</v>
      </c>
      <c r="BM19">
        <v>0</v>
      </c>
      <c r="BN19">
        <v>0</v>
      </c>
      <c r="BO19">
        <v>0</v>
      </c>
      <c r="BP19">
        <v>0</v>
      </c>
      <c r="BQ19">
        <v>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CX19">
        <f>Y19*Source!I35</f>
        <v>1.32E-3</v>
      </c>
      <c r="CY19">
        <f t="shared" ref="CY19:CY26" si="2">AA19</f>
        <v>153450.07999999999</v>
      </c>
      <c r="CZ19">
        <f t="shared" ref="CZ19:CZ26" si="3">AE19</f>
        <v>19800.009999999998</v>
      </c>
      <c r="DA19">
        <f t="shared" ref="DA19:DA26" si="4">AI19</f>
        <v>7.75</v>
      </c>
      <c r="DB19">
        <f t="shared" si="0"/>
        <v>6.53</v>
      </c>
      <c r="DC19">
        <f t="shared" si="1"/>
        <v>0</v>
      </c>
    </row>
    <row r="20" spans="1:107">
      <c r="A20">
        <f>ROW(Source!A35)</f>
        <v>35</v>
      </c>
      <c r="B20">
        <v>36168115</v>
      </c>
      <c r="C20">
        <v>36168328</v>
      </c>
      <c r="D20">
        <v>29111245</v>
      </c>
      <c r="E20">
        <v>1</v>
      </c>
      <c r="F20">
        <v>1</v>
      </c>
      <c r="G20">
        <v>1</v>
      </c>
      <c r="H20">
        <v>3</v>
      </c>
      <c r="I20" t="s">
        <v>258</v>
      </c>
      <c r="J20" t="s">
        <v>259</v>
      </c>
      <c r="K20" t="s">
        <v>260</v>
      </c>
      <c r="L20">
        <v>1348</v>
      </c>
      <c r="N20">
        <v>1009</v>
      </c>
      <c r="O20" t="s">
        <v>240</v>
      </c>
      <c r="P20" t="s">
        <v>240</v>
      </c>
      <c r="Q20">
        <v>1000</v>
      </c>
      <c r="W20">
        <v>0</v>
      </c>
      <c r="X20">
        <v>-479587120</v>
      </c>
      <c r="Y20">
        <v>1.4E-3</v>
      </c>
      <c r="AA20">
        <v>33660.089999999997</v>
      </c>
      <c r="AB20">
        <v>0</v>
      </c>
      <c r="AC20">
        <v>0</v>
      </c>
      <c r="AD20">
        <v>0</v>
      </c>
      <c r="AE20">
        <v>3960.01</v>
      </c>
      <c r="AF20">
        <v>0</v>
      </c>
      <c r="AG20">
        <v>0</v>
      </c>
      <c r="AH20">
        <v>0</v>
      </c>
      <c r="AI20">
        <v>8.5</v>
      </c>
      <c r="AJ20">
        <v>1</v>
      </c>
      <c r="AK20">
        <v>1</v>
      </c>
      <c r="AL20">
        <v>1</v>
      </c>
      <c r="AN20">
        <v>0</v>
      </c>
      <c r="AO20">
        <v>1</v>
      </c>
      <c r="AP20">
        <v>0</v>
      </c>
      <c r="AQ20">
        <v>0</v>
      </c>
      <c r="AR20">
        <v>0</v>
      </c>
      <c r="AS20" t="s">
        <v>3</v>
      </c>
      <c r="AT20">
        <v>1.4E-3</v>
      </c>
      <c r="AU20" t="s">
        <v>3</v>
      </c>
      <c r="AV20">
        <v>0</v>
      </c>
      <c r="AW20">
        <v>2</v>
      </c>
      <c r="AX20">
        <v>36168346</v>
      </c>
      <c r="AY20">
        <v>1</v>
      </c>
      <c r="AZ20">
        <v>0</v>
      </c>
      <c r="BA20">
        <v>18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CX20">
        <f>Y20*Source!I35</f>
        <v>5.5999999999999999E-3</v>
      </c>
      <c r="CY20">
        <f t="shared" si="2"/>
        <v>33660.089999999997</v>
      </c>
      <c r="CZ20">
        <f t="shared" si="3"/>
        <v>3960.01</v>
      </c>
      <c r="DA20">
        <f t="shared" si="4"/>
        <v>8.5</v>
      </c>
      <c r="DB20">
        <f t="shared" si="0"/>
        <v>5.54</v>
      </c>
      <c r="DC20">
        <f t="shared" si="1"/>
        <v>0</v>
      </c>
    </row>
    <row r="21" spans="1:107">
      <c r="A21">
        <f>ROW(Source!A35)</f>
        <v>35</v>
      </c>
      <c r="B21">
        <v>36168115</v>
      </c>
      <c r="C21">
        <v>36168328</v>
      </c>
      <c r="D21">
        <v>29108269</v>
      </c>
      <c r="E21">
        <v>1</v>
      </c>
      <c r="F21">
        <v>1</v>
      </c>
      <c r="G21">
        <v>1</v>
      </c>
      <c r="H21">
        <v>3</v>
      </c>
      <c r="I21" t="s">
        <v>261</v>
      </c>
      <c r="J21" t="s">
        <v>262</v>
      </c>
      <c r="K21" t="s">
        <v>263</v>
      </c>
      <c r="L21">
        <v>1348</v>
      </c>
      <c r="N21">
        <v>1009</v>
      </c>
      <c r="O21" t="s">
        <v>240</v>
      </c>
      <c r="P21" t="s">
        <v>240</v>
      </c>
      <c r="Q21">
        <v>1000</v>
      </c>
      <c r="W21">
        <v>0</v>
      </c>
      <c r="X21">
        <v>-1250586262</v>
      </c>
      <c r="Y21">
        <v>2.9999999999999997E-4</v>
      </c>
      <c r="AA21">
        <v>17417.5</v>
      </c>
      <c r="AB21">
        <v>0</v>
      </c>
      <c r="AC21">
        <v>0</v>
      </c>
      <c r="AD21">
        <v>0</v>
      </c>
      <c r="AE21">
        <v>1820.01</v>
      </c>
      <c r="AF21">
        <v>0</v>
      </c>
      <c r="AG21">
        <v>0</v>
      </c>
      <c r="AH21">
        <v>0</v>
      </c>
      <c r="AI21">
        <v>9.57</v>
      </c>
      <c r="AJ21">
        <v>1</v>
      </c>
      <c r="AK21">
        <v>1</v>
      </c>
      <c r="AL21">
        <v>1</v>
      </c>
      <c r="AN21">
        <v>0</v>
      </c>
      <c r="AO21">
        <v>1</v>
      </c>
      <c r="AP21">
        <v>0</v>
      </c>
      <c r="AQ21">
        <v>0</v>
      </c>
      <c r="AR21">
        <v>0</v>
      </c>
      <c r="AS21" t="s">
        <v>3</v>
      </c>
      <c r="AT21">
        <v>2.9999999999999997E-4</v>
      </c>
      <c r="AU21" t="s">
        <v>3</v>
      </c>
      <c r="AV21">
        <v>0</v>
      </c>
      <c r="AW21">
        <v>2</v>
      </c>
      <c r="AX21">
        <v>36168347</v>
      </c>
      <c r="AY21">
        <v>1</v>
      </c>
      <c r="AZ21">
        <v>0</v>
      </c>
      <c r="BA21">
        <v>19</v>
      </c>
      <c r="BB21">
        <v>0</v>
      </c>
      <c r="BC21">
        <v>0</v>
      </c>
      <c r="BD21">
        <v>0</v>
      </c>
      <c r="BE21">
        <v>0</v>
      </c>
      <c r="BF21">
        <v>0</v>
      </c>
      <c r="BG21">
        <v>0</v>
      </c>
      <c r="BH21">
        <v>0</v>
      </c>
      <c r="BI21">
        <v>0</v>
      </c>
      <c r="BJ21">
        <v>0</v>
      </c>
      <c r="BK21">
        <v>0</v>
      </c>
      <c r="BL21">
        <v>0</v>
      </c>
      <c r="BM21">
        <v>0</v>
      </c>
      <c r="BN21">
        <v>0</v>
      </c>
      <c r="BO21">
        <v>0</v>
      </c>
      <c r="BP21">
        <v>0</v>
      </c>
      <c r="BQ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CX21">
        <f>Y21*Source!I35</f>
        <v>1.1999999999999999E-3</v>
      </c>
      <c r="CY21">
        <f t="shared" si="2"/>
        <v>17417.5</v>
      </c>
      <c r="CZ21">
        <f t="shared" si="3"/>
        <v>1820.01</v>
      </c>
      <c r="DA21">
        <f t="shared" si="4"/>
        <v>9.57</v>
      </c>
      <c r="DB21">
        <f t="shared" si="0"/>
        <v>0.55000000000000004</v>
      </c>
      <c r="DC21">
        <f t="shared" si="1"/>
        <v>0</v>
      </c>
    </row>
    <row r="22" spans="1:107">
      <c r="A22">
        <f>ROW(Source!A35)</f>
        <v>35</v>
      </c>
      <c r="B22">
        <v>36168115</v>
      </c>
      <c r="C22">
        <v>36168328</v>
      </c>
      <c r="D22">
        <v>29110426</v>
      </c>
      <c r="E22">
        <v>1</v>
      </c>
      <c r="F22">
        <v>1</v>
      </c>
      <c r="G22">
        <v>1</v>
      </c>
      <c r="H22">
        <v>3</v>
      </c>
      <c r="I22" t="s">
        <v>264</v>
      </c>
      <c r="J22" t="s">
        <v>265</v>
      </c>
      <c r="K22" t="s">
        <v>266</v>
      </c>
      <c r="L22">
        <v>1346</v>
      </c>
      <c r="N22">
        <v>1009</v>
      </c>
      <c r="O22" t="s">
        <v>233</v>
      </c>
      <c r="P22" t="s">
        <v>233</v>
      </c>
      <c r="Q22">
        <v>1</v>
      </c>
      <c r="W22">
        <v>0</v>
      </c>
      <c r="X22">
        <v>1314148174</v>
      </c>
      <c r="Y22">
        <v>0.04</v>
      </c>
      <c r="AA22">
        <v>63.36</v>
      </c>
      <c r="AB22">
        <v>0</v>
      </c>
      <c r="AC22">
        <v>0</v>
      </c>
      <c r="AD22">
        <v>0</v>
      </c>
      <c r="AE22">
        <v>28.67</v>
      </c>
      <c r="AF22">
        <v>0</v>
      </c>
      <c r="AG22">
        <v>0</v>
      </c>
      <c r="AH22">
        <v>0</v>
      </c>
      <c r="AI22">
        <v>2.21</v>
      </c>
      <c r="AJ22">
        <v>1</v>
      </c>
      <c r="AK22">
        <v>1</v>
      </c>
      <c r="AL22">
        <v>1</v>
      </c>
      <c r="AN22">
        <v>0</v>
      </c>
      <c r="AO22">
        <v>1</v>
      </c>
      <c r="AP22">
        <v>0</v>
      </c>
      <c r="AQ22">
        <v>0</v>
      </c>
      <c r="AR22">
        <v>0</v>
      </c>
      <c r="AS22" t="s">
        <v>3</v>
      </c>
      <c r="AT22">
        <v>0.04</v>
      </c>
      <c r="AU22" t="s">
        <v>3</v>
      </c>
      <c r="AV22">
        <v>0</v>
      </c>
      <c r="AW22">
        <v>2</v>
      </c>
      <c r="AX22">
        <v>36168348</v>
      </c>
      <c r="AY22">
        <v>1</v>
      </c>
      <c r="AZ22">
        <v>0</v>
      </c>
      <c r="BA22">
        <v>20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CX22">
        <f>Y22*Source!I35</f>
        <v>0.16</v>
      </c>
      <c r="CY22">
        <f t="shared" si="2"/>
        <v>63.36</v>
      </c>
      <c r="CZ22">
        <f t="shared" si="3"/>
        <v>28.67</v>
      </c>
      <c r="DA22">
        <f t="shared" si="4"/>
        <v>2.21</v>
      </c>
      <c r="DB22">
        <f t="shared" si="0"/>
        <v>1.1499999999999999</v>
      </c>
      <c r="DC22">
        <f t="shared" si="1"/>
        <v>0</v>
      </c>
    </row>
    <row r="23" spans="1:107">
      <c r="A23">
        <f>ROW(Source!A35)</f>
        <v>35</v>
      </c>
      <c r="B23">
        <v>36168115</v>
      </c>
      <c r="C23">
        <v>36168328</v>
      </c>
      <c r="D23">
        <v>29110838</v>
      </c>
      <c r="E23">
        <v>1</v>
      </c>
      <c r="F23">
        <v>1</v>
      </c>
      <c r="G23">
        <v>1</v>
      </c>
      <c r="H23">
        <v>3</v>
      </c>
      <c r="I23" t="s">
        <v>267</v>
      </c>
      <c r="J23" t="s">
        <v>268</v>
      </c>
      <c r="K23" t="s">
        <v>269</v>
      </c>
      <c r="L23">
        <v>1346</v>
      </c>
      <c r="N23">
        <v>1009</v>
      </c>
      <c r="O23" t="s">
        <v>233</v>
      </c>
      <c r="P23" t="s">
        <v>233</v>
      </c>
      <c r="Q23">
        <v>1</v>
      </c>
      <c r="W23">
        <v>0</v>
      </c>
      <c r="X23">
        <v>-667794164</v>
      </c>
      <c r="Y23">
        <v>0.16</v>
      </c>
      <c r="AA23">
        <v>100.04</v>
      </c>
      <c r="AB23">
        <v>0</v>
      </c>
      <c r="AC23">
        <v>0</v>
      </c>
      <c r="AD23">
        <v>0</v>
      </c>
      <c r="AE23">
        <v>30.5</v>
      </c>
      <c r="AF23">
        <v>0</v>
      </c>
      <c r="AG23">
        <v>0</v>
      </c>
      <c r="AH23">
        <v>0</v>
      </c>
      <c r="AI23">
        <v>3.28</v>
      </c>
      <c r="AJ23">
        <v>1</v>
      </c>
      <c r="AK23">
        <v>1</v>
      </c>
      <c r="AL23">
        <v>1</v>
      </c>
      <c r="AN23">
        <v>0</v>
      </c>
      <c r="AO23">
        <v>1</v>
      </c>
      <c r="AP23">
        <v>0</v>
      </c>
      <c r="AQ23">
        <v>0</v>
      </c>
      <c r="AR23">
        <v>0</v>
      </c>
      <c r="AS23" t="s">
        <v>3</v>
      </c>
      <c r="AT23">
        <v>0.16</v>
      </c>
      <c r="AU23" t="s">
        <v>3</v>
      </c>
      <c r="AV23">
        <v>0</v>
      </c>
      <c r="AW23">
        <v>2</v>
      </c>
      <c r="AX23">
        <v>36168349</v>
      </c>
      <c r="AY23">
        <v>1</v>
      </c>
      <c r="AZ23">
        <v>0</v>
      </c>
      <c r="BA23">
        <v>21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CX23">
        <f>Y23*Source!I35</f>
        <v>0.64</v>
      </c>
      <c r="CY23">
        <f t="shared" si="2"/>
        <v>100.04</v>
      </c>
      <c r="CZ23">
        <f t="shared" si="3"/>
        <v>30.5</v>
      </c>
      <c r="DA23">
        <f t="shared" si="4"/>
        <v>3.28</v>
      </c>
      <c r="DB23">
        <f t="shared" si="0"/>
        <v>4.88</v>
      </c>
      <c r="DC23">
        <f t="shared" si="1"/>
        <v>0</v>
      </c>
    </row>
    <row r="24" spans="1:107">
      <c r="A24">
        <f>ROW(Source!A35)</f>
        <v>35</v>
      </c>
      <c r="B24">
        <v>36168115</v>
      </c>
      <c r="C24">
        <v>36168328</v>
      </c>
      <c r="D24">
        <v>29114470</v>
      </c>
      <c r="E24">
        <v>1</v>
      </c>
      <c r="F24">
        <v>1</v>
      </c>
      <c r="G24">
        <v>1</v>
      </c>
      <c r="H24">
        <v>3</v>
      </c>
      <c r="I24" t="s">
        <v>270</v>
      </c>
      <c r="J24" t="s">
        <v>271</v>
      </c>
      <c r="K24" t="s">
        <v>272</v>
      </c>
      <c r="L24">
        <v>1355</v>
      </c>
      <c r="N24">
        <v>1010</v>
      </c>
      <c r="O24" t="s">
        <v>72</v>
      </c>
      <c r="P24" t="s">
        <v>72</v>
      </c>
      <c r="Q24">
        <v>100</v>
      </c>
      <c r="W24">
        <v>0</v>
      </c>
      <c r="X24">
        <v>-228248654</v>
      </c>
      <c r="Y24">
        <v>0.32</v>
      </c>
      <c r="AA24">
        <v>54.33</v>
      </c>
      <c r="AB24">
        <v>0</v>
      </c>
      <c r="AC24">
        <v>0</v>
      </c>
      <c r="AD24">
        <v>0</v>
      </c>
      <c r="AE24">
        <v>86.24</v>
      </c>
      <c r="AF24">
        <v>0</v>
      </c>
      <c r="AG24">
        <v>0</v>
      </c>
      <c r="AH24">
        <v>0</v>
      </c>
      <c r="AI24">
        <v>0.63</v>
      </c>
      <c r="AJ24">
        <v>1</v>
      </c>
      <c r="AK24">
        <v>1</v>
      </c>
      <c r="AL24">
        <v>1</v>
      </c>
      <c r="AN24">
        <v>0</v>
      </c>
      <c r="AO24">
        <v>1</v>
      </c>
      <c r="AP24">
        <v>0</v>
      </c>
      <c r="AQ24">
        <v>0</v>
      </c>
      <c r="AR24">
        <v>0</v>
      </c>
      <c r="AS24" t="s">
        <v>3</v>
      </c>
      <c r="AT24">
        <v>0.32</v>
      </c>
      <c r="AU24" t="s">
        <v>3</v>
      </c>
      <c r="AV24">
        <v>0</v>
      </c>
      <c r="AW24">
        <v>2</v>
      </c>
      <c r="AX24">
        <v>36168350</v>
      </c>
      <c r="AY24">
        <v>1</v>
      </c>
      <c r="AZ24">
        <v>0</v>
      </c>
      <c r="BA24">
        <v>22</v>
      </c>
      <c r="BB24">
        <v>0</v>
      </c>
      <c r="BC24">
        <v>0</v>
      </c>
      <c r="BD24">
        <v>0</v>
      </c>
      <c r="BE24">
        <v>0</v>
      </c>
      <c r="BF24">
        <v>0</v>
      </c>
      <c r="BG24">
        <v>0</v>
      </c>
      <c r="BH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N24">
        <v>0</v>
      </c>
      <c r="BO24">
        <v>0</v>
      </c>
      <c r="BP24">
        <v>0</v>
      </c>
      <c r="BQ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CX24">
        <f>Y24*Source!I35</f>
        <v>1.28</v>
      </c>
      <c r="CY24">
        <f t="shared" si="2"/>
        <v>54.33</v>
      </c>
      <c r="CZ24">
        <f t="shared" si="3"/>
        <v>86.24</v>
      </c>
      <c r="DA24">
        <f t="shared" si="4"/>
        <v>0.63</v>
      </c>
      <c r="DB24">
        <f t="shared" si="0"/>
        <v>27.6</v>
      </c>
      <c r="DC24">
        <f t="shared" si="1"/>
        <v>0</v>
      </c>
    </row>
    <row r="25" spans="1:107">
      <c r="A25">
        <f>ROW(Source!A35)</f>
        <v>35</v>
      </c>
      <c r="B25">
        <v>36168115</v>
      </c>
      <c r="C25">
        <v>36168328</v>
      </c>
      <c r="D25">
        <v>29149204</v>
      </c>
      <c r="E25">
        <v>1</v>
      </c>
      <c r="F25">
        <v>1</v>
      </c>
      <c r="G25">
        <v>1</v>
      </c>
      <c r="H25">
        <v>3</v>
      </c>
      <c r="I25" t="s">
        <v>237</v>
      </c>
      <c r="J25" t="s">
        <v>238</v>
      </c>
      <c r="K25" t="s">
        <v>239</v>
      </c>
      <c r="L25">
        <v>1348</v>
      </c>
      <c r="N25">
        <v>1009</v>
      </c>
      <c r="O25" t="s">
        <v>240</v>
      </c>
      <c r="P25" t="s">
        <v>240</v>
      </c>
      <c r="Q25">
        <v>1000</v>
      </c>
      <c r="W25">
        <v>0</v>
      </c>
      <c r="X25">
        <v>-1132764130</v>
      </c>
      <c r="Y25">
        <v>2.1000000000000001E-2</v>
      </c>
      <c r="AA25">
        <v>4956.5600000000004</v>
      </c>
      <c r="AB25">
        <v>0</v>
      </c>
      <c r="AC25">
        <v>0</v>
      </c>
      <c r="AD25">
        <v>0</v>
      </c>
      <c r="AE25">
        <v>729.98</v>
      </c>
      <c r="AF25">
        <v>0</v>
      </c>
      <c r="AG25">
        <v>0</v>
      </c>
      <c r="AH25">
        <v>0</v>
      </c>
      <c r="AI25">
        <v>6.79</v>
      </c>
      <c r="AJ25">
        <v>1</v>
      </c>
      <c r="AK25">
        <v>1</v>
      </c>
      <c r="AL25">
        <v>1</v>
      </c>
      <c r="AN25">
        <v>0</v>
      </c>
      <c r="AO25">
        <v>1</v>
      </c>
      <c r="AP25">
        <v>0</v>
      </c>
      <c r="AQ25">
        <v>0</v>
      </c>
      <c r="AR25">
        <v>0</v>
      </c>
      <c r="AS25" t="s">
        <v>3</v>
      </c>
      <c r="AT25">
        <v>2.1000000000000001E-2</v>
      </c>
      <c r="AU25" t="s">
        <v>3</v>
      </c>
      <c r="AV25">
        <v>0</v>
      </c>
      <c r="AW25">
        <v>2</v>
      </c>
      <c r="AX25">
        <v>36168351</v>
      </c>
      <c r="AY25">
        <v>1</v>
      </c>
      <c r="AZ25">
        <v>0</v>
      </c>
      <c r="BA25">
        <v>23</v>
      </c>
      <c r="BB25">
        <v>0</v>
      </c>
      <c r="BC25">
        <v>0</v>
      </c>
      <c r="BD25">
        <v>0</v>
      </c>
      <c r="BE25">
        <v>0</v>
      </c>
      <c r="BF25">
        <v>0</v>
      </c>
      <c r="BG25">
        <v>0</v>
      </c>
      <c r="BH25">
        <v>0</v>
      </c>
      <c r="BI25">
        <v>0</v>
      </c>
      <c r="BJ25">
        <v>0</v>
      </c>
      <c r="BK25">
        <v>0</v>
      </c>
      <c r="BL25">
        <v>0</v>
      </c>
      <c r="BM25">
        <v>0</v>
      </c>
      <c r="BN25">
        <v>0</v>
      </c>
      <c r="BO25">
        <v>0</v>
      </c>
      <c r="BP25">
        <v>0</v>
      </c>
      <c r="BQ25">
        <v>0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CX25">
        <f>Y25*Source!I35</f>
        <v>8.4000000000000005E-2</v>
      </c>
      <c r="CY25">
        <f t="shared" si="2"/>
        <v>4956.5600000000004</v>
      </c>
      <c r="CZ25">
        <f t="shared" si="3"/>
        <v>729.98</v>
      </c>
      <c r="DA25">
        <f t="shared" si="4"/>
        <v>6.79</v>
      </c>
      <c r="DB25">
        <f t="shared" si="0"/>
        <v>15.33</v>
      </c>
      <c r="DC25">
        <f t="shared" si="1"/>
        <v>0</v>
      </c>
    </row>
    <row r="26" spans="1:107">
      <c r="A26">
        <f>ROW(Source!A35)</f>
        <v>35</v>
      </c>
      <c r="B26">
        <v>36168115</v>
      </c>
      <c r="C26">
        <v>36168328</v>
      </c>
      <c r="D26">
        <v>29171808</v>
      </c>
      <c r="E26">
        <v>1</v>
      </c>
      <c r="F26">
        <v>1</v>
      </c>
      <c r="G26">
        <v>1</v>
      </c>
      <c r="H26">
        <v>3</v>
      </c>
      <c r="I26" t="s">
        <v>221</v>
      </c>
      <c r="J26" t="s">
        <v>222</v>
      </c>
      <c r="K26" t="s">
        <v>223</v>
      </c>
      <c r="L26">
        <v>1374</v>
      </c>
      <c r="N26">
        <v>1013</v>
      </c>
      <c r="O26" t="s">
        <v>224</v>
      </c>
      <c r="P26" t="s">
        <v>224</v>
      </c>
      <c r="Q26">
        <v>1</v>
      </c>
      <c r="W26">
        <v>0</v>
      </c>
      <c r="X26">
        <v>-915781824</v>
      </c>
      <c r="Y26">
        <v>3.04</v>
      </c>
      <c r="AA26">
        <v>1</v>
      </c>
      <c r="AB26">
        <v>0</v>
      </c>
      <c r="AC26">
        <v>0</v>
      </c>
      <c r="AD26">
        <v>0</v>
      </c>
      <c r="AE26">
        <v>1</v>
      </c>
      <c r="AF26">
        <v>0</v>
      </c>
      <c r="AG26">
        <v>0</v>
      </c>
      <c r="AH26">
        <v>0</v>
      </c>
      <c r="AI26">
        <v>1</v>
      </c>
      <c r="AJ26">
        <v>1</v>
      </c>
      <c r="AK26">
        <v>1</v>
      </c>
      <c r="AL26">
        <v>1</v>
      </c>
      <c r="AN26">
        <v>0</v>
      </c>
      <c r="AO26">
        <v>1</v>
      </c>
      <c r="AP26">
        <v>0</v>
      </c>
      <c r="AQ26">
        <v>0</v>
      </c>
      <c r="AR26">
        <v>0</v>
      </c>
      <c r="AS26" t="s">
        <v>3</v>
      </c>
      <c r="AT26">
        <v>3.04</v>
      </c>
      <c r="AU26" t="s">
        <v>3</v>
      </c>
      <c r="AV26">
        <v>0</v>
      </c>
      <c r="AW26">
        <v>2</v>
      </c>
      <c r="AX26">
        <v>36168352</v>
      </c>
      <c r="AY26">
        <v>1</v>
      </c>
      <c r="AZ26">
        <v>0</v>
      </c>
      <c r="BA26">
        <v>24</v>
      </c>
      <c r="BB26">
        <v>0</v>
      </c>
      <c r="BC26">
        <v>0</v>
      </c>
      <c r="BD26">
        <v>0</v>
      </c>
      <c r="BE26">
        <v>0</v>
      </c>
      <c r="BF26">
        <v>0</v>
      </c>
      <c r="BG26">
        <v>0</v>
      </c>
      <c r="BH26">
        <v>0</v>
      </c>
      <c r="BI26">
        <v>0</v>
      </c>
      <c r="BJ26">
        <v>0</v>
      </c>
      <c r="BK26">
        <v>0</v>
      </c>
      <c r="BL26">
        <v>0</v>
      </c>
      <c r="BM26">
        <v>0</v>
      </c>
      <c r="BN26">
        <v>0</v>
      </c>
      <c r="BO26">
        <v>0</v>
      </c>
      <c r="BP26">
        <v>0</v>
      </c>
      <c r="BQ26">
        <v>0</v>
      </c>
      <c r="BR26">
        <v>0</v>
      </c>
      <c r="BS26">
        <v>0</v>
      </c>
      <c r="BT26">
        <v>0</v>
      </c>
      <c r="BU26">
        <v>0</v>
      </c>
      <c r="BV26">
        <v>0</v>
      </c>
      <c r="BW26">
        <v>0</v>
      </c>
      <c r="CX26">
        <f>Y26*Source!I35</f>
        <v>12.16</v>
      </c>
      <c r="CY26">
        <f t="shared" si="2"/>
        <v>1</v>
      </c>
      <c r="CZ26">
        <f t="shared" si="3"/>
        <v>1</v>
      </c>
      <c r="DA26">
        <f t="shared" si="4"/>
        <v>1</v>
      </c>
      <c r="DB26">
        <f t="shared" si="0"/>
        <v>3.04</v>
      </c>
      <c r="DC26">
        <f t="shared" si="1"/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AR24"/>
  <sheetViews>
    <sheetView workbookViewId="0"/>
  </sheetViews>
  <sheetFormatPr defaultColWidth="9.140625" defaultRowHeight="12.75"/>
  <cols>
    <col min="1" max="256" width="9.140625" customWidth="1"/>
  </cols>
  <sheetData>
    <row r="1" spans="1:44">
      <c r="A1">
        <f>ROW(Source!A28)</f>
        <v>28</v>
      </c>
      <c r="B1">
        <v>36168304</v>
      </c>
      <c r="C1">
        <v>36168296</v>
      </c>
      <c r="D1">
        <v>29371836</v>
      </c>
      <c r="E1">
        <v>1</v>
      </c>
      <c r="F1">
        <v>1</v>
      </c>
      <c r="G1">
        <v>1</v>
      </c>
      <c r="H1">
        <v>1</v>
      </c>
      <c r="I1" t="s">
        <v>207</v>
      </c>
      <c r="J1" t="s">
        <v>3</v>
      </c>
      <c r="K1" t="s">
        <v>208</v>
      </c>
      <c r="L1">
        <v>1369</v>
      </c>
      <c r="N1">
        <v>1013</v>
      </c>
      <c r="O1" t="s">
        <v>209</v>
      </c>
      <c r="P1" t="s">
        <v>209</v>
      </c>
      <c r="Q1">
        <v>1</v>
      </c>
      <c r="X1">
        <v>2.67</v>
      </c>
      <c r="Y1">
        <v>0</v>
      </c>
      <c r="Z1">
        <v>0</v>
      </c>
      <c r="AA1">
        <v>0</v>
      </c>
      <c r="AB1">
        <v>327.64999999999998</v>
      </c>
      <c r="AC1">
        <v>0</v>
      </c>
      <c r="AD1">
        <v>1</v>
      </c>
      <c r="AE1">
        <v>1</v>
      </c>
      <c r="AF1" t="s">
        <v>3</v>
      </c>
      <c r="AG1">
        <v>2.67</v>
      </c>
      <c r="AH1">
        <v>2</v>
      </c>
      <c r="AI1">
        <v>36168297</v>
      </c>
      <c r="AJ1">
        <v>1</v>
      </c>
      <c r="AK1">
        <v>0</v>
      </c>
      <c r="AL1">
        <v>0</v>
      </c>
      <c r="AM1">
        <v>0</v>
      </c>
      <c r="AN1">
        <v>0</v>
      </c>
      <c r="AO1">
        <v>0</v>
      </c>
      <c r="AP1">
        <v>0</v>
      </c>
      <c r="AQ1">
        <v>0</v>
      </c>
      <c r="AR1">
        <v>0</v>
      </c>
    </row>
    <row r="2" spans="1:44">
      <c r="A2">
        <f>ROW(Source!A28)</f>
        <v>28</v>
      </c>
      <c r="B2">
        <v>36168305</v>
      </c>
      <c r="C2">
        <v>36168296</v>
      </c>
      <c r="D2">
        <v>29173472</v>
      </c>
      <c r="E2">
        <v>1</v>
      </c>
      <c r="F2">
        <v>1</v>
      </c>
      <c r="G2">
        <v>1</v>
      </c>
      <c r="H2">
        <v>2</v>
      </c>
      <c r="I2" t="s">
        <v>210</v>
      </c>
      <c r="J2" t="s">
        <v>211</v>
      </c>
      <c r="K2" t="s">
        <v>212</v>
      </c>
      <c r="L2">
        <v>1368</v>
      </c>
      <c r="N2">
        <v>1011</v>
      </c>
      <c r="O2" t="s">
        <v>213</v>
      </c>
      <c r="P2" t="s">
        <v>213</v>
      </c>
      <c r="Q2">
        <v>1</v>
      </c>
      <c r="X2">
        <v>0.23</v>
      </c>
      <c r="Y2">
        <v>0</v>
      </c>
      <c r="Z2">
        <v>3</v>
      </c>
      <c r="AA2">
        <v>0</v>
      </c>
      <c r="AB2">
        <v>0</v>
      </c>
      <c r="AC2">
        <v>0</v>
      </c>
      <c r="AD2">
        <v>1</v>
      </c>
      <c r="AE2">
        <v>0</v>
      </c>
      <c r="AF2" t="s">
        <v>3</v>
      </c>
      <c r="AG2">
        <v>0.23</v>
      </c>
      <c r="AH2">
        <v>2</v>
      </c>
      <c r="AI2">
        <v>36168298</v>
      </c>
      <c r="AJ2">
        <v>2</v>
      </c>
      <c r="AK2">
        <v>0</v>
      </c>
      <c r="AL2">
        <v>0</v>
      </c>
      <c r="AM2">
        <v>0</v>
      </c>
      <c r="AN2">
        <v>0</v>
      </c>
      <c r="AO2">
        <v>0</v>
      </c>
      <c r="AP2">
        <v>0</v>
      </c>
      <c r="AQ2">
        <v>0</v>
      </c>
      <c r="AR2">
        <v>0</v>
      </c>
    </row>
    <row r="3" spans="1:44">
      <c r="A3">
        <f>ROW(Source!A28)</f>
        <v>28</v>
      </c>
      <c r="B3">
        <v>36168306</v>
      </c>
      <c r="C3">
        <v>36168296</v>
      </c>
      <c r="D3">
        <v>29174582</v>
      </c>
      <c r="E3">
        <v>1</v>
      </c>
      <c r="F3">
        <v>1</v>
      </c>
      <c r="G3">
        <v>1</v>
      </c>
      <c r="H3">
        <v>2</v>
      </c>
      <c r="I3" t="s">
        <v>214</v>
      </c>
      <c r="J3" t="s">
        <v>215</v>
      </c>
      <c r="K3" t="s">
        <v>216</v>
      </c>
      <c r="L3">
        <v>1368</v>
      </c>
      <c r="N3">
        <v>1011</v>
      </c>
      <c r="O3" t="s">
        <v>213</v>
      </c>
      <c r="P3" t="s">
        <v>213</v>
      </c>
      <c r="Q3">
        <v>1</v>
      </c>
      <c r="X3">
        <v>0.11</v>
      </c>
      <c r="Y3">
        <v>0</v>
      </c>
      <c r="Z3">
        <v>26.26</v>
      </c>
      <c r="AA3">
        <v>0</v>
      </c>
      <c r="AB3">
        <v>0</v>
      </c>
      <c r="AC3">
        <v>0</v>
      </c>
      <c r="AD3">
        <v>1</v>
      </c>
      <c r="AE3">
        <v>0</v>
      </c>
      <c r="AF3" t="s">
        <v>3</v>
      </c>
      <c r="AG3">
        <v>0.11</v>
      </c>
      <c r="AH3">
        <v>2</v>
      </c>
      <c r="AI3">
        <v>36168299</v>
      </c>
      <c r="AJ3">
        <v>3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</row>
    <row r="4" spans="1:44">
      <c r="A4">
        <f>ROW(Source!A28)</f>
        <v>28</v>
      </c>
      <c r="B4">
        <v>36168307</v>
      </c>
      <c r="C4">
        <v>36168296</v>
      </c>
      <c r="D4">
        <v>29114472</v>
      </c>
      <c r="E4">
        <v>1</v>
      </c>
      <c r="F4">
        <v>1</v>
      </c>
      <c r="G4">
        <v>1</v>
      </c>
      <c r="H4">
        <v>3</v>
      </c>
      <c r="I4" t="s">
        <v>217</v>
      </c>
      <c r="J4" t="s">
        <v>218</v>
      </c>
      <c r="K4" t="s">
        <v>219</v>
      </c>
      <c r="L4">
        <v>1358</v>
      </c>
      <c r="N4">
        <v>1010</v>
      </c>
      <c r="O4" t="s">
        <v>220</v>
      </c>
      <c r="P4" t="s">
        <v>220</v>
      </c>
      <c r="Q4">
        <v>10</v>
      </c>
      <c r="X4">
        <v>0.2</v>
      </c>
      <c r="Y4">
        <v>1.79</v>
      </c>
      <c r="Z4">
        <v>0</v>
      </c>
      <c r="AA4">
        <v>0</v>
      </c>
      <c r="AB4">
        <v>0</v>
      </c>
      <c r="AC4">
        <v>0</v>
      </c>
      <c r="AD4">
        <v>1</v>
      </c>
      <c r="AE4">
        <v>0</v>
      </c>
      <c r="AF4" t="s">
        <v>3</v>
      </c>
      <c r="AG4">
        <v>0.2</v>
      </c>
      <c r="AH4">
        <v>2</v>
      </c>
      <c r="AI4">
        <v>36168300</v>
      </c>
      <c r="AJ4">
        <v>4</v>
      </c>
      <c r="AK4">
        <v>0</v>
      </c>
      <c r="AL4">
        <v>0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</row>
    <row r="5" spans="1:44">
      <c r="A5">
        <f>ROW(Source!A28)</f>
        <v>28</v>
      </c>
      <c r="B5">
        <v>36168308</v>
      </c>
      <c r="C5">
        <v>36168296</v>
      </c>
      <c r="D5">
        <v>29171808</v>
      </c>
      <c r="E5">
        <v>1</v>
      </c>
      <c r="F5">
        <v>1</v>
      </c>
      <c r="G5">
        <v>1</v>
      </c>
      <c r="H5">
        <v>3</v>
      </c>
      <c r="I5" t="s">
        <v>221</v>
      </c>
      <c r="J5" t="s">
        <v>222</v>
      </c>
      <c r="K5" t="s">
        <v>223</v>
      </c>
      <c r="L5">
        <v>1374</v>
      </c>
      <c r="N5">
        <v>1013</v>
      </c>
      <c r="O5" t="s">
        <v>224</v>
      </c>
      <c r="P5" t="s">
        <v>224</v>
      </c>
      <c r="Q5">
        <v>1</v>
      </c>
      <c r="X5">
        <v>0.57999999999999996</v>
      </c>
      <c r="Y5">
        <v>1</v>
      </c>
      <c r="Z5">
        <v>0</v>
      </c>
      <c r="AA5">
        <v>0</v>
      </c>
      <c r="AB5">
        <v>0</v>
      </c>
      <c r="AC5">
        <v>0</v>
      </c>
      <c r="AD5">
        <v>1</v>
      </c>
      <c r="AE5">
        <v>0</v>
      </c>
      <c r="AF5" t="s">
        <v>3</v>
      </c>
      <c r="AG5">
        <v>0.57999999999999996</v>
      </c>
      <c r="AH5">
        <v>2</v>
      </c>
      <c r="AI5">
        <v>36168301</v>
      </c>
      <c r="AJ5">
        <v>6</v>
      </c>
      <c r="AK5">
        <v>0</v>
      </c>
      <c r="AL5">
        <v>0</v>
      </c>
      <c r="AM5">
        <v>0</v>
      </c>
      <c r="AN5">
        <v>0</v>
      </c>
      <c r="AO5">
        <v>0</v>
      </c>
      <c r="AP5">
        <v>0</v>
      </c>
      <c r="AQ5">
        <v>0</v>
      </c>
      <c r="AR5">
        <v>0</v>
      </c>
    </row>
    <row r="6" spans="1:44">
      <c r="A6">
        <f>ROW(Source!A31)</f>
        <v>31</v>
      </c>
      <c r="B6">
        <v>36168319</v>
      </c>
      <c r="C6">
        <v>36168311</v>
      </c>
      <c r="D6">
        <v>29370376</v>
      </c>
      <c r="E6">
        <v>1</v>
      </c>
      <c r="F6">
        <v>1</v>
      </c>
      <c r="G6">
        <v>1</v>
      </c>
      <c r="H6">
        <v>1</v>
      </c>
      <c r="I6" t="s">
        <v>225</v>
      </c>
      <c r="J6" t="s">
        <v>3</v>
      </c>
      <c r="K6" t="s">
        <v>226</v>
      </c>
      <c r="L6">
        <v>1369</v>
      </c>
      <c r="N6">
        <v>1013</v>
      </c>
      <c r="O6" t="s">
        <v>209</v>
      </c>
      <c r="P6" t="s">
        <v>209</v>
      </c>
      <c r="Q6">
        <v>1</v>
      </c>
      <c r="X6">
        <v>1.2</v>
      </c>
      <c r="Y6">
        <v>0</v>
      </c>
      <c r="Z6">
        <v>0</v>
      </c>
      <c r="AA6">
        <v>0</v>
      </c>
      <c r="AB6">
        <v>305.79000000000002</v>
      </c>
      <c r="AC6">
        <v>0</v>
      </c>
      <c r="AD6">
        <v>1</v>
      </c>
      <c r="AE6">
        <v>1</v>
      </c>
      <c r="AF6" t="s">
        <v>3</v>
      </c>
      <c r="AG6">
        <v>1.2</v>
      </c>
      <c r="AH6">
        <v>2</v>
      </c>
      <c r="AI6">
        <v>36168312</v>
      </c>
      <c r="AJ6">
        <v>8</v>
      </c>
      <c r="AK6">
        <v>0</v>
      </c>
      <c r="AL6">
        <v>0</v>
      </c>
      <c r="AM6">
        <v>0</v>
      </c>
      <c r="AN6">
        <v>0</v>
      </c>
      <c r="AO6">
        <v>0</v>
      </c>
      <c r="AP6">
        <v>0</v>
      </c>
      <c r="AQ6">
        <v>0</v>
      </c>
      <c r="AR6">
        <v>0</v>
      </c>
    </row>
    <row r="7" spans="1:44">
      <c r="A7">
        <f>ROW(Source!A31)</f>
        <v>31</v>
      </c>
      <c r="B7">
        <v>36168320</v>
      </c>
      <c r="C7">
        <v>36168311</v>
      </c>
      <c r="D7">
        <v>29174500</v>
      </c>
      <c r="E7">
        <v>1</v>
      </c>
      <c r="F7">
        <v>1</v>
      </c>
      <c r="G7">
        <v>1</v>
      </c>
      <c r="H7">
        <v>2</v>
      </c>
      <c r="I7" t="s">
        <v>227</v>
      </c>
      <c r="J7" t="s">
        <v>228</v>
      </c>
      <c r="K7" t="s">
        <v>229</v>
      </c>
      <c r="L7">
        <v>1368</v>
      </c>
      <c r="N7">
        <v>1011</v>
      </c>
      <c r="O7" t="s">
        <v>213</v>
      </c>
      <c r="P7" t="s">
        <v>213</v>
      </c>
      <c r="Q7">
        <v>1</v>
      </c>
      <c r="X7">
        <v>0.13</v>
      </c>
      <c r="Y7">
        <v>0</v>
      </c>
      <c r="Z7">
        <v>1.95</v>
      </c>
      <c r="AA7">
        <v>0</v>
      </c>
      <c r="AB7">
        <v>0</v>
      </c>
      <c r="AC7">
        <v>0</v>
      </c>
      <c r="AD7">
        <v>1</v>
      </c>
      <c r="AE7">
        <v>0</v>
      </c>
      <c r="AF7" t="s">
        <v>3</v>
      </c>
      <c r="AG7">
        <v>0.13</v>
      </c>
      <c r="AH7">
        <v>2</v>
      </c>
      <c r="AI7">
        <v>36168313</v>
      </c>
      <c r="AJ7">
        <v>9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</row>
    <row r="8" spans="1:44">
      <c r="A8">
        <f>ROW(Source!A31)</f>
        <v>31</v>
      </c>
      <c r="B8">
        <v>36168321</v>
      </c>
      <c r="C8">
        <v>36168311</v>
      </c>
      <c r="D8">
        <v>29107468</v>
      </c>
      <c r="E8">
        <v>1</v>
      </c>
      <c r="F8">
        <v>1</v>
      </c>
      <c r="G8">
        <v>1</v>
      </c>
      <c r="H8">
        <v>3</v>
      </c>
      <c r="I8" t="s">
        <v>230</v>
      </c>
      <c r="J8" t="s">
        <v>231</v>
      </c>
      <c r="K8" t="s">
        <v>232</v>
      </c>
      <c r="L8">
        <v>1346</v>
      </c>
      <c r="N8">
        <v>1009</v>
      </c>
      <c r="O8" t="s">
        <v>233</v>
      </c>
      <c r="P8" t="s">
        <v>233</v>
      </c>
      <c r="Q8">
        <v>1</v>
      </c>
      <c r="X8">
        <v>1E-3</v>
      </c>
      <c r="Y8">
        <v>12.62</v>
      </c>
      <c r="Z8">
        <v>0</v>
      </c>
      <c r="AA8">
        <v>0</v>
      </c>
      <c r="AB8">
        <v>0</v>
      </c>
      <c r="AC8">
        <v>0</v>
      </c>
      <c r="AD8">
        <v>1</v>
      </c>
      <c r="AE8">
        <v>0</v>
      </c>
      <c r="AF8" t="s">
        <v>3</v>
      </c>
      <c r="AG8">
        <v>1E-3</v>
      </c>
      <c r="AH8">
        <v>2</v>
      </c>
      <c r="AI8">
        <v>36168314</v>
      </c>
      <c r="AJ8">
        <v>10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</row>
    <row r="9" spans="1:44">
      <c r="A9">
        <f>ROW(Source!A31)</f>
        <v>31</v>
      </c>
      <c r="B9">
        <v>36168322</v>
      </c>
      <c r="C9">
        <v>36168311</v>
      </c>
      <c r="D9">
        <v>29114480</v>
      </c>
      <c r="E9">
        <v>1</v>
      </c>
      <c r="F9">
        <v>1</v>
      </c>
      <c r="G9">
        <v>1</v>
      </c>
      <c r="H9">
        <v>3</v>
      </c>
      <c r="I9" t="s">
        <v>234</v>
      </c>
      <c r="J9" t="s">
        <v>235</v>
      </c>
      <c r="K9" t="s">
        <v>236</v>
      </c>
      <c r="L9">
        <v>1358</v>
      </c>
      <c r="N9">
        <v>1010</v>
      </c>
      <c r="O9" t="s">
        <v>220</v>
      </c>
      <c r="P9" t="s">
        <v>220</v>
      </c>
      <c r="Q9">
        <v>10</v>
      </c>
      <c r="X9">
        <v>0.3</v>
      </c>
      <c r="Y9">
        <v>8.3000000000000007</v>
      </c>
      <c r="Z9">
        <v>0</v>
      </c>
      <c r="AA9">
        <v>0</v>
      </c>
      <c r="AB9">
        <v>0</v>
      </c>
      <c r="AC9">
        <v>0</v>
      </c>
      <c r="AD9">
        <v>1</v>
      </c>
      <c r="AE9">
        <v>0</v>
      </c>
      <c r="AF9" t="s">
        <v>3</v>
      </c>
      <c r="AG9">
        <v>0.3</v>
      </c>
      <c r="AH9">
        <v>2</v>
      </c>
      <c r="AI9">
        <v>36168315</v>
      </c>
      <c r="AJ9">
        <v>11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</row>
    <row r="10" spans="1:44">
      <c r="A10">
        <f>ROW(Source!A31)</f>
        <v>31</v>
      </c>
      <c r="B10">
        <v>36168323</v>
      </c>
      <c r="C10">
        <v>36168311</v>
      </c>
      <c r="D10">
        <v>29149204</v>
      </c>
      <c r="E10">
        <v>1</v>
      </c>
      <c r="F10">
        <v>1</v>
      </c>
      <c r="G10">
        <v>1</v>
      </c>
      <c r="H10">
        <v>3</v>
      </c>
      <c r="I10" t="s">
        <v>237</v>
      </c>
      <c r="J10" t="s">
        <v>238</v>
      </c>
      <c r="K10" t="s">
        <v>239</v>
      </c>
      <c r="L10">
        <v>1348</v>
      </c>
      <c r="N10">
        <v>1009</v>
      </c>
      <c r="O10" t="s">
        <v>240</v>
      </c>
      <c r="P10" t="s">
        <v>240</v>
      </c>
      <c r="Q10">
        <v>1000</v>
      </c>
      <c r="X10">
        <v>2.0000000000000002E-5</v>
      </c>
      <c r="Y10">
        <v>729.98</v>
      </c>
      <c r="Z10">
        <v>0</v>
      </c>
      <c r="AA10">
        <v>0</v>
      </c>
      <c r="AB10">
        <v>0</v>
      </c>
      <c r="AC10">
        <v>0</v>
      </c>
      <c r="AD10">
        <v>1</v>
      </c>
      <c r="AE10">
        <v>0</v>
      </c>
      <c r="AF10" t="s">
        <v>3</v>
      </c>
      <c r="AG10">
        <v>2.0000000000000002E-5</v>
      </c>
      <c r="AH10">
        <v>2</v>
      </c>
      <c r="AI10">
        <v>36168316</v>
      </c>
      <c r="AJ10">
        <v>12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0</v>
      </c>
      <c r="AQ10">
        <v>0</v>
      </c>
      <c r="AR10">
        <v>0</v>
      </c>
    </row>
    <row r="11" spans="1:44">
      <c r="A11">
        <f>ROW(Source!A31)</f>
        <v>31</v>
      </c>
      <c r="B11">
        <v>36168324</v>
      </c>
      <c r="C11">
        <v>36168311</v>
      </c>
      <c r="D11">
        <v>29158010</v>
      </c>
      <c r="E11">
        <v>1</v>
      </c>
      <c r="F11">
        <v>1</v>
      </c>
      <c r="G11">
        <v>1</v>
      </c>
      <c r="H11">
        <v>3</v>
      </c>
      <c r="I11" t="s">
        <v>241</v>
      </c>
      <c r="J11" t="s">
        <v>242</v>
      </c>
      <c r="K11" t="s">
        <v>243</v>
      </c>
      <c r="L11">
        <v>1346</v>
      </c>
      <c r="N11">
        <v>1009</v>
      </c>
      <c r="O11" t="s">
        <v>233</v>
      </c>
      <c r="P11" t="s">
        <v>233</v>
      </c>
      <c r="Q11">
        <v>1</v>
      </c>
      <c r="X11">
        <v>8.0000000000000002E-3</v>
      </c>
      <c r="Y11">
        <v>65.930000000000007</v>
      </c>
      <c r="Z11">
        <v>0</v>
      </c>
      <c r="AA11">
        <v>0</v>
      </c>
      <c r="AB11">
        <v>0</v>
      </c>
      <c r="AC11">
        <v>0</v>
      </c>
      <c r="AD11">
        <v>1</v>
      </c>
      <c r="AE11">
        <v>0</v>
      </c>
      <c r="AF11" t="s">
        <v>3</v>
      </c>
      <c r="AG11">
        <v>8.0000000000000002E-3</v>
      </c>
      <c r="AH11">
        <v>2</v>
      </c>
      <c r="AI11">
        <v>36168317</v>
      </c>
      <c r="AJ11">
        <v>13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</row>
    <row r="12" spans="1:44">
      <c r="A12">
        <f>ROW(Source!A31)</f>
        <v>31</v>
      </c>
      <c r="B12">
        <v>36168325</v>
      </c>
      <c r="C12">
        <v>36168311</v>
      </c>
      <c r="D12">
        <v>29171808</v>
      </c>
      <c r="E12">
        <v>1</v>
      </c>
      <c r="F12">
        <v>1</v>
      </c>
      <c r="G12">
        <v>1</v>
      </c>
      <c r="H12">
        <v>3</v>
      </c>
      <c r="I12" t="s">
        <v>221</v>
      </c>
      <c r="J12" t="s">
        <v>222</v>
      </c>
      <c r="K12" t="s">
        <v>223</v>
      </c>
      <c r="L12">
        <v>1374</v>
      </c>
      <c r="N12">
        <v>1013</v>
      </c>
      <c r="O12" t="s">
        <v>224</v>
      </c>
      <c r="P12" t="s">
        <v>224</v>
      </c>
      <c r="Q12">
        <v>1</v>
      </c>
      <c r="X12">
        <v>0.25</v>
      </c>
      <c r="Y12">
        <v>1</v>
      </c>
      <c r="Z12">
        <v>0</v>
      </c>
      <c r="AA12">
        <v>0</v>
      </c>
      <c r="AB12">
        <v>0</v>
      </c>
      <c r="AC12">
        <v>0</v>
      </c>
      <c r="AD12">
        <v>1</v>
      </c>
      <c r="AE12">
        <v>0</v>
      </c>
      <c r="AF12" t="s">
        <v>3</v>
      </c>
      <c r="AG12">
        <v>0.25</v>
      </c>
      <c r="AH12">
        <v>2</v>
      </c>
      <c r="AI12">
        <v>36168318</v>
      </c>
      <c r="AJ12">
        <v>14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0</v>
      </c>
      <c r="AQ12">
        <v>0</v>
      </c>
      <c r="AR12">
        <v>0</v>
      </c>
    </row>
    <row r="13" spans="1:44">
      <c r="A13">
        <f>ROW(Source!A35)</f>
        <v>35</v>
      </c>
      <c r="B13">
        <v>36168341</v>
      </c>
      <c r="C13">
        <v>36168328</v>
      </c>
      <c r="D13">
        <v>29361034</v>
      </c>
      <c r="E13">
        <v>1</v>
      </c>
      <c r="F13">
        <v>1</v>
      </c>
      <c r="G13">
        <v>1</v>
      </c>
      <c r="H13">
        <v>1</v>
      </c>
      <c r="I13" t="s">
        <v>244</v>
      </c>
      <c r="J13" t="s">
        <v>3</v>
      </c>
      <c r="K13" t="s">
        <v>245</v>
      </c>
      <c r="L13">
        <v>1369</v>
      </c>
      <c r="N13">
        <v>1013</v>
      </c>
      <c r="O13" t="s">
        <v>209</v>
      </c>
      <c r="P13" t="s">
        <v>209</v>
      </c>
      <c r="Q13">
        <v>1</v>
      </c>
      <c r="X13">
        <v>16.16</v>
      </c>
      <c r="Y13">
        <v>0</v>
      </c>
      <c r="Z13">
        <v>0</v>
      </c>
      <c r="AA13">
        <v>0</v>
      </c>
      <c r="AB13">
        <v>281.52999999999997</v>
      </c>
      <c r="AC13">
        <v>0</v>
      </c>
      <c r="AD13">
        <v>1</v>
      </c>
      <c r="AE13">
        <v>1</v>
      </c>
      <c r="AF13" t="s">
        <v>3</v>
      </c>
      <c r="AG13">
        <v>16.16</v>
      </c>
      <c r="AH13">
        <v>2</v>
      </c>
      <c r="AI13">
        <v>36168329</v>
      </c>
      <c r="AJ13">
        <v>15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0</v>
      </c>
      <c r="AQ13">
        <v>0</v>
      </c>
      <c r="AR13">
        <v>0</v>
      </c>
    </row>
    <row r="14" spans="1:44">
      <c r="A14">
        <f>ROW(Source!A35)</f>
        <v>35</v>
      </c>
      <c r="B14">
        <v>36168342</v>
      </c>
      <c r="C14">
        <v>36168328</v>
      </c>
      <c r="D14">
        <v>121548</v>
      </c>
      <c r="E14">
        <v>1</v>
      </c>
      <c r="F14">
        <v>1</v>
      </c>
      <c r="G14">
        <v>1</v>
      </c>
      <c r="H14">
        <v>1</v>
      </c>
      <c r="I14" t="s">
        <v>246</v>
      </c>
      <c r="J14" t="s">
        <v>3</v>
      </c>
      <c r="K14" t="s">
        <v>247</v>
      </c>
      <c r="L14">
        <v>608254</v>
      </c>
      <c r="N14">
        <v>1013</v>
      </c>
      <c r="O14" t="s">
        <v>248</v>
      </c>
      <c r="P14" t="s">
        <v>248</v>
      </c>
      <c r="Q14">
        <v>1</v>
      </c>
      <c r="X14">
        <v>0.18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>
        <v>2</v>
      </c>
      <c r="AF14" t="s">
        <v>3</v>
      </c>
      <c r="AG14">
        <v>0.18</v>
      </c>
      <c r="AH14">
        <v>2</v>
      </c>
      <c r="AI14">
        <v>36168330</v>
      </c>
      <c r="AJ14">
        <v>16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</row>
    <row r="15" spans="1:44">
      <c r="A15">
        <f>ROW(Source!A35)</f>
        <v>35</v>
      </c>
      <c r="B15">
        <v>36168343</v>
      </c>
      <c r="C15">
        <v>36168328</v>
      </c>
      <c r="D15">
        <v>29172362</v>
      </c>
      <c r="E15">
        <v>1</v>
      </c>
      <c r="F15">
        <v>1</v>
      </c>
      <c r="G15">
        <v>1</v>
      </c>
      <c r="H15">
        <v>2</v>
      </c>
      <c r="I15" t="s">
        <v>249</v>
      </c>
      <c r="J15" t="s">
        <v>250</v>
      </c>
      <c r="K15" t="s">
        <v>251</v>
      </c>
      <c r="L15">
        <v>1368</v>
      </c>
      <c r="N15">
        <v>1011</v>
      </c>
      <c r="O15" t="s">
        <v>213</v>
      </c>
      <c r="P15" t="s">
        <v>213</v>
      </c>
      <c r="Q15">
        <v>1</v>
      </c>
      <c r="X15">
        <v>0.18</v>
      </c>
      <c r="Y15">
        <v>0</v>
      </c>
      <c r="Z15">
        <v>134.65</v>
      </c>
      <c r="AA15">
        <v>13.5</v>
      </c>
      <c r="AB15">
        <v>0</v>
      </c>
      <c r="AC15">
        <v>0</v>
      </c>
      <c r="AD15">
        <v>1</v>
      </c>
      <c r="AE15">
        <v>0</v>
      </c>
      <c r="AF15" t="s">
        <v>3</v>
      </c>
      <c r="AG15">
        <v>0.18</v>
      </c>
      <c r="AH15">
        <v>2</v>
      </c>
      <c r="AI15">
        <v>36168331</v>
      </c>
      <c r="AJ15">
        <v>17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</row>
    <row r="16" spans="1:44">
      <c r="A16">
        <f>ROW(Source!A35)</f>
        <v>35</v>
      </c>
      <c r="B16">
        <v>36168344</v>
      </c>
      <c r="C16">
        <v>36168328</v>
      </c>
      <c r="D16">
        <v>29174913</v>
      </c>
      <c r="E16">
        <v>1</v>
      </c>
      <c r="F16">
        <v>1</v>
      </c>
      <c r="G16">
        <v>1</v>
      </c>
      <c r="H16">
        <v>2</v>
      </c>
      <c r="I16" t="s">
        <v>252</v>
      </c>
      <c r="J16" t="s">
        <v>253</v>
      </c>
      <c r="K16" t="s">
        <v>254</v>
      </c>
      <c r="L16">
        <v>1368</v>
      </c>
      <c r="N16">
        <v>1011</v>
      </c>
      <c r="O16" t="s">
        <v>213</v>
      </c>
      <c r="P16" t="s">
        <v>213</v>
      </c>
      <c r="Q16">
        <v>1</v>
      </c>
      <c r="X16">
        <v>0.18</v>
      </c>
      <c r="Y16">
        <v>0</v>
      </c>
      <c r="Z16">
        <v>87.17</v>
      </c>
      <c r="AA16">
        <v>11.6</v>
      </c>
      <c r="AB16">
        <v>0</v>
      </c>
      <c r="AC16">
        <v>0</v>
      </c>
      <c r="AD16">
        <v>1</v>
      </c>
      <c r="AE16">
        <v>0</v>
      </c>
      <c r="AF16" t="s">
        <v>3</v>
      </c>
      <c r="AG16">
        <v>0.18</v>
      </c>
      <c r="AH16">
        <v>2</v>
      </c>
      <c r="AI16">
        <v>36168332</v>
      </c>
      <c r="AJ16">
        <v>18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</row>
    <row r="17" spans="1:44">
      <c r="A17">
        <f>ROW(Source!A35)</f>
        <v>35</v>
      </c>
      <c r="B17">
        <v>36168345</v>
      </c>
      <c r="C17">
        <v>36168328</v>
      </c>
      <c r="D17">
        <v>29107914</v>
      </c>
      <c r="E17">
        <v>1</v>
      </c>
      <c r="F17">
        <v>1</v>
      </c>
      <c r="G17">
        <v>1</v>
      </c>
      <c r="H17">
        <v>3</v>
      </c>
      <c r="I17" t="s">
        <v>255</v>
      </c>
      <c r="J17" t="s">
        <v>256</v>
      </c>
      <c r="K17" t="s">
        <v>257</v>
      </c>
      <c r="L17">
        <v>1348</v>
      </c>
      <c r="N17">
        <v>1009</v>
      </c>
      <c r="O17" t="s">
        <v>240</v>
      </c>
      <c r="P17" t="s">
        <v>240</v>
      </c>
      <c r="Q17">
        <v>1000</v>
      </c>
      <c r="X17">
        <v>3.3E-4</v>
      </c>
      <c r="Y17">
        <v>19800.009999999998</v>
      </c>
      <c r="Z17">
        <v>0</v>
      </c>
      <c r="AA17">
        <v>0</v>
      </c>
      <c r="AB17">
        <v>0</v>
      </c>
      <c r="AC17">
        <v>0</v>
      </c>
      <c r="AD17">
        <v>1</v>
      </c>
      <c r="AE17">
        <v>0</v>
      </c>
      <c r="AF17" t="s">
        <v>3</v>
      </c>
      <c r="AG17">
        <v>3.3E-4</v>
      </c>
      <c r="AH17">
        <v>2</v>
      </c>
      <c r="AI17">
        <v>36168333</v>
      </c>
      <c r="AJ17">
        <v>19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</row>
    <row r="18" spans="1:44">
      <c r="A18">
        <f>ROW(Source!A35)</f>
        <v>35</v>
      </c>
      <c r="B18">
        <v>36168346</v>
      </c>
      <c r="C18">
        <v>36168328</v>
      </c>
      <c r="D18">
        <v>29111245</v>
      </c>
      <c r="E18">
        <v>1</v>
      </c>
      <c r="F18">
        <v>1</v>
      </c>
      <c r="G18">
        <v>1</v>
      </c>
      <c r="H18">
        <v>3</v>
      </c>
      <c r="I18" t="s">
        <v>258</v>
      </c>
      <c r="J18" t="s">
        <v>259</v>
      </c>
      <c r="K18" t="s">
        <v>260</v>
      </c>
      <c r="L18">
        <v>1348</v>
      </c>
      <c r="N18">
        <v>1009</v>
      </c>
      <c r="O18" t="s">
        <v>240</v>
      </c>
      <c r="P18" t="s">
        <v>240</v>
      </c>
      <c r="Q18">
        <v>1000</v>
      </c>
      <c r="X18">
        <v>1.4E-3</v>
      </c>
      <c r="Y18">
        <v>3960.01</v>
      </c>
      <c r="Z18">
        <v>0</v>
      </c>
      <c r="AA18">
        <v>0</v>
      </c>
      <c r="AB18">
        <v>0</v>
      </c>
      <c r="AC18">
        <v>0</v>
      </c>
      <c r="AD18">
        <v>1</v>
      </c>
      <c r="AE18">
        <v>0</v>
      </c>
      <c r="AF18" t="s">
        <v>3</v>
      </c>
      <c r="AG18">
        <v>1.4E-3</v>
      </c>
      <c r="AH18">
        <v>2</v>
      </c>
      <c r="AI18">
        <v>36168334</v>
      </c>
      <c r="AJ18">
        <v>20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0</v>
      </c>
      <c r="AQ18">
        <v>0</v>
      </c>
      <c r="AR18">
        <v>0</v>
      </c>
    </row>
    <row r="19" spans="1:44">
      <c r="A19">
        <f>ROW(Source!A35)</f>
        <v>35</v>
      </c>
      <c r="B19">
        <v>36168347</v>
      </c>
      <c r="C19">
        <v>36168328</v>
      </c>
      <c r="D19">
        <v>29108269</v>
      </c>
      <c r="E19">
        <v>1</v>
      </c>
      <c r="F19">
        <v>1</v>
      </c>
      <c r="G19">
        <v>1</v>
      </c>
      <c r="H19">
        <v>3</v>
      </c>
      <c r="I19" t="s">
        <v>261</v>
      </c>
      <c r="J19" t="s">
        <v>262</v>
      </c>
      <c r="K19" t="s">
        <v>263</v>
      </c>
      <c r="L19">
        <v>1348</v>
      </c>
      <c r="N19">
        <v>1009</v>
      </c>
      <c r="O19" t="s">
        <v>240</v>
      </c>
      <c r="P19" t="s">
        <v>240</v>
      </c>
      <c r="Q19">
        <v>1000</v>
      </c>
      <c r="X19">
        <v>2.9999999999999997E-4</v>
      </c>
      <c r="Y19">
        <v>1820.01</v>
      </c>
      <c r="Z19">
        <v>0</v>
      </c>
      <c r="AA19">
        <v>0</v>
      </c>
      <c r="AB19">
        <v>0</v>
      </c>
      <c r="AC19">
        <v>0</v>
      </c>
      <c r="AD19">
        <v>1</v>
      </c>
      <c r="AE19">
        <v>0</v>
      </c>
      <c r="AF19" t="s">
        <v>3</v>
      </c>
      <c r="AG19">
        <v>2.9999999999999997E-4</v>
      </c>
      <c r="AH19">
        <v>2</v>
      </c>
      <c r="AI19">
        <v>36168335</v>
      </c>
      <c r="AJ19">
        <v>21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0</v>
      </c>
      <c r="AQ19">
        <v>0</v>
      </c>
      <c r="AR19">
        <v>0</v>
      </c>
    </row>
    <row r="20" spans="1:44">
      <c r="A20">
        <f>ROW(Source!A35)</f>
        <v>35</v>
      </c>
      <c r="B20">
        <v>36168348</v>
      </c>
      <c r="C20">
        <v>36168328</v>
      </c>
      <c r="D20">
        <v>29110426</v>
      </c>
      <c r="E20">
        <v>1</v>
      </c>
      <c r="F20">
        <v>1</v>
      </c>
      <c r="G20">
        <v>1</v>
      </c>
      <c r="H20">
        <v>3</v>
      </c>
      <c r="I20" t="s">
        <v>264</v>
      </c>
      <c r="J20" t="s">
        <v>265</v>
      </c>
      <c r="K20" t="s">
        <v>266</v>
      </c>
      <c r="L20">
        <v>1346</v>
      </c>
      <c r="N20">
        <v>1009</v>
      </c>
      <c r="O20" t="s">
        <v>233</v>
      </c>
      <c r="P20" t="s">
        <v>233</v>
      </c>
      <c r="Q20">
        <v>1</v>
      </c>
      <c r="X20">
        <v>0.04</v>
      </c>
      <c r="Y20">
        <v>28.67</v>
      </c>
      <c r="Z20">
        <v>0</v>
      </c>
      <c r="AA20">
        <v>0</v>
      </c>
      <c r="AB20">
        <v>0</v>
      </c>
      <c r="AC20">
        <v>0</v>
      </c>
      <c r="AD20">
        <v>1</v>
      </c>
      <c r="AE20">
        <v>0</v>
      </c>
      <c r="AF20" t="s">
        <v>3</v>
      </c>
      <c r="AG20">
        <v>0.04</v>
      </c>
      <c r="AH20">
        <v>2</v>
      </c>
      <c r="AI20">
        <v>36168336</v>
      </c>
      <c r="AJ20">
        <v>22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</row>
    <row r="21" spans="1:44">
      <c r="A21">
        <f>ROW(Source!A35)</f>
        <v>35</v>
      </c>
      <c r="B21">
        <v>36168349</v>
      </c>
      <c r="C21">
        <v>36168328</v>
      </c>
      <c r="D21">
        <v>29110838</v>
      </c>
      <c r="E21">
        <v>1</v>
      </c>
      <c r="F21">
        <v>1</v>
      </c>
      <c r="G21">
        <v>1</v>
      </c>
      <c r="H21">
        <v>3</v>
      </c>
      <c r="I21" t="s">
        <v>267</v>
      </c>
      <c r="J21" t="s">
        <v>268</v>
      </c>
      <c r="K21" t="s">
        <v>269</v>
      </c>
      <c r="L21">
        <v>1346</v>
      </c>
      <c r="N21">
        <v>1009</v>
      </c>
      <c r="O21" t="s">
        <v>233</v>
      </c>
      <c r="P21" t="s">
        <v>233</v>
      </c>
      <c r="Q21">
        <v>1</v>
      </c>
      <c r="X21">
        <v>0.16</v>
      </c>
      <c r="Y21">
        <v>30.5</v>
      </c>
      <c r="Z21">
        <v>0</v>
      </c>
      <c r="AA21">
        <v>0</v>
      </c>
      <c r="AB21">
        <v>0</v>
      </c>
      <c r="AC21">
        <v>0</v>
      </c>
      <c r="AD21">
        <v>1</v>
      </c>
      <c r="AE21">
        <v>0</v>
      </c>
      <c r="AF21" t="s">
        <v>3</v>
      </c>
      <c r="AG21">
        <v>0.16</v>
      </c>
      <c r="AH21">
        <v>2</v>
      </c>
      <c r="AI21">
        <v>36168337</v>
      </c>
      <c r="AJ21">
        <v>23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0</v>
      </c>
      <c r="AQ21">
        <v>0</v>
      </c>
      <c r="AR21">
        <v>0</v>
      </c>
    </row>
    <row r="22" spans="1:44">
      <c r="A22">
        <f>ROW(Source!A35)</f>
        <v>35</v>
      </c>
      <c r="B22">
        <v>36168350</v>
      </c>
      <c r="C22">
        <v>36168328</v>
      </c>
      <c r="D22">
        <v>29114470</v>
      </c>
      <c r="E22">
        <v>1</v>
      </c>
      <c r="F22">
        <v>1</v>
      </c>
      <c r="G22">
        <v>1</v>
      </c>
      <c r="H22">
        <v>3</v>
      </c>
      <c r="I22" t="s">
        <v>270</v>
      </c>
      <c r="J22" t="s">
        <v>271</v>
      </c>
      <c r="K22" t="s">
        <v>272</v>
      </c>
      <c r="L22">
        <v>1355</v>
      </c>
      <c r="N22">
        <v>1010</v>
      </c>
      <c r="O22" t="s">
        <v>72</v>
      </c>
      <c r="P22" t="s">
        <v>72</v>
      </c>
      <c r="Q22">
        <v>100</v>
      </c>
      <c r="X22">
        <v>0.32</v>
      </c>
      <c r="Y22">
        <v>86.24</v>
      </c>
      <c r="Z22">
        <v>0</v>
      </c>
      <c r="AA22">
        <v>0</v>
      </c>
      <c r="AB22">
        <v>0</v>
      </c>
      <c r="AC22">
        <v>0</v>
      </c>
      <c r="AD22">
        <v>1</v>
      </c>
      <c r="AE22">
        <v>0</v>
      </c>
      <c r="AF22" t="s">
        <v>3</v>
      </c>
      <c r="AG22">
        <v>0.32</v>
      </c>
      <c r="AH22">
        <v>2</v>
      </c>
      <c r="AI22">
        <v>36168338</v>
      </c>
      <c r="AJ22">
        <v>24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</row>
    <row r="23" spans="1:44">
      <c r="A23">
        <f>ROW(Source!A35)</f>
        <v>35</v>
      </c>
      <c r="B23">
        <v>36168351</v>
      </c>
      <c r="C23">
        <v>36168328</v>
      </c>
      <c r="D23">
        <v>29149204</v>
      </c>
      <c r="E23">
        <v>1</v>
      </c>
      <c r="F23">
        <v>1</v>
      </c>
      <c r="G23">
        <v>1</v>
      </c>
      <c r="H23">
        <v>3</v>
      </c>
      <c r="I23" t="s">
        <v>237</v>
      </c>
      <c r="J23" t="s">
        <v>238</v>
      </c>
      <c r="K23" t="s">
        <v>239</v>
      </c>
      <c r="L23">
        <v>1348</v>
      </c>
      <c r="N23">
        <v>1009</v>
      </c>
      <c r="O23" t="s">
        <v>240</v>
      </c>
      <c r="P23" t="s">
        <v>240</v>
      </c>
      <c r="Q23">
        <v>1000</v>
      </c>
      <c r="X23">
        <v>2.1000000000000001E-2</v>
      </c>
      <c r="Y23">
        <v>729.98</v>
      </c>
      <c r="Z23">
        <v>0</v>
      </c>
      <c r="AA23">
        <v>0</v>
      </c>
      <c r="AB23">
        <v>0</v>
      </c>
      <c r="AC23">
        <v>0</v>
      </c>
      <c r="AD23">
        <v>1</v>
      </c>
      <c r="AE23">
        <v>0</v>
      </c>
      <c r="AF23" t="s">
        <v>3</v>
      </c>
      <c r="AG23">
        <v>2.1000000000000001E-2</v>
      </c>
      <c r="AH23">
        <v>2</v>
      </c>
      <c r="AI23">
        <v>36168339</v>
      </c>
      <c r="AJ23">
        <v>25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</row>
    <row r="24" spans="1:44">
      <c r="A24">
        <f>ROW(Source!A35)</f>
        <v>35</v>
      </c>
      <c r="B24">
        <v>36168352</v>
      </c>
      <c r="C24">
        <v>36168328</v>
      </c>
      <c r="D24">
        <v>29171808</v>
      </c>
      <c r="E24">
        <v>1</v>
      </c>
      <c r="F24">
        <v>1</v>
      </c>
      <c r="G24">
        <v>1</v>
      </c>
      <c r="H24">
        <v>3</v>
      </c>
      <c r="I24" t="s">
        <v>221</v>
      </c>
      <c r="J24" t="s">
        <v>222</v>
      </c>
      <c r="K24" t="s">
        <v>223</v>
      </c>
      <c r="L24">
        <v>1374</v>
      </c>
      <c r="N24">
        <v>1013</v>
      </c>
      <c r="O24" t="s">
        <v>224</v>
      </c>
      <c r="P24" t="s">
        <v>224</v>
      </c>
      <c r="Q24">
        <v>1</v>
      </c>
      <c r="X24">
        <v>3.04</v>
      </c>
      <c r="Y24">
        <v>1</v>
      </c>
      <c r="Z24">
        <v>0</v>
      </c>
      <c r="AA24">
        <v>0</v>
      </c>
      <c r="AB24">
        <v>0</v>
      </c>
      <c r="AC24">
        <v>0</v>
      </c>
      <c r="AD24">
        <v>1</v>
      </c>
      <c r="AE24">
        <v>0</v>
      </c>
      <c r="AF24" t="s">
        <v>3</v>
      </c>
      <c r="AG24">
        <v>3.04</v>
      </c>
      <c r="AH24">
        <v>2</v>
      </c>
      <c r="AI24">
        <v>36168340</v>
      </c>
      <c r="AJ24">
        <v>26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0</v>
      </c>
      <c r="AQ24">
        <v>0</v>
      </c>
      <c r="AR24">
        <v>0</v>
      </c>
    </row>
  </sheetData>
  <printOptions gridLines="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Смета 12 гр. ТЕР МО</vt:lpstr>
      <vt:lpstr>Source</vt:lpstr>
      <vt:lpstr>SourceObSm</vt:lpstr>
      <vt:lpstr>SmtRes</vt:lpstr>
      <vt:lpstr>EtalonRes</vt:lpstr>
      <vt:lpstr>'Смета 12 гр. ТЕР МО'!Заголовки_для_печати</vt:lpstr>
      <vt:lpstr>'Смета 12 гр. ТЕР МО'!Область_печати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Олеся</cp:lastModifiedBy>
  <dcterms:created xsi:type="dcterms:W3CDTF">2021-04-29T06:40:11Z</dcterms:created>
  <dcterms:modified xsi:type="dcterms:W3CDTF">2021-04-30T11:11:28Z</dcterms:modified>
</cp:coreProperties>
</file>